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D:\OneDrive - Universidad de Antioquia\4_GADMIN\1_REGIS\0_Invitaciones\2_MedianaC\VA_011_2022_Mtto_AA_VM\Gestion\3_Evaluacion\"/>
    </mc:Choice>
  </mc:AlternateContent>
  <bookViews>
    <workbookView xWindow="0" yWindow="0" windowWidth="25200" windowHeight="11280" tabRatio="939" firstSheet="5" activeTab="12"/>
  </bookViews>
  <sheets>
    <sheet name="1_ENTREGA" sheetId="82" r:id="rId1"/>
    <sheet name="2_APERTURA_SOBRES" sheetId="83" r:id="rId2"/>
    <sheet name="5.1_REQUISITOS_JURIDICOS" sheetId="84" r:id="rId3"/>
    <sheet name="5.2_EXPERIENCIA_GENERAL" sheetId="85" r:id="rId4"/>
    <sheet name="5.3_CAPACIDAD_FINANCIERA" sheetId="86" r:id="rId5"/>
    <sheet name="5.5_REQUISITOS_COMERCIALES" sheetId="87" r:id="rId6"/>
    <sheet name="VALOR TOTAL DE LA PROPUESTA " sheetId="75" r:id="rId7"/>
    <sheet name=" REPUESTOS,EQUIPOS Y MATERIALES" sheetId="76" r:id="rId8"/>
    <sheet name="HERRAMIENTA" sheetId="77" r:id="rId9"/>
    <sheet name="VIATICOS" sheetId="79" r:id="rId10"/>
    <sheet name="CRITERIOS_RECHAZO" sheetId="91" r:id="rId11"/>
    <sheet name="RESUMEN" sheetId="88" r:id="rId12"/>
    <sheet name="EVALUACION" sheetId="8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xlnm._FilterDatabase" localSheetId="7" hidden="1">' REPUESTOS,EQUIPOS Y MATERIALES'!$A$6:$I$105</definedName>
    <definedName name="_xlnm._FilterDatabase" localSheetId="8" hidden="1">HERRAMIENTA!$A$7:$F$53</definedName>
    <definedName name="_Pa1">'[2]Paral. 1'!$E$1:$E$65536</definedName>
    <definedName name="_Pa2">'[2]Paral. 2'!$E$1:$E$65536</definedName>
    <definedName name="_Pa3">'[2]Paral. 3'!$E$1:$E$65536</definedName>
    <definedName name="_Pa4">[2]Paral.4!$E$1:$E$65536</definedName>
    <definedName name="_SBC1">[1]INV!$A$12:$D$15</definedName>
    <definedName name="_SBC3">[1]INV!$F$12:$I$15</definedName>
    <definedName name="_SBC5">[1]INV!$K$12:$N$15</definedName>
    <definedName name="A_U">'VALOR TOTAL DE LA PROPUESTA '!$AB$63</definedName>
    <definedName name="A40FI">[3]BASE!$D$26</definedName>
    <definedName name="AAC">[1]AASHTO!$A$14:$F$17</definedName>
    <definedName name="ABG">[1]AASHTO!$A$2:$F$5</definedName>
    <definedName name="APARAT_SANIT_VALOR">[4]Presupuesto!$G$939,[4]Presupuesto!$G$940,[4]Presupuesto!$G$941,[4]Presupuesto!$G$942:$G$945</definedName>
    <definedName name="_xlnm.Print_Area" localSheetId="7">#REF!</definedName>
    <definedName name="_xlnm.Print_Area" localSheetId="8">#REF!</definedName>
    <definedName name="_xlnm.Print_Area" localSheetId="6">'VALOR TOTAL DE LA PROPUESTA '!#REF!</definedName>
    <definedName name="_xlnm.Print_Area" localSheetId="9">#REF!</definedName>
    <definedName name="_xlnm.Print_Area">#REF!</definedName>
    <definedName name="ASB">[1]AASHTO!$A$8:$F$11</definedName>
    <definedName name="AYUDR">[3]BASE!$D$13</definedName>
    <definedName name="_xlnm.Database">#REF!</definedName>
    <definedName name="BuiltIn_Consolidate_Area">NA()</definedName>
    <definedName name="C_FINANCIERA">'[5]5.3 CAP FINANCIERA'!$Q$6:$S$35</definedName>
    <definedName name="cd">[6]Hoja1!$C$81</definedName>
    <definedName name="CD_1">[5]PRESUPUESTO!$T$106</definedName>
    <definedName name="ColTap">'[2]Coloc. e Interc. Tapones'!$E$1:$E$65536</definedName>
    <definedName name="CT210KG">[3]BASE!$D$36</definedName>
    <definedName name="CVa">'[2]Cambio de Valv.'!$E$1:$E$65536</definedName>
    <definedName name="DOL">[7]RESUMEN!$F$4</definedName>
    <definedName name="ENCHAPES_VALOR">[4]Presupuesto!$G$67:$G$68,[4]Presupuesto!$G$70:$G$71,[4]Presupuesto!$G$72</definedName>
    <definedName name="EQUIPOS">[8]RECURSOS!$A$148:$C$161</definedName>
    <definedName name="EST_CP">'5.3_CAPACIDAD_FINANCIERA'!$R$6:$S$6</definedName>
    <definedName name="EST_EXP">'5.2_EXPERIENCIA_GENERAL'!$Y$30:$Z$30</definedName>
    <definedName name="EST_HER">HERRAMIENTA!$K$60:$L$60</definedName>
    <definedName name="EST_RCOM">'5.5_REQUISITOS_COMERCIALES'!$M$4:$N$4</definedName>
    <definedName name="EST_REC">CRITERIOS_RECHAZO!$C$23:$D$23</definedName>
    <definedName name="EST_REM">' REPUESTOS,EQUIPOS Y MATERIALES'!$N$112:$O$112</definedName>
    <definedName name="EST_VIAT">VIATICOS!$J$28:$K$28</definedName>
    <definedName name="EST_VT">'VALOR TOTAL DE LA PROPUESTA '!$R$73:$S$73</definedName>
    <definedName name="ESTADOS">RESUMEN!$A$5:$L$5</definedName>
    <definedName name="ESTATUS">[5]RESUMEN!$A$5:$H$34</definedName>
    <definedName name="EUR">[7]RESUMEN!$F$5</definedName>
    <definedName name="Excel_BuiltIn__FilterDatabase">[9]Presupuesto_Via_distribuidora!$A$9:$H$344</definedName>
    <definedName name="Excel_BuiltIn_Print_Area">[9]Presupuesto_Via_distribuidora!$C$1:$H$344</definedName>
    <definedName name="Excel_BuiltIn_Print_Titles">[9]Presupuesto_Via_distribuidora!$A$2:$IV$8</definedName>
    <definedName name="EXPERIENCIA">'[5]5.2.1 EXPERIENCIA GRAL'!$W$12:$Z$41</definedName>
    <definedName name="FGEN">[7]RESUMEN!$D$6</definedName>
    <definedName name="FMAT">[7]RESUMEN!$D$11</definedName>
    <definedName name="FORMATO_GUIA">'VALOR TOTAL DE LA PROPUESTA '!$B$10:$L$60</definedName>
    <definedName name="FORMATO_HER">HERRAMIENTA!$B$7:$F$53</definedName>
    <definedName name="FORMATO_REM">' REPUESTOS,EQUIPOS Y MATERIALES'!$B$7:$I$105</definedName>
    <definedName name="FORMATO_VIAT">VIATICOS!$A$5:$F$21</definedName>
    <definedName name="g">"DIRECTO:  "&amp;TEXT(SUMIF(#REF!,#REF!,#REF!)/2,"#,##0")&amp;" / "&amp;VLOOKUP(#REF!,[10]Ppto!$D:$F,3,FALSE)</definedName>
    <definedName name="HERRAMIENTA">'[11]MATERIALES Y RECURSOS'!$F$653:$G$655</definedName>
    <definedName name="Hid">'[2]Interc de Hidr.'!$E$1:$E$65536</definedName>
    <definedName name="INSU">[12]INSUMOS!$A$1:$E$65536</definedName>
    <definedName name="INSUMO">VLOOKUP(#REF!,[10]Insumos!$D:$E,2,FALSE)</definedName>
    <definedName name="InTap">[2]Interc.tapones!$E$1:$E$65536</definedName>
    <definedName name="IntVal">[2]Interc.válv.!$E$1:$E$65536</definedName>
    <definedName name="ITEM">VLOOKUP(#REF!,[10]Ppto!$D:$O,2,0)</definedName>
    <definedName name="LISTA_OFERENTES">'[5]1_ENTREGA'!$A$8:$B$37</definedName>
    <definedName name="LISTAS">'[13]MATERIALES Y RECURSOS'!$B$5:$B$602</definedName>
    <definedName name="ListaUni">[14]TOTALES!$D$7:$D$654</definedName>
    <definedName name="MANODEOBRACOM">'[11]MATERIALES Y RECURSOS'!$B$625:$Q$628</definedName>
    <definedName name="MANOOBRA">[8]RECURSOS!$A$165:$C$168</definedName>
    <definedName name="MATERIAL">'[11]MATERIALES Y RECURSOS'!$B$5:$G$607</definedName>
    <definedName name="MUROS_BLOQ_PLOMO_VALOR">[4]Presupuesto!$G$62:$G$66</definedName>
    <definedName name="OFICI">[3]BASE!$D$11</definedName>
    <definedName name="oooo">IF(ISERROR(SEARCH("-",#REF!,3)),INSUMO,ITEM)</definedName>
    <definedName name="ORDEN" localSheetId="12">EVALUACION!$W$15:$X$44</definedName>
    <definedName name="PISOS_CONC_ESP_PUBL_VALOR">[4]Presupuesto!$G$131:$G$132,[4]Presupuesto!$G$133:$G$137,[4]Presupuesto!$G$138,[4]Presupuesto!$G$139:$G$140,[4]Presupuesto!$G$141:$G$142</definedName>
    <definedName name="PISOS_CONC_GRAN_VALOR">[4]Presupuesto!$G$148:$G$168,[4]Presupuesto!$G$143:$G$146</definedName>
    <definedName name="presta">[3]BASE!$D$8</definedName>
    <definedName name="PRESUPUESTO">[5]PRESUPUESTO!$B$119:$F$148</definedName>
    <definedName name="PRINT_AREA">#N/A</definedName>
    <definedName name="PRINT_AREA_MI">#N/A</definedName>
    <definedName name="PRINT_TITLES">#N/A</definedName>
    <definedName name="PRINT_TITLES_MI">#N/A</definedName>
    <definedName name="PROPUESTA_1">'VALOR TOTAL DE LA PROPUESTA '!$Y$52</definedName>
    <definedName name="PUNTI">[3]BASE!$D$1650</definedName>
    <definedName name="R_COMERCIALES">'[5]5.5 REQUISITOS COMERCIALES'!$L$4:$N$33</definedName>
    <definedName name="rodrigo">"$generales.$a$1:$"</definedName>
    <definedName name="SUBA">'[15]SUB APU'!$A$1:$D$65536</definedName>
    <definedName name="suma">[6]Hoja1!$F$60</definedName>
    <definedName name="TABLA">[3]BASE!$D$1676</definedName>
    <definedName name="TAPAM">[3]BASE!$D$1648</definedName>
    <definedName name="TRANS">'[11]MATERIALES Y RECURSOS'!$B$616:$F$618</definedName>
    <definedName name="TRANSPORTE">[8]RECURSOS!$A$172:$C$179</definedName>
    <definedName name="Var">[2]Varios.!$E$1:$E$65536</definedName>
    <definedName name="wrn.GENERAL." hidden="1">{"TAB1",#N/A,TRUE,"GENERAL";"TAB2",#N/A,TRUE,"GENERAL";"TAB3",#N/A,TRUE,"GENERAL";"TAB4",#N/A,TRUE,"GENERAL";"TAB5",#N/A,TRUE,"GENERAL"}</definedName>
    <definedName name="wrn.via." hidden="1">{"via1",#N/A,TRUE,"general";"via2",#N/A,TRUE,"general";"via3",#N/A,TRUE,"general"}</definedName>
    <definedName name="yuf" hidden="1">{"TAB1",#N/A,TRUE,"GENERAL";"TAB2",#N/A,TRUE,"GENERAL";"TAB3",#N/A,TRUE,"GENERAL";"TAB4",#N/A,TRUE,"GENERAL";"TAB5",#N/A,TRUE,"GENERAL"}</definedName>
  </definedNames>
  <calcPr calcId="162913"/>
</workbook>
</file>

<file path=xl/calcChain.xml><?xml version="1.0" encoding="utf-8"?>
<calcChain xmlns="http://schemas.openxmlformats.org/spreadsheetml/2006/main">
  <c r="H8" i="89" l="1"/>
  <c r="I8" i="89" l="1"/>
  <c r="D23" i="91" l="1"/>
  <c r="J15" i="89"/>
  <c r="K15" i="89"/>
  <c r="L15" i="89"/>
  <c r="M15" i="89"/>
  <c r="N15" i="89"/>
  <c r="O15" i="89"/>
  <c r="I15" i="89"/>
  <c r="P15" i="89" s="1"/>
  <c r="H15" i="89"/>
  <c r="AB63" i="75"/>
  <c r="I24" i="79"/>
  <c r="M19" i="79"/>
  <c r="R19" i="79" s="1"/>
  <c r="M8" i="79"/>
  <c r="R8" i="79" s="1"/>
  <c r="M7" i="79"/>
  <c r="M9" i="79" s="1"/>
  <c r="R9" i="79" s="1"/>
  <c r="R6" i="79"/>
  <c r="R10" i="79"/>
  <c r="R11" i="79"/>
  <c r="R12" i="79"/>
  <c r="R16" i="79"/>
  <c r="R17" i="79"/>
  <c r="R18" i="79"/>
  <c r="R5" i="79"/>
  <c r="Q5" i="79"/>
  <c r="Q20" i="79"/>
  <c r="Q19" i="79"/>
  <c r="Q14" i="79"/>
  <c r="Q13" i="79"/>
  <c r="Q8" i="79"/>
  <c r="Q7" i="79"/>
  <c r="O8" i="77"/>
  <c r="Q6" i="79"/>
  <c r="Q9" i="79"/>
  <c r="Q10" i="79"/>
  <c r="Q11" i="79"/>
  <c r="Q12" i="79"/>
  <c r="Q15" i="79"/>
  <c r="Q16" i="79"/>
  <c r="Q17" i="79"/>
  <c r="Q18" i="79"/>
  <c r="Q21" i="79"/>
  <c r="P5" i="79"/>
  <c r="P8" i="79"/>
  <c r="P21" i="79"/>
  <c r="P6" i="79"/>
  <c r="P7" i="79"/>
  <c r="P9" i="79"/>
  <c r="P10" i="79"/>
  <c r="P11" i="79"/>
  <c r="P12" i="79"/>
  <c r="P13" i="79"/>
  <c r="P14" i="79"/>
  <c r="P15" i="79"/>
  <c r="P16" i="79"/>
  <c r="P17" i="79"/>
  <c r="P18" i="79"/>
  <c r="P19" i="79"/>
  <c r="P20" i="79"/>
  <c r="O5" i="79"/>
  <c r="O6" i="79"/>
  <c r="O7" i="79"/>
  <c r="O8" i="79"/>
  <c r="O9" i="79"/>
  <c r="O10" i="79"/>
  <c r="O11" i="79"/>
  <c r="O12" i="79"/>
  <c r="O13" i="79"/>
  <c r="O14" i="79"/>
  <c r="O15" i="79"/>
  <c r="O16" i="79"/>
  <c r="O17" i="79"/>
  <c r="O18" i="79"/>
  <c r="O19" i="79"/>
  <c r="O20" i="79"/>
  <c r="O21" i="79"/>
  <c r="N5" i="79"/>
  <c r="N6" i="79"/>
  <c r="N7" i="79"/>
  <c r="N8" i="79"/>
  <c r="N9" i="79"/>
  <c r="N10" i="79"/>
  <c r="N11" i="79"/>
  <c r="N12" i="79"/>
  <c r="N13" i="79"/>
  <c r="N14" i="79"/>
  <c r="N15" i="79"/>
  <c r="N16" i="79"/>
  <c r="N17" i="79"/>
  <c r="N18" i="79"/>
  <c r="N19" i="79"/>
  <c r="N20" i="79"/>
  <c r="N21" i="79"/>
  <c r="M7" i="77"/>
  <c r="P7" i="77"/>
  <c r="O51" i="77"/>
  <c r="O52" i="77"/>
  <c r="O53" i="77"/>
  <c r="O9" i="77"/>
  <c r="O10" i="77"/>
  <c r="O11" i="77"/>
  <c r="O12" i="77"/>
  <c r="O13" i="77"/>
  <c r="O14" i="77"/>
  <c r="O15" i="77"/>
  <c r="O16" i="77"/>
  <c r="O17" i="77"/>
  <c r="O18" i="77"/>
  <c r="O19" i="77"/>
  <c r="O20" i="77"/>
  <c r="O21" i="77"/>
  <c r="O22" i="77"/>
  <c r="O23" i="77"/>
  <c r="O24" i="77"/>
  <c r="O25" i="77"/>
  <c r="O26" i="77"/>
  <c r="O27" i="77"/>
  <c r="O28" i="77"/>
  <c r="O29" i="77"/>
  <c r="O30" i="77"/>
  <c r="O31" i="77"/>
  <c r="O32" i="77"/>
  <c r="O33" i="77"/>
  <c r="O34" i="77"/>
  <c r="O35" i="77"/>
  <c r="O36" i="77"/>
  <c r="O37" i="77"/>
  <c r="O38" i="77"/>
  <c r="O39" i="77"/>
  <c r="O40" i="77"/>
  <c r="O41" i="77"/>
  <c r="O42" i="77"/>
  <c r="O43" i="77"/>
  <c r="O44" i="77"/>
  <c r="O45" i="77"/>
  <c r="O46" i="77"/>
  <c r="O47" i="77"/>
  <c r="O48" i="77"/>
  <c r="O49" i="77"/>
  <c r="O50" i="77"/>
  <c r="O7" i="77"/>
  <c r="N8" i="77"/>
  <c r="N9" i="77"/>
  <c r="N10" i="77"/>
  <c r="N11" i="77"/>
  <c r="N12" i="77"/>
  <c r="N13" i="77"/>
  <c r="N14" i="77"/>
  <c r="N15" i="77"/>
  <c r="N16" i="77"/>
  <c r="N17" i="77"/>
  <c r="N18" i="77"/>
  <c r="N19" i="77"/>
  <c r="N20" i="77"/>
  <c r="N21" i="77"/>
  <c r="N22" i="77"/>
  <c r="N23" i="77"/>
  <c r="N24" i="77"/>
  <c r="N25" i="77"/>
  <c r="N26" i="77"/>
  <c r="N27" i="77"/>
  <c r="N28" i="77"/>
  <c r="N29" i="77"/>
  <c r="N30" i="77"/>
  <c r="N31" i="77"/>
  <c r="N32" i="77"/>
  <c r="N33" i="77"/>
  <c r="N34" i="77"/>
  <c r="N35" i="77"/>
  <c r="N36" i="77"/>
  <c r="N37" i="77"/>
  <c r="N38" i="77"/>
  <c r="N39" i="77"/>
  <c r="N40" i="77"/>
  <c r="N41" i="77"/>
  <c r="N42" i="77"/>
  <c r="N43" i="77"/>
  <c r="N44" i="77"/>
  <c r="N45" i="77"/>
  <c r="N46" i="77"/>
  <c r="N47" i="77"/>
  <c r="N48" i="77"/>
  <c r="N49" i="77"/>
  <c r="N50" i="77"/>
  <c r="N51" i="77"/>
  <c r="N52" i="77"/>
  <c r="N53" i="77"/>
  <c r="N7" i="77"/>
  <c r="M8" i="77"/>
  <c r="M9" i="77"/>
  <c r="M10" i="77"/>
  <c r="M11" i="77"/>
  <c r="M12" i="77"/>
  <c r="M13" i="77"/>
  <c r="M14"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S6" i="79" l="1"/>
  <c r="R7" i="79"/>
  <c r="S7" i="79" s="1"/>
  <c r="S19" i="79"/>
  <c r="S11" i="79"/>
  <c r="S17" i="79"/>
  <c r="S18" i="79"/>
  <c r="S10" i="79"/>
  <c r="S9" i="79"/>
  <c r="S5" i="79"/>
  <c r="S16" i="79"/>
  <c r="S12" i="79"/>
  <c r="S8" i="79"/>
  <c r="M14" i="79" l="1"/>
  <c r="R14" i="79" s="1"/>
  <c r="S14" i="79" s="1"/>
  <c r="M13" i="79"/>
  <c r="R13" i="79" s="1"/>
  <c r="S13" i="79" s="1"/>
  <c r="H56" i="77"/>
  <c r="V9" i="76"/>
  <c r="Q7" i="77"/>
  <c r="K107" i="76"/>
  <c r="S104" i="76"/>
  <c r="S105" i="76"/>
  <c r="S103" i="76"/>
  <c r="W8" i="76"/>
  <c r="W7" i="76"/>
  <c r="V7" i="76"/>
  <c r="V10" i="76"/>
  <c r="V11" i="76"/>
  <c r="V12" i="76"/>
  <c r="V13" i="76"/>
  <c r="V14" i="76"/>
  <c r="V15" i="76"/>
  <c r="V16" i="76"/>
  <c r="V17" i="76"/>
  <c r="V18" i="76"/>
  <c r="V19" i="76"/>
  <c r="V20" i="76"/>
  <c r="V21" i="76"/>
  <c r="V22" i="76"/>
  <c r="V23" i="76"/>
  <c r="V24" i="76"/>
  <c r="V25" i="76"/>
  <c r="V26" i="76"/>
  <c r="V27" i="76"/>
  <c r="V28" i="76"/>
  <c r="V29" i="76"/>
  <c r="V30" i="76"/>
  <c r="V31" i="76"/>
  <c r="V32" i="76"/>
  <c r="V33" i="76"/>
  <c r="V34" i="76"/>
  <c r="V35" i="76"/>
  <c r="V36" i="76"/>
  <c r="V37" i="76"/>
  <c r="V38" i="76"/>
  <c r="V39" i="76"/>
  <c r="V40" i="76"/>
  <c r="V41" i="76"/>
  <c r="V42" i="76"/>
  <c r="V43" i="76"/>
  <c r="V44" i="76"/>
  <c r="V45" i="76"/>
  <c r="V46" i="76"/>
  <c r="V47" i="76"/>
  <c r="V48" i="76"/>
  <c r="V49" i="76"/>
  <c r="V50" i="76"/>
  <c r="V51" i="76"/>
  <c r="V52" i="76"/>
  <c r="V53" i="76"/>
  <c r="V54" i="76"/>
  <c r="V55" i="76"/>
  <c r="V56" i="76"/>
  <c r="V57" i="76"/>
  <c r="V58" i="76"/>
  <c r="V59" i="76"/>
  <c r="V60" i="76"/>
  <c r="V61" i="76"/>
  <c r="V62" i="76"/>
  <c r="V63" i="76"/>
  <c r="V64" i="76"/>
  <c r="V65" i="76"/>
  <c r="V66" i="76"/>
  <c r="V67" i="76"/>
  <c r="V68" i="76"/>
  <c r="V69" i="76"/>
  <c r="V70" i="76"/>
  <c r="V71" i="76"/>
  <c r="V72" i="76"/>
  <c r="V73" i="76"/>
  <c r="V74" i="76"/>
  <c r="V75" i="76"/>
  <c r="V76" i="76"/>
  <c r="V77" i="76"/>
  <c r="V78" i="76"/>
  <c r="V79" i="76"/>
  <c r="V80" i="76"/>
  <c r="V81" i="76"/>
  <c r="V82" i="76"/>
  <c r="V83" i="76"/>
  <c r="V84" i="76"/>
  <c r="V85" i="76"/>
  <c r="V86" i="76"/>
  <c r="V87" i="76"/>
  <c r="V88" i="76"/>
  <c r="V89" i="76"/>
  <c r="V90" i="76"/>
  <c r="V91" i="76"/>
  <c r="V92" i="76"/>
  <c r="V93" i="76"/>
  <c r="V94" i="76"/>
  <c r="V95" i="76"/>
  <c r="V96" i="76"/>
  <c r="V97" i="76"/>
  <c r="V98" i="76"/>
  <c r="V99" i="76"/>
  <c r="V100" i="76"/>
  <c r="V101" i="76"/>
  <c r="V102" i="76"/>
  <c r="V8" i="76"/>
  <c r="V103" i="76"/>
  <c r="V104" i="76"/>
  <c r="V105" i="76"/>
  <c r="U7" i="76"/>
  <c r="U8" i="76"/>
  <c r="U9" i="76"/>
  <c r="U10" i="76"/>
  <c r="U11" i="76"/>
  <c r="U12" i="76"/>
  <c r="U13" i="76"/>
  <c r="U14" i="76"/>
  <c r="U15" i="76"/>
  <c r="U16" i="76"/>
  <c r="U17" i="76"/>
  <c r="U18" i="76"/>
  <c r="U19" i="76"/>
  <c r="U20" i="76"/>
  <c r="U21" i="76"/>
  <c r="U22" i="76"/>
  <c r="U23" i="76"/>
  <c r="U24" i="76"/>
  <c r="U25" i="76"/>
  <c r="U26" i="76"/>
  <c r="U27" i="76"/>
  <c r="U28" i="76"/>
  <c r="U29" i="76"/>
  <c r="U30" i="76"/>
  <c r="U31" i="76"/>
  <c r="U32" i="76"/>
  <c r="U33" i="76"/>
  <c r="U34" i="76"/>
  <c r="U35" i="76"/>
  <c r="U36" i="76"/>
  <c r="U37" i="76"/>
  <c r="U38" i="76"/>
  <c r="U39" i="76"/>
  <c r="U40" i="76"/>
  <c r="U41" i="76"/>
  <c r="U42" i="76"/>
  <c r="U43" i="76"/>
  <c r="U44" i="76"/>
  <c r="U45" i="76"/>
  <c r="U46" i="76"/>
  <c r="U47" i="76"/>
  <c r="U48" i="76"/>
  <c r="U49" i="76"/>
  <c r="U50" i="76"/>
  <c r="U51" i="76"/>
  <c r="U52" i="76"/>
  <c r="U53" i="76"/>
  <c r="U54" i="76"/>
  <c r="U55" i="76"/>
  <c r="U56" i="76"/>
  <c r="U57" i="76"/>
  <c r="U58" i="76"/>
  <c r="U59" i="76"/>
  <c r="U60" i="76"/>
  <c r="U61" i="76"/>
  <c r="U62" i="76"/>
  <c r="U63" i="76"/>
  <c r="U64" i="76"/>
  <c r="U65" i="76"/>
  <c r="U66" i="76"/>
  <c r="U67" i="76"/>
  <c r="U68" i="76"/>
  <c r="U69" i="76"/>
  <c r="U70" i="76"/>
  <c r="U71" i="76"/>
  <c r="U72" i="76"/>
  <c r="U73" i="76"/>
  <c r="U74" i="76"/>
  <c r="U75" i="76"/>
  <c r="U76" i="76"/>
  <c r="U77" i="76"/>
  <c r="U78" i="76"/>
  <c r="U79" i="76"/>
  <c r="U80" i="76"/>
  <c r="U81" i="76"/>
  <c r="U82" i="76"/>
  <c r="U83" i="76"/>
  <c r="U84" i="76"/>
  <c r="U85" i="76"/>
  <c r="U86" i="76"/>
  <c r="U87" i="76"/>
  <c r="U88" i="76"/>
  <c r="U89" i="76"/>
  <c r="U90" i="76"/>
  <c r="U91" i="76"/>
  <c r="U92" i="76"/>
  <c r="U93" i="76"/>
  <c r="U94" i="76"/>
  <c r="U95" i="76"/>
  <c r="U96" i="76"/>
  <c r="U97" i="76"/>
  <c r="U98" i="76"/>
  <c r="U99" i="76"/>
  <c r="U100" i="76"/>
  <c r="U101" i="76"/>
  <c r="U102" i="76"/>
  <c r="U103" i="76"/>
  <c r="U104" i="76"/>
  <c r="U105" i="76"/>
  <c r="T7" i="76"/>
  <c r="T8" i="76"/>
  <c r="T9" i="76"/>
  <c r="T10" i="76"/>
  <c r="T11" i="76"/>
  <c r="T12" i="76"/>
  <c r="T13" i="76"/>
  <c r="T14" i="76"/>
  <c r="T15" i="76"/>
  <c r="T16" i="76"/>
  <c r="T17" i="76"/>
  <c r="T18" i="76"/>
  <c r="T19" i="76"/>
  <c r="T20" i="76"/>
  <c r="T21" i="76"/>
  <c r="T22" i="76"/>
  <c r="T23" i="76"/>
  <c r="T24" i="76"/>
  <c r="T25" i="76"/>
  <c r="T26" i="76"/>
  <c r="T27" i="76"/>
  <c r="T28" i="76"/>
  <c r="T29" i="76"/>
  <c r="T30" i="76"/>
  <c r="T31" i="76"/>
  <c r="T32" i="76"/>
  <c r="T33" i="76"/>
  <c r="T34" i="76"/>
  <c r="T35" i="76"/>
  <c r="T36" i="76"/>
  <c r="T37" i="76"/>
  <c r="T38" i="76"/>
  <c r="T39" i="76"/>
  <c r="T40" i="76"/>
  <c r="T41" i="76"/>
  <c r="T42" i="76"/>
  <c r="T43" i="76"/>
  <c r="T44" i="76"/>
  <c r="T45" i="76"/>
  <c r="T46" i="76"/>
  <c r="T47" i="76"/>
  <c r="T48" i="76"/>
  <c r="T49" i="76"/>
  <c r="T50" i="76"/>
  <c r="T51" i="76"/>
  <c r="T52" i="76"/>
  <c r="T53" i="76"/>
  <c r="T54" i="76"/>
  <c r="T55" i="76"/>
  <c r="T56" i="76"/>
  <c r="T57" i="76"/>
  <c r="T58" i="76"/>
  <c r="T59" i="76"/>
  <c r="T60" i="76"/>
  <c r="T61" i="76"/>
  <c r="T62" i="76"/>
  <c r="T63" i="76"/>
  <c r="T64" i="76"/>
  <c r="T65" i="76"/>
  <c r="T66" i="76"/>
  <c r="T67" i="76"/>
  <c r="T68" i="76"/>
  <c r="T69" i="76"/>
  <c r="T70" i="76"/>
  <c r="T71" i="76"/>
  <c r="T72" i="76"/>
  <c r="T73" i="76"/>
  <c r="T74" i="76"/>
  <c r="T75" i="76"/>
  <c r="T76" i="76"/>
  <c r="T77" i="76"/>
  <c r="T78" i="76"/>
  <c r="T79" i="76"/>
  <c r="T80" i="76"/>
  <c r="T81" i="76"/>
  <c r="T82" i="76"/>
  <c r="T83" i="76"/>
  <c r="T84" i="76"/>
  <c r="T85" i="76"/>
  <c r="T86" i="76"/>
  <c r="T87" i="76"/>
  <c r="T88" i="76"/>
  <c r="T89" i="76"/>
  <c r="T90" i="76"/>
  <c r="T91" i="76"/>
  <c r="T92" i="76"/>
  <c r="T93" i="76"/>
  <c r="T94" i="76"/>
  <c r="T95" i="76"/>
  <c r="T96" i="76"/>
  <c r="T97" i="76"/>
  <c r="T98" i="76"/>
  <c r="T99" i="76"/>
  <c r="T100" i="76"/>
  <c r="T101" i="76"/>
  <c r="T102" i="76"/>
  <c r="T103" i="76"/>
  <c r="T104" i="76"/>
  <c r="T105" i="76"/>
  <c r="S7" i="76"/>
  <c r="X7" i="76" s="1"/>
  <c r="S8" i="76"/>
  <c r="S9" i="76"/>
  <c r="S10" i="76"/>
  <c r="S11" i="76"/>
  <c r="S12" i="76"/>
  <c r="S13" i="76"/>
  <c r="S14" i="76"/>
  <c r="S15" i="76"/>
  <c r="S16" i="76"/>
  <c r="S17" i="76"/>
  <c r="S18" i="76"/>
  <c r="S19" i="76"/>
  <c r="S20" i="76"/>
  <c r="S21" i="76"/>
  <c r="S22" i="76"/>
  <c r="S23" i="76"/>
  <c r="S24" i="76"/>
  <c r="S25" i="76"/>
  <c r="S26" i="76"/>
  <c r="S27" i="76"/>
  <c r="S28" i="76"/>
  <c r="S29" i="76"/>
  <c r="S30" i="76"/>
  <c r="S31" i="76"/>
  <c r="S32" i="76"/>
  <c r="S33" i="76"/>
  <c r="S34" i="76"/>
  <c r="S35" i="76"/>
  <c r="S36" i="76"/>
  <c r="S37" i="76"/>
  <c r="S38" i="76"/>
  <c r="S39" i="76"/>
  <c r="S40" i="76"/>
  <c r="S41" i="76"/>
  <c r="S42" i="76"/>
  <c r="S43" i="76"/>
  <c r="S44" i="76"/>
  <c r="S45" i="76"/>
  <c r="S46" i="76"/>
  <c r="S47" i="76"/>
  <c r="S48" i="76"/>
  <c r="S49" i="76"/>
  <c r="S50" i="76"/>
  <c r="S51" i="76"/>
  <c r="S52" i="76"/>
  <c r="S53" i="76"/>
  <c r="S54" i="76"/>
  <c r="S55" i="76"/>
  <c r="S56" i="76"/>
  <c r="S57" i="76"/>
  <c r="S58" i="76"/>
  <c r="S59" i="76"/>
  <c r="S60" i="76"/>
  <c r="S61" i="76"/>
  <c r="S62" i="76"/>
  <c r="S63" i="76"/>
  <c r="S64" i="76"/>
  <c r="S65" i="76"/>
  <c r="S66" i="76"/>
  <c r="S67" i="76"/>
  <c r="S68" i="76"/>
  <c r="S69" i="76"/>
  <c r="S70" i="76"/>
  <c r="S71" i="76"/>
  <c r="S72" i="76"/>
  <c r="S73" i="76"/>
  <c r="S74" i="76"/>
  <c r="S75" i="76"/>
  <c r="S76" i="76"/>
  <c r="S77" i="76"/>
  <c r="S78" i="76"/>
  <c r="S79" i="76"/>
  <c r="S80" i="76"/>
  <c r="S81" i="76"/>
  <c r="S82" i="76"/>
  <c r="S83" i="76"/>
  <c r="S84" i="76"/>
  <c r="S85" i="76"/>
  <c r="S86" i="76"/>
  <c r="S87" i="76"/>
  <c r="S88" i="76"/>
  <c r="S89" i="76"/>
  <c r="S90" i="76"/>
  <c r="S91" i="76"/>
  <c r="S92" i="76"/>
  <c r="S93" i="76"/>
  <c r="S94" i="76"/>
  <c r="S95" i="76"/>
  <c r="S96" i="76"/>
  <c r="S97" i="76"/>
  <c r="S98" i="76"/>
  <c r="S99" i="76"/>
  <c r="S100" i="76"/>
  <c r="S101" i="76"/>
  <c r="S102" i="76"/>
  <c r="R73" i="75"/>
  <c r="P64" i="75"/>
  <c r="AH65" i="75"/>
  <c r="AM17" i="75"/>
  <c r="AM21" i="75"/>
  <c r="AL11" i="75"/>
  <c r="AL12" i="75"/>
  <c r="AL15" i="75"/>
  <c r="AM15" i="75" s="1"/>
  <c r="AL16" i="75"/>
  <c r="AM16" i="75" s="1"/>
  <c r="AL17" i="75"/>
  <c r="AL18" i="75"/>
  <c r="AM18" i="75" s="1"/>
  <c r="AL20" i="75"/>
  <c r="AM20" i="75" s="1"/>
  <c r="AL21" i="75"/>
  <c r="AL22" i="75"/>
  <c r="AL23" i="75"/>
  <c r="AL24" i="75"/>
  <c r="AM24" i="75" s="1"/>
  <c r="AL27" i="75"/>
  <c r="AM27" i="75" s="1"/>
  <c r="AL30" i="75"/>
  <c r="AM30" i="75" s="1"/>
  <c r="AL33" i="75"/>
  <c r="AM33" i="75" s="1"/>
  <c r="AL36" i="75"/>
  <c r="AM36" i="75" s="1"/>
  <c r="AL38" i="75"/>
  <c r="AM38" i="75" s="1"/>
  <c r="AL39" i="75"/>
  <c r="AM39" i="75" s="1"/>
  <c r="AL41" i="75"/>
  <c r="AM41" i="75" s="1"/>
  <c r="AL42" i="75"/>
  <c r="AM42" i="75" s="1"/>
  <c r="AL53" i="75"/>
  <c r="AM53" i="75" s="1"/>
  <c r="AL54" i="75"/>
  <c r="AM54" i="75" s="1"/>
  <c r="AL55" i="75"/>
  <c r="AM55" i="75" s="1"/>
  <c r="AL56" i="75"/>
  <c r="AM56" i="75" s="1"/>
  <c r="AL57" i="75"/>
  <c r="AM57" i="75" s="1"/>
  <c r="AL58" i="75"/>
  <c r="AM58" i="75" s="1"/>
  <c r="AL59" i="75"/>
  <c r="AM59" i="75" s="1"/>
  <c r="AL60" i="75"/>
  <c r="AM60" i="75" s="1"/>
  <c r="AL10" i="75"/>
  <c r="AI17" i="75"/>
  <c r="AI18" i="75"/>
  <c r="AI16" i="75"/>
  <c r="AI11" i="75"/>
  <c r="AI12" i="75"/>
  <c r="AI15" i="75"/>
  <c r="AI20" i="75"/>
  <c r="AI21" i="75"/>
  <c r="AI22" i="75"/>
  <c r="AI23" i="75"/>
  <c r="AI24" i="75"/>
  <c r="AI27" i="75"/>
  <c r="AI30" i="75"/>
  <c r="AI33" i="75"/>
  <c r="AI36" i="75"/>
  <c r="AI38" i="75"/>
  <c r="AI39" i="75"/>
  <c r="AI41" i="75"/>
  <c r="AI42" i="75"/>
  <c r="AI53" i="75"/>
  <c r="AI54" i="75"/>
  <c r="AI55" i="75"/>
  <c r="AI56" i="75"/>
  <c r="AI57" i="75"/>
  <c r="AI58" i="75"/>
  <c r="AI59" i="75"/>
  <c r="AI60" i="75"/>
  <c r="AI10" i="75"/>
  <c r="AH10" i="75"/>
  <c r="AH49" i="75"/>
  <c r="AH48" i="75"/>
  <c r="AH13" i="75"/>
  <c r="X34" i="75"/>
  <c r="AH34" i="75" s="1"/>
  <c r="AH11" i="75"/>
  <c r="AH12" i="75"/>
  <c r="AH14" i="75"/>
  <c r="AH15" i="75"/>
  <c r="AH16" i="75"/>
  <c r="AH17" i="75"/>
  <c r="AH18" i="75"/>
  <c r="AH19" i="75"/>
  <c r="AH20" i="75"/>
  <c r="AH21" i="75"/>
  <c r="AH22" i="75"/>
  <c r="AH23" i="75"/>
  <c r="AH24" i="75"/>
  <c r="AH25" i="75"/>
  <c r="AH26" i="75"/>
  <c r="AH27" i="75"/>
  <c r="AH30" i="75"/>
  <c r="AH33" i="75"/>
  <c r="AH36" i="75"/>
  <c r="AH37" i="75"/>
  <c r="AH38" i="75"/>
  <c r="AH39" i="75"/>
  <c r="AH40" i="75"/>
  <c r="AH41" i="75"/>
  <c r="AH42" i="75"/>
  <c r="AH43" i="75"/>
  <c r="AH44" i="75"/>
  <c r="AH45" i="75"/>
  <c r="AH46" i="75"/>
  <c r="AH47" i="75"/>
  <c r="AH50" i="75"/>
  <c r="AH51" i="75"/>
  <c r="AH52" i="75"/>
  <c r="AH53" i="75"/>
  <c r="AH54" i="75"/>
  <c r="AH55" i="75"/>
  <c r="AH56" i="75"/>
  <c r="AH57" i="75"/>
  <c r="AH58" i="75"/>
  <c r="AH59" i="75"/>
  <c r="AH60" i="75"/>
  <c r="AG10" i="75"/>
  <c r="AG11" i="75"/>
  <c r="AG12" i="75"/>
  <c r="AG13" i="75"/>
  <c r="AG14" i="75"/>
  <c r="AG15" i="75"/>
  <c r="AG16" i="75"/>
  <c r="AG17" i="75"/>
  <c r="AG18" i="75"/>
  <c r="AG19" i="75"/>
  <c r="AG20" i="75"/>
  <c r="AG21" i="75"/>
  <c r="AG22" i="75"/>
  <c r="AG23" i="75"/>
  <c r="AG24" i="75"/>
  <c r="AG26" i="75"/>
  <c r="AG27" i="75"/>
  <c r="AG29" i="75"/>
  <c r="AG30" i="75"/>
  <c r="AG32" i="75"/>
  <c r="AG33" i="75"/>
  <c r="AG35" i="75"/>
  <c r="AG36" i="75"/>
  <c r="AG37" i="75"/>
  <c r="AG38" i="75"/>
  <c r="AG39" i="75"/>
  <c r="AG40" i="75"/>
  <c r="AG41" i="75"/>
  <c r="AG42" i="75"/>
  <c r="AG43" i="75"/>
  <c r="AG44" i="75"/>
  <c r="AG45" i="75"/>
  <c r="AG46" i="75"/>
  <c r="AG47" i="75"/>
  <c r="AG48" i="75"/>
  <c r="AG49" i="75"/>
  <c r="AG50" i="75"/>
  <c r="AG51" i="75"/>
  <c r="AG52" i="75"/>
  <c r="AG53" i="75"/>
  <c r="AG54" i="75"/>
  <c r="AG55" i="75"/>
  <c r="AG56" i="75"/>
  <c r="AG57" i="75"/>
  <c r="AG58" i="75"/>
  <c r="AG59" i="75"/>
  <c r="AG60" i="75"/>
  <c r="AF10" i="75"/>
  <c r="AF32" i="75"/>
  <c r="AF11" i="75"/>
  <c r="AF12" i="75"/>
  <c r="AF15" i="75"/>
  <c r="AF16" i="75"/>
  <c r="AF17" i="75"/>
  <c r="AF18" i="75"/>
  <c r="AF19" i="75"/>
  <c r="AF20" i="75"/>
  <c r="AF21" i="75"/>
  <c r="AF22" i="75"/>
  <c r="AF23" i="75"/>
  <c r="AF24" i="75"/>
  <c r="AF27" i="75"/>
  <c r="AF30" i="75"/>
  <c r="AF33" i="75"/>
  <c r="AF36" i="75"/>
  <c r="AF37" i="75"/>
  <c r="AF38" i="75"/>
  <c r="AF39" i="75"/>
  <c r="AF40" i="75"/>
  <c r="AF41" i="75"/>
  <c r="AF42" i="75"/>
  <c r="AF43" i="75"/>
  <c r="AF44" i="75"/>
  <c r="AF45" i="75"/>
  <c r="AF46" i="75"/>
  <c r="AF47" i="75"/>
  <c r="AF48" i="75"/>
  <c r="AF49" i="75"/>
  <c r="AF50" i="75"/>
  <c r="AF51" i="75"/>
  <c r="AF52" i="75"/>
  <c r="AF53" i="75"/>
  <c r="AF54" i="75"/>
  <c r="AF55" i="75"/>
  <c r="AF56" i="75"/>
  <c r="AF57" i="75"/>
  <c r="AF58" i="75"/>
  <c r="AF59" i="75"/>
  <c r="AF60" i="75"/>
  <c r="AE10" i="75"/>
  <c r="AE34" i="75"/>
  <c r="AE35" i="75"/>
  <c r="AE32" i="75"/>
  <c r="AE31" i="75"/>
  <c r="AE29" i="75"/>
  <c r="AE28" i="75"/>
  <c r="AE26" i="75"/>
  <c r="AE25" i="75"/>
  <c r="AE14" i="75"/>
  <c r="AE13" i="75"/>
  <c r="AE11" i="75"/>
  <c r="AE12" i="75"/>
  <c r="AE15" i="75"/>
  <c r="AE16" i="75"/>
  <c r="AE17" i="75"/>
  <c r="AE18" i="75"/>
  <c r="AE19" i="75"/>
  <c r="AE20" i="75"/>
  <c r="AE21" i="75"/>
  <c r="AE22" i="75"/>
  <c r="AE23" i="75"/>
  <c r="AE24" i="75"/>
  <c r="AE27" i="75"/>
  <c r="AE30" i="75"/>
  <c r="AE33" i="75"/>
  <c r="AE36" i="75"/>
  <c r="AE37" i="75"/>
  <c r="AE38" i="75"/>
  <c r="AE39" i="75"/>
  <c r="AE40" i="75"/>
  <c r="AE41" i="75"/>
  <c r="AE42" i="75"/>
  <c r="AE43" i="75"/>
  <c r="AE44" i="75"/>
  <c r="AE45" i="75"/>
  <c r="AE46" i="75"/>
  <c r="AE47" i="75"/>
  <c r="AE48" i="75"/>
  <c r="AE49" i="75"/>
  <c r="AE50" i="75"/>
  <c r="AE51" i="75"/>
  <c r="AE52" i="75"/>
  <c r="AE53" i="75"/>
  <c r="AE54" i="75"/>
  <c r="AE55" i="75"/>
  <c r="AE56" i="75"/>
  <c r="AE57" i="75"/>
  <c r="AE58" i="75"/>
  <c r="AE59" i="75"/>
  <c r="AE60" i="75"/>
  <c r="AD10" i="75"/>
  <c r="T13" i="75"/>
  <c r="AD13" i="75" s="1"/>
  <c r="X35" i="75"/>
  <c r="AH35" i="75" s="1"/>
  <c r="AD11" i="75"/>
  <c r="AD12" i="75"/>
  <c r="AD15" i="75"/>
  <c r="AD16" i="75"/>
  <c r="AD17" i="75"/>
  <c r="AD18" i="75"/>
  <c r="AD19" i="75"/>
  <c r="AD20" i="75"/>
  <c r="AD21" i="75"/>
  <c r="AD22" i="75"/>
  <c r="AD23" i="75"/>
  <c r="AD24" i="75"/>
  <c r="AD27" i="75"/>
  <c r="AD30" i="75"/>
  <c r="AD33" i="75"/>
  <c r="AD36" i="75"/>
  <c r="AD37" i="75"/>
  <c r="AD38" i="75"/>
  <c r="AD39" i="75"/>
  <c r="AD40" i="75"/>
  <c r="AD41" i="75"/>
  <c r="AD42" i="75"/>
  <c r="AD43" i="75"/>
  <c r="AD44" i="75"/>
  <c r="AD45" i="75"/>
  <c r="AD46" i="75"/>
  <c r="AD47" i="75"/>
  <c r="AD48" i="75"/>
  <c r="AD49" i="75"/>
  <c r="AD50" i="75"/>
  <c r="AD51" i="75"/>
  <c r="AD52" i="75"/>
  <c r="AD53" i="75"/>
  <c r="AD54" i="75"/>
  <c r="AD55" i="75"/>
  <c r="AD56" i="75"/>
  <c r="AD57" i="75"/>
  <c r="AD58" i="75"/>
  <c r="AD59" i="75"/>
  <c r="AD60" i="75"/>
  <c r="AC10" i="75"/>
  <c r="AC11" i="75"/>
  <c r="AC12" i="75"/>
  <c r="AC13" i="75"/>
  <c r="AC15" i="75"/>
  <c r="AC16" i="75"/>
  <c r="AC17" i="75"/>
  <c r="AC18" i="75"/>
  <c r="AC19" i="75"/>
  <c r="AC20" i="75"/>
  <c r="AC21" i="75"/>
  <c r="AC22" i="75"/>
  <c r="AC23" i="75"/>
  <c r="AC24" i="75"/>
  <c r="AC25" i="75"/>
  <c r="AC26" i="75"/>
  <c r="AC27" i="75"/>
  <c r="AC30" i="75"/>
  <c r="AC33" i="75"/>
  <c r="AC36" i="75"/>
  <c r="AC37" i="75"/>
  <c r="AC38" i="75"/>
  <c r="AC39" i="75"/>
  <c r="AC40" i="75"/>
  <c r="AC41" i="75"/>
  <c r="AC42" i="75"/>
  <c r="AC43" i="75"/>
  <c r="AC44" i="75"/>
  <c r="AC45" i="75"/>
  <c r="AC46" i="75"/>
  <c r="AC47" i="75"/>
  <c r="AC48" i="75"/>
  <c r="AC49" i="75"/>
  <c r="AC50" i="75"/>
  <c r="AC51" i="75"/>
  <c r="AC52" i="75"/>
  <c r="AC53" i="75"/>
  <c r="AC54" i="75"/>
  <c r="AC55" i="75"/>
  <c r="AC56" i="75"/>
  <c r="AC57" i="75"/>
  <c r="AC58" i="75"/>
  <c r="AC59" i="75"/>
  <c r="AC60" i="75"/>
  <c r="AB10" i="75"/>
  <c r="AB35" i="75"/>
  <c r="AB34" i="75"/>
  <c r="AB32" i="75"/>
  <c r="AB31" i="75"/>
  <c r="AB29" i="75"/>
  <c r="AB28" i="75"/>
  <c r="AB26" i="75"/>
  <c r="AB25" i="75"/>
  <c r="AB14" i="75"/>
  <c r="AB13" i="75"/>
  <c r="AB11" i="75"/>
  <c r="AB12" i="75"/>
  <c r="AB15" i="75"/>
  <c r="AB16" i="75"/>
  <c r="AB17" i="75"/>
  <c r="AB18" i="75"/>
  <c r="AB19" i="75"/>
  <c r="AB20" i="75"/>
  <c r="AB21" i="75"/>
  <c r="AB22" i="75"/>
  <c r="AB23" i="75"/>
  <c r="AB24" i="75"/>
  <c r="AB27" i="75"/>
  <c r="AB30" i="75"/>
  <c r="AB33" i="75"/>
  <c r="AB36" i="75"/>
  <c r="AB37" i="75"/>
  <c r="AB38" i="75"/>
  <c r="AB39" i="75"/>
  <c r="AB40" i="75"/>
  <c r="AB41" i="75"/>
  <c r="AB42" i="75"/>
  <c r="AB43" i="75"/>
  <c r="AB44" i="75"/>
  <c r="AB45" i="75"/>
  <c r="AB46" i="75"/>
  <c r="AB47" i="75"/>
  <c r="AB48" i="75"/>
  <c r="AB49" i="75"/>
  <c r="AB50" i="75"/>
  <c r="AB51" i="75"/>
  <c r="AB52" i="75"/>
  <c r="AB53" i="75"/>
  <c r="AB54" i="75"/>
  <c r="AB55" i="75"/>
  <c r="AB56" i="75"/>
  <c r="AB57" i="75"/>
  <c r="AB58" i="75"/>
  <c r="AB59" i="75"/>
  <c r="AB60" i="75"/>
  <c r="AA10" i="75"/>
  <c r="AA11" i="75"/>
  <c r="AA12" i="75"/>
  <c r="AA13" i="75"/>
  <c r="AA14" i="75"/>
  <c r="AA15" i="75"/>
  <c r="AA16" i="75"/>
  <c r="AA17" i="75"/>
  <c r="AA18" i="75"/>
  <c r="AA19" i="75"/>
  <c r="AA20" i="75"/>
  <c r="AA21" i="75"/>
  <c r="AA22" i="75"/>
  <c r="AA23" i="75"/>
  <c r="AA24" i="75"/>
  <c r="AA25" i="75"/>
  <c r="AA26" i="75"/>
  <c r="AA27" i="75"/>
  <c r="AA28" i="75"/>
  <c r="AA29" i="75"/>
  <c r="AA30" i="75"/>
  <c r="AA31" i="75"/>
  <c r="AA32" i="75"/>
  <c r="AA33" i="75"/>
  <c r="AA34" i="75"/>
  <c r="AA35" i="75"/>
  <c r="AA36" i="75"/>
  <c r="AA37" i="75"/>
  <c r="AA38" i="75"/>
  <c r="AA39" i="75"/>
  <c r="AA40" i="75"/>
  <c r="AA41" i="75"/>
  <c r="AA42" i="75"/>
  <c r="AA43" i="75"/>
  <c r="AA44" i="75"/>
  <c r="AA45" i="75"/>
  <c r="AA46" i="75"/>
  <c r="AA47" i="75"/>
  <c r="AA48" i="75"/>
  <c r="AA49" i="75"/>
  <c r="AA50" i="75"/>
  <c r="AA51" i="75"/>
  <c r="AA52" i="75"/>
  <c r="AA53" i="75"/>
  <c r="AA54" i="75"/>
  <c r="AA55" i="75"/>
  <c r="AA56" i="75"/>
  <c r="AA57" i="75"/>
  <c r="AA58" i="75"/>
  <c r="AA59" i="75"/>
  <c r="AA60" i="75"/>
  <c r="Z10" i="75"/>
  <c r="Z11" i="75"/>
  <c r="Z12" i="75"/>
  <c r="Z13" i="75"/>
  <c r="Z14" i="75"/>
  <c r="Z15" i="75"/>
  <c r="Z16" i="75"/>
  <c r="Z17" i="75"/>
  <c r="Z18" i="75"/>
  <c r="Z19" i="75"/>
  <c r="Z20" i="75"/>
  <c r="Z21" i="75"/>
  <c r="Z22" i="75"/>
  <c r="Z23" i="75"/>
  <c r="Z24" i="75"/>
  <c r="Z25" i="75"/>
  <c r="Z26" i="75"/>
  <c r="Z27" i="75"/>
  <c r="Z28" i="75"/>
  <c r="Z29" i="75"/>
  <c r="Z30" i="75"/>
  <c r="Z31" i="75"/>
  <c r="Z32" i="75"/>
  <c r="Z33" i="75"/>
  <c r="Z34" i="75"/>
  <c r="Z35" i="75"/>
  <c r="Z36" i="75"/>
  <c r="Z37" i="75"/>
  <c r="Z38" i="75"/>
  <c r="Z39" i="75"/>
  <c r="Z40" i="75"/>
  <c r="Z41" i="75"/>
  <c r="Z42" i="75"/>
  <c r="Z43" i="75"/>
  <c r="Z44" i="75"/>
  <c r="Z45" i="75"/>
  <c r="Z46" i="75"/>
  <c r="Z47" i="75"/>
  <c r="Z48" i="75"/>
  <c r="Z49" i="75"/>
  <c r="Z50" i="75"/>
  <c r="Z51" i="75"/>
  <c r="Z52" i="75"/>
  <c r="Z53" i="75"/>
  <c r="Z54" i="75"/>
  <c r="Z55" i="75"/>
  <c r="Z56" i="75"/>
  <c r="Z57" i="75"/>
  <c r="Z58" i="75"/>
  <c r="Z59" i="75"/>
  <c r="Z60" i="75"/>
  <c r="T35" i="75"/>
  <c r="V35" i="75" s="1"/>
  <c r="AF35" i="75" s="1"/>
  <c r="S35" i="75"/>
  <c r="S34" i="75"/>
  <c r="T34" i="75" s="1"/>
  <c r="V34" i="75" s="1"/>
  <c r="AF34" i="75" s="1"/>
  <c r="S32" i="75"/>
  <c r="T32" i="75" s="1"/>
  <c r="V32" i="75" s="1"/>
  <c r="S31" i="75"/>
  <c r="T31" i="75" s="1"/>
  <c r="V31" i="75" s="1"/>
  <c r="AF31" i="75" s="1"/>
  <c r="S29" i="75"/>
  <c r="T29" i="75" s="1"/>
  <c r="V29" i="75" s="1"/>
  <c r="AF29" i="75" s="1"/>
  <c r="T28" i="75"/>
  <c r="V28" i="75" s="1"/>
  <c r="AF28" i="75" s="1"/>
  <c r="S28" i="75"/>
  <c r="T26" i="75"/>
  <c r="V26" i="75" s="1"/>
  <c r="Y26" i="75" s="1"/>
  <c r="T25" i="75"/>
  <c r="V25" i="75" s="1"/>
  <c r="AF25" i="75" s="1"/>
  <c r="T14" i="75"/>
  <c r="V14" i="75" s="1"/>
  <c r="Y14" i="75" s="1"/>
  <c r="S14" i="75"/>
  <c r="N4" i="87"/>
  <c r="S13" i="85"/>
  <c r="Y30" i="85"/>
  <c r="X72" i="76" l="1"/>
  <c r="AM26" i="75"/>
  <c r="X20" i="76"/>
  <c r="AD26" i="75"/>
  <c r="AD25" i="75"/>
  <c r="AL14" i="75"/>
  <c r="AM14" i="75" s="1"/>
  <c r="V13" i="75"/>
  <c r="AD28" i="75"/>
  <c r="AF14" i="75"/>
  <c r="AD29" i="75"/>
  <c r="AD14" i="75"/>
  <c r="AD31" i="75"/>
  <c r="AF26" i="75"/>
  <c r="AI26" i="75"/>
  <c r="AD32" i="75"/>
  <c r="AD35" i="75"/>
  <c r="AI14" i="75"/>
  <c r="AL26" i="75"/>
  <c r="AD34" i="75"/>
  <c r="Y35" i="75"/>
  <c r="AL35" i="75" s="1"/>
  <c r="AM35" i="75" s="1"/>
  <c r="AJ20" i="75"/>
  <c r="AJ16" i="75"/>
  <c r="AJ12" i="75"/>
  <c r="AJ56" i="75"/>
  <c r="AJ60" i="75"/>
  <c r="AJ36" i="75"/>
  <c r="AJ24" i="75"/>
  <c r="AJ55" i="75"/>
  <c r="AJ39" i="75"/>
  <c r="AJ23" i="75"/>
  <c r="AJ15" i="75"/>
  <c r="AJ59" i="75"/>
  <c r="AJ27" i="75"/>
  <c r="AJ11" i="75"/>
  <c r="AJ10" i="75"/>
  <c r="AJ57" i="75"/>
  <c r="AJ53" i="75"/>
  <c r="AJ41" i="75"/>
  <c r="AJ33" i="75"/>
  <c r="AJ21" i="75"/>
  <c r="AJ17" i="75"/>
  <c r="AJ58" i="75"/>
  <c r="AJ54" i="75"/>
  <c r="AJ42" i="75"/>
  <c r="AJ38" i="75"/>
  <c r="AJ30" i="75"/>
  <c r="AJ26" i="75"/>
  <c r="AJ22" i="75"/>
  <c r="AJ18" i="75"/>
  <c r="R10" i="76"/>
  <c r="W10" i="76" s="1"/>
  <c r="X10" i="76" s="1"/>
  <c r="R11" i="76"/>
  <c r="W11" i="76" s="1"/>
  <c r="X11" i="76" s="1"/>
  <c r="R12" i="76"/>
  <c r="W12" i="76" s="1"/>
  <c r="X12" i="76" s="1"/>
  <c r="R13" i="76"/>
  <c r="W13" i="76" s="1"/>
  <c r="X13" i="76" s="1"/>
  <c r="R14" i="76"/>
  <c r="W14" i="76" s="1"/>
  <c r="X14" i="76" s="1"/>
  <c r="R15" i="76"/>
  <c r="W15" i="76" s="1"/>
  <c r="X15" i="76" s="1"/>
  <c r="R16" i="76"/>
  <c r="W16" i="76" s="1"/>
  <c r="X16" i="76" s="1"/>
  <c r="R17" i="76"/>
  <c r="W17" i="76" s="1"/>
  <c r="X17" i="76" s="1"/>
  <c r="R18" i="76"/>
  <c r="W18" i="76" s="1"/>
  <c r="X18" i="76" s="1"/>
  <c r="R19" i="76"/>
  <c r="W19" i="76" s="1"/>
  <c r="X19" i="76" s="1"/>
  <c r="R20" i="76"/>
  <c r="W20" i="76" s="1"/>
  <c r="R21" i="76"/>
  <c r="W21" i="76" s="1"/>
  <c r="X21" i="76" s="1"/>
  <c r="R22" i="76"/>
  <c r="W22" i="76" s="1"/>
  <c r="X22" i="76" s="1"/>
  <c r="R23" i="76"/>
  <c r="W23" i="76" s="1"/>
  <c r="X23" i="76" s="1"/>
  <c r="R24" i="76"/>
  <c r="W24" i="76" s="1"/>
  <c r="X24" i="76" s="1"/>
  <c r="R25" i="76"/>
  <c r="W25" i="76" s="1"/>
  <c r="X25" i="76" s="1"/>
  <c r="R26" i="76"/>
  <c r="W26" i="76" s="1"/>
  <c r="X26" i="76" s="1"/>
  <c r="R27" i="76"/>
  <c r="W27" i="76" s="1"/>
  <c r="X27" i="76" s="1"/>
  <c r="R28" i="76"/>
  <c r="W28" i="76" s="1"/>
  <c r="X28" i="76" s="1"/>
  <c r="R29" i="76"/>
  <c r="W29" i="76" s="1"/>
  <c r="X29" i="76" s="1"/>
  <c r="R30" i="76"/>
  <c r="W30" i="76" s="1"/>
  <c r="X30" i="76" s="1"/>
  <c r="R31" i="76"/>
  <c r="W31" i="76" s="1"/>
  <c r="X31" i="76" s="1"/>
  <c r="R32" i="76"/>
  <c r="W32" i="76" s="1"/>
  <c r="X32" i="76" s="1"/>
  <c r="R33" i="76"/>
  <c r="W33" i="76" s="1"/>
  <c r="X33" i="76" s="1"/>
  <c r="R34" i="76"/>
  <c r="W34" i="76" s="1"/>
  <c r="X34" i="76" s="1"/>
  <c r="R35" i="76"/>
  <c r="W35" i="76" s="1"/>
  <c r="X35" i="76" s="1"/>
  <c r="R36" i="76"/>
  <c r="W36" i="76" s="1"/>
  <c r="X36" i="76" s="1"/>
  <c r="R37" i="76"/>
  <c r="W37" i="76" s="1"/>
  <c r="X37" i="76" s="1"/>
  <c r="R38" i="76"/>
  <c r="W38" i="76" s="1"/>
  <c r="X38" i="76" s="1"/>
  <c r="R39" i="76"/>
  <c r="W39" i="76" s="1"/>
  <c r="X39" i="76" s="1"/>
  <c r="R40" i="76"/>
  <c r="W40" i="76" s="1"/>
  <c r="X40" i="76" s="1"/>
  <c r="R41" i="76"/>
  <c r="W41" i="76" s="1"/>
  <c r="X41" i="76" s="1"/>
  <c r="R42" i="76"/>
  <c r="W42" i="76" s="1"/>
  <c r="X42" i="76" s="1"/>
  <c r="R43" i="76"/>
  <c r="W43" i="76" s="1"/>
  <c r="X43" i="76" s="1"/>
  <c r="R44" i="76"/>
  <c r="W44" i="76" s="1"/>
  <c r="X44" i="76" s="1"/>
  <c r="R45" i="76"/>
  <c r="W45" i="76" s="1"/>
  <c r="X45" i="76" s="1"/>
  <c r="R46" i="76"/>
  <c r="W46" i="76" s="1"/>
  <c r="X46" i="76" s="1"/>
  <c r="R47" i="76"/>
  <c r="W47" i="76" s="1"/>
  <c r="X47" i="76" s="1"/>
  <c r="R48" i="76"/>
  <c r="W48" i="76" s="1"/>
  <c r="X48" i="76" s="1"/>
  <c r="R49" i="76"/>
  <c r="W49" i="76" s="1"/>
  <c r="X49" i="76" s="1"/>
  <c r="R50" i="76"/>
  <c r="W50" i="76" s="1"/>
  <c r="X50" i="76" s="1"/>
  <c r="R51" i="76"/>
  <c r="W51" i="76" s="1"/>
  <c r="X51" i="76" s="1"/>
  <c r="R52" i="76"/>
  <c r="W52" i="76" s="1"/>
  <c r="X52" i="76" s="1"/>
  <c r="R53" i="76"/>
  <c r="W53" i="76" s="1"/>
  <c r="X53" i="76" s="1"/>
  <c r="R54" i="76"/>
  <c r="W54" i="76" s="1"/>
  <c r="X54" i="76" s="1"/>
  <c r="R55" i="76"/>
  <c r="W55" i="76" s="1"/>
  <c r="X55" i="76" s="1"/>
  <c r="R56" i="76"/>
  <c r="W56" i="76" s="1"/>
  <c r="X56" i="76" s="1"/>
  <c r="R57" i="76"/>
  <c r="W57" i="76" s="1"/>
  <c r="X57" i="76" s="1"/>
  <c r="R58" i="76"/>
  <c r="W58" i="76" s="1"/>
  <c r="X58" i="76" s="1"/>
  <c r="R59" i="76"/>
  <c r="W59" i="76" s="1"/>
  <c r="X59" i="76" s="1"/>
  <c r="R60" i="76"/>
  <c r="W60" i="76" s="1"/>
  <c r="X60" i="76" s="1"/>
  <c r="R61" i="76"/>
  <c r="W61" i="76" s="1"/>
  <c r="X61" i="76" s="1"/>
  <c r="R62" i="76"/>
  <c r="W62" i="76" s="1"/>
  <c r="X62" i="76" s="1"/>
  <c r="R63" i="76"/>
  <c r="W63" i="76" s="1"/>
  <c r="X63" i="76" s="1"/>
  <c r="R64" i="76"/>
  <c r="W64" i="76" s="1"/>
  <c r="X64" i="76" s="1"/>
  <c r="R65" i="76"/>
  <c r="W65" i="76" s="1"/>
  <c r="X65" i="76" s="1"/>
  <c r="R66" i="76"/>
  <c r="W66" i="76" s="1"/>
  <c r="X66" i="76" s="1"/>
  <c r="R67" i="76"/>
  <c r="W67" i="76" s="1"/>
  <c r="X67" i="76" s="1"/>
  <c r="R68" i="76"/>
  <c r="W68" i="76" s="1"/>
  <c r="X68" i="76" s="1"/>
  <c r="R69" i="76"/>
  <c r="W69" i="76" s="1"/>
  <c r="X69" i="76" s="1"/>
  <c r="R70" i="76"/>
  <c r="W70" i="76" s="1"/>
  <c r="X70" i="76" s="1"/>
  <c r="R71" i="76"/>
  <c r="W71" i="76" s="1"/>
  <c r="X71" i="76" s="1"/>
  <c r="R72" i="76"/>
  <c r="W72" i="76" s="1"/>
  <c r="R73" i="76"/>
  <c r="W73" i="76" s="1"/>
  <c r="X73" i="76" s="1"/>
  <c r="R74" i="76"/>
  <c r="W74" i="76" s="1"/>
  <c r="X74" i="76" s="1"/>
  <c r="R75" i="76"/>
  <c r="W75" i="76" s="1"/>
  <c r="X75" i="76" s="1"/>
  <c r="R76" i="76"/>
  <c r="W76" i="76" s="1"/>
  <c r="X76" i="76" s="1"/>
  <c r="R77" i="76"/>
  <c r="W77" i="76" s="1"/>
  <c r="X77" i="76" s="1"/>
  <c r="R78" i="76"/>
  <c r="W78" i="76" s="1"/>
  <c r="X78" i="76" s="1"/>
  <c r="R79" i="76"/>
  <c r="W79" i="76" s="1"/>
  <c r="X79" i="76" s="1"/>
  <c r="R80" i="76"/>
  <c r="W80" i="76" s="1"/>
  <c r="X80" i="76" s="1"/>
  <c r="R81" i="76"/>
  <c r="W81" i="76" s="1"/>
  <c r="X81" i="76" s="1"/>
  <c r="R82" i="76"/>
  <c r="W82" i="76" s="1"/>
  <c r="X82" i="76" s="1"/>
  <c r="R83" i="76"/>
  <c r="W83" i="76" s="1"/>
  <c r="X83" i="76" s="1"/>
  <c r="R84" i="76"/>
  <c r="W84" i="76" s="1"/>
  <c r="X84" i="76" s="1"/>
  <c r="R85" i="76"/>
  <c r="W85" i="76" s="1"/>
  <c r="X85" i="76" s="1"/>
  <c r="R86" i="76"/>
  <c r="W86" i="76" s="1"/>
  <c r="X86" i="76" s="1"/>
  <c r="R87" i="76"/>
  <c r="W87" i="76" s="1"/>
  <c r="X87" i="76" s="1"/>
  <c r="R88" i="76"/>
  <c r="W88" i="76" s="1"/>
  <c r="X88" i="76" s="1"/>
  <c r="R89" i="76"/>
  <c r="W89" i="76" s="1"/>
  <c r="X89" i="76" s="1"/>
  <c r="R90" i="76"/>
  <c r="W90" i="76" s="1"/>
  <c r="X90" i="76" s="1"/>
  <c r="R91" i="76"/>
  <c r="W91" i="76" s="1"/>
  <c r="X91" i="76" s="1"/>
  <c r="R92" i="76"/>
  <c r="W92" i="76" s="1"/>
  <c r="X92" i="76" s="1"/>
  <c r="R93" i="76"/>
  <c r="W93" i="76" s="1"/>
  <c r="X93" i="76" s="1"/>
  <c r="R94" i="76"/>
  <c r="W94" i="76" s="1"/>
  <c r="X94" i="76" s="1"/>
  <c r="R95" i="76"/>
  <c r="W95" i="76" s="1"/>
  <c r="X95" i="76" s="1"/>
  <c r="R96" i="76"/>
  <c r="W96" i="76" s="1"/>
  <c r="X96" i="76" s="1"/>
  <c r="R97" i="76"/>
  <c r="W97" i="76" s="1"/>
  <c r="X97" i="76" s="1"/>
  <c r="R98" i="76"/>
  <c r="W98" i="76" s="1"/>
  <c r="X98" i="76" s="1"/>
  <c r="R99" i="76"/>
  <c r="W99" i="76" s="1"/>
  <c r="X99" i="76" s="1"/>
  <c r="R100" i="76"/>
  <c r="W100" i="76" s="1"/>
  <c r="X100" i="76" s="1"/>
  <c r="R101" i="76"/>
  <c r="W101" i="76" s="1"/>
  <c r="X101" i="76" s="1"/>
  <c r="R102" i="76"/>
  <c r="W102" i="76" s="1"/>
  <c r="X102" i="76" s="1"/>
  <c r="R9" i="76"/>
  <c r="L9" i="77"/>
  <c r="P9" i="77" s="1"/>
  <c r="Q9" i="77" s="1"/>
  <c r="L10" i="77"/>
  <c r="P10" i="77" s="1"/>
  <c r="Q10" i="77" s="1"/>
  <c r="L11" i="77"/>
  <c r="P11" i="77" s="1"/>
  <c r="Q11" i="77" s="1"/>
  <c r="L12" i="77"/>
  <c r="P12" i="77" s="1"/>
  <c r="Q12" i="77" s="1"/>
  <c r="L13" i="77"/>
  <c r="P13" i="77" s="1"/>
  <c r="Q13" i="77" s="1"/>
  <c r="L14" i="77"/>
  <c r="P14" i="77" s="1"/>
  <c r="Q14" i="77" s="1"/>
  <c r="L15" i="77"/>
  <c r="P15" i="77" s="1"/>
  <c r="Q15" i="77" s="1"/>
  <c r="L16" i="77"/>
  <c r="P16" i="77" s="1"/>
  <c r="Q16" i="77" s="1"/>
  <c r="L17" i="77"/>
  <c r="P17" i="77" s="1"/>
  <c r="Q17" i="77" s="1"/>
  <c r="L18" i="77"/>
  <c r="P18" i="77" s="1"/>
  <c r="Q18" i="77" s="1"/>
  <c r="L19" i="77"/>
  <c r="P19" i="77" s="1"/>
  <c r="Q19" i="77" s="1"/>
  <c r="L20" i="77"/>
  <c r="P20" i="77" s="1"/>
  <c r="Q20" i="77" s="1"/>
  <c r="L21" i="77"/>
  <c r="P21" i="77" s="1"/>
  <c r="Q21" i="77" s="1"/>
  <c r="L22" i="77"/>
  <c r="P22" i="77" s="1"/>
  <c r="Q22" i="77" s="1"/>
  <c r="L23" i="77"/>
  <c r="P23" i="77" s="1"/>
  <c r="Q23" i="77" s="1"/>
  <c r="L24" i="77"/>
  <c r="P24" i="77" s="1"/>
  <c r="Q24" i="77" s="1"/>
  <c r="L25" i="77"/>
  <c r="P25" i="77" s="1"/>
  <c r="Q25" i="77" s="1"/>
  <c r="L26" i="77"/>
  <c r="P26" i="77" s="1"/>
  <c r="Q26" i="77" s="1"/>
  <c r="L27" i="77"/>
  <c r="P27" i="77" s="1"/>
  <c r="Q27" i="77" s="1"/>
  <c r="L28" i="77"/>
  <c r="P28" i="77" s="1"/>
  <c r="Q28" i="77" s="1"/>
  <c r="L29" i="77"/>
  <c r="P29" i="77" s="1"/>
  <c r="Q29" i="77" s="1"/>
  <c r="L30" i="77"/>
  <c r="P30" i="77" s="1"/>
  <c r="Q30" i="77" s="1"/>
  <c r="L31" i="77"/>
  <c r="P31" i="77" s="1"/>
  <c r="Q31" i="77" s="1"/>
  <c r="L32" i="77"/>
  <c r="P32" i="77" s="1"/>
  <c r="Q32" i="77" s="1"/>
  <c r="L33" i="77"/>
  <c r="P33" i="77" s="1"/>
  <c r="Q33" i="77" s="1"/>
  <c r="L34" i="77"/>
  <c r="P34" i="77" s="1"/>
  <c r="Q34" i="77" s="1"/>
  <c r="L35" i="77"/>
  <c r="P35" i="77" s="1"/>
  <c r="Q35" i="77" s="1"/>
  <c r="L36" i="77"/>
  <c r="P36" i="77" s="1"/>
  <c r="Q36" i="77" s="1"/>
  <c r="L37" i="77"/>
  <c r="P37" i="77" s="1"/>
  <c r="Q37" i="77" s="1"/>
  <c r="L38" i="77"/>
  <c r="P38" i="77" s="1"/>
  <c r="Q38" i="77" s="1"/>
  <c r="L39" i="77"/>
  <c r="P39" i="77" s="1"/>
  <c r="Q39" i="77" s="1"/>
  <c r="L40" i="77"/>
  <c r="P40" i="77" s="1"/>
  <c r="Q40" i="77" s="1"/>
  <c r="L41" i="77"/>
  <c r="P41" i="77" s="1"/>
  <c r="Q41" i="77" s="1"/>
  <c r="L42" i="77"/>
  <c r="P42" i="77" s="1"/>
  <c r="Q42" i="77" s="1"/>
  <c r="L43" i="77"/>
  <c r="P43" i="77" s="1"/>
  <c r="Q43" i="77" s="1"/>
  <c r="L44" i="77"/>
  <c r="P44" i="77" s="1"/>
  <c r="Q44" i="77" s="1"/>
  <c r="L45" i="77"/>
  <c r="P45" i="77" s="1"/>
  <c r="Q45" i="77" s="1"/>
  <c r="L46" i="77"/>
  <c r="P46" i="77" s="1"/>
  <c r="Q46" i="77" s="1"/>
  <c r="L47" i="77"/>
  <c r="P47" i="77" s="1"/>
  <c r="Q47" i="77" s="1"/>
  <c r="L48" i="77"/>
  <c r="P48" i="77" s="1"/>
  <c r="Q48" i="77" s="1"/>
  <c r="L49" i="77"/>
  <c r="P49" i="77" s="1"/>
  <c r="Q49" i="77" s="1"/>
  <c r="L50" i="77"/>
  <c r="P50" i="77" s="1"/>
  <c r="Q50" i="77" s="1"/>
  <c r="L8" i="77"/>
  <c r="P8" i="77" s="1"/>
  <c r="Q8" i="77" s="1"/>
  <c r="W9" i="76" l="1"/>
  <c r="X9" i="76" s="1"/>
  <c r="R103" i="76"/>
  <c r="Y13" i="75"/>
  <c r="AF13" i="75"/>
  <c r="AI35" i="75"/>
  <c r="I6" i="86"/>
  <c r="E6" i="86"/>
  <c r="S22" i="85"/>
  <c r="S25" i="85"/>
  <c r="S16" i="85"/>
  <c r="S19" i="85"/>
  <c r="S28" i="85" l="1"/>
  <c r="AJ13" i="75"/>
  <c r="AM13" i="75"/>
  <c r="AI13" i="75"/>
  <c r="AL13" i="75"/>
  <c r="Y19" i="75"/>
  <c r="R105" i="76"/>
  <c r="W105" i="76" s="1"/>
  <c r="X105" i="76" s="1"/>
  <c r="R104" i="76"/>
  <c r="W104" i="76" s="1"/>
  <c r="X104" i="76" s="1"/>
  <c r="W103" i="76"/>
  <c r="X103" i="76" s="1"/>
  <c r="X108" i="76"/>
  <c r="K108" i="76" s="1"/>
  <c r="O112" i="76" s="1"/>
  <c r="P13" i="89"/>
  <c r="AL19" i="75" l="1"/>
  <c r="AI19" i="75"/>
  <c r="AJ19" i="75" s="1"/>
  <c r="AM19" i="75"/>
  <c r="S7" i="89"/>
  <c r="B4" i="89"/>
  <c r="M20" i="79"/>
  <c r="M15" i="79"/>
  <c r="L51" i="77"/>
  <c r="M3" i="76"/>
  <c r="L107" i="76" s="1"/>
  <c r="R6" i="75"/>
  <c r="Q64" i="75" s="1"/>
  <c r="J3" i="77" l="1"/>
  <c r="P51" i="77"/>
  <c r="Q51" i="77" s="1"/>
  <c r="L52" i="77"/>
  <c r="M21" i="79"/>
  <c r="R20" i="79"/>
  <c r="S20" i="79" s="1"/>
  <c r="R15" i="79"/>
  <c r="S15" i="79" s="1"/>
  <c r="X32" i="75"/>
  <c r="X31" i="75"/>
  <c r="D9" i="89"/>
  <c r="B15" i="89"/>
  <c r="C15" i="89" s="1"/>
  <c r="B3" i="89"/>
  <c r="B2" i="89"/>
  <c r="B5" i="88"/>
  <c r="M4" i="87"/>
  <c r="A4" i="87"/>
  <c r="B4" i="87" s="1"/>
  <c r="N4" i="86"/>
  <c r="R6" i="86"/>
  <c r="L6" i="86"/>
  <c r="K6" i="86"/>
  <c r="J6" i="86"/>
  <c r="A6" i="86"/>
  <c r="B6" i="86" s="1"/>
  <c r="S10" i="85"/>
  <c r="F10" i="85"/>
  <c r="P6" i="85"/>
  <c r="C5" i="84"/>
  <c r="C4" i="84"/>
  <c r="A7" i="83"/>
  <c r="J5" i="88" l="1"/>
  <c r="E5" i="88"/>
  <c r="G5" i="88"/>
  <c r="M6" i="86"/>
  <c r="N6" i="86" s="1"/>
  <c r="P52" i="77"/>
  <c r="Q52" i="77" s="1"/>
  <c r="P53" i="77"/>
  <c r="Q53" i="77" s="1"/>
  <c r="L53" i="77"/>
  <c r="Q57" i="77"/>
  <c r="H57" i="77" s="1"/>
  <c r="L60" i="77" s="1"/>
  <c r="H5" i="88" s="1"/>
  <c r="I56" i="77"/>
  <c r="K1" i="79"/>
  <c r="J24" i="79" s="1"/>
  <c r="AH32" i="75"/>
  <c r="Y32" i="75"/>
  <c r="AH31" i="75"/>
  <c r="R21" i="79"/>
  <c r="S21" i="79" s="1"/>
  <c r="S25" i="79" s="1"/>
  <c r="I25" i="79" s="1"/>
  <c r="K28" i="79" s="1"/>
  <c r="I5" i="88" s="1"/>
  <c r="X28" i="75"/>
  <c r="X29" i="75"/>
  <c r="S29" i="85"/>
  <c r="F6" i="86"/>
  <c r="S6" i="86" l="1"/>
  <c r="D5" i="88" s="1"/>
  <c r="W28" i="75"/>
  <c r="AG28" i="75" s="1"/>
  <c r="W25" i="75"/>
  <c r="W34" i="75"/>
  <c r="W31" i="75"/>
  <c r="AH29" i="75"/>
  <c r="Y29" i="75"/>
  <c r="AH28" i="75"/>
  <c r="Y28" i="75"/>
  <c r="AL32" i="75"/>
  <c r="AM32" i="75" s="1"/>
  <c r="AI32" i="75"/>
  <c r="B28" i="85"/>
  <c r="T28" i="85"/>
  <c r="Z30" i="85" s="1"/>
  <c r="C5" i="88" s="1"/>
  <c r="AG31" i="75" l="1"/>
  <c r="Y31" i="75"/>
  <c r="AG34" i="75"/>
  <c r="Y34" i="75"/>
  <c r="AG25" i="75"/>
  <c r="Y25" i="75"/>
  <c r="Y37" i="75" s="1"/>
  <c r="AL29" i="75"/>
  <c r="AM29" i="75" s="1"/>
  <c r="AI29" i="75"/>
  <c r="AI28" i="75"/>
  <c r="AL28" i="75"/>
  <c r="AM28" i="75" s="1"/>
  <c r="AI34" i="75" l="1"/>
  <c r="AL34" i="75"/>
  <c r="AM34" i="75" s="1"/>
  <c r="AI31" i="75"/>
  <c r="AL31" i="75"/>
  <c r="AM31" i="75" s="1"/>
  <c r="AI25" i="75"/>
  <c r="AJ25" i="75" s="1"/>
  <c r="AL25" i="75"/>
  <c r="AM25" i="75" s="1"/>
  <c r="Y40" i="75"/>
  <c r="AI37" i="75"/>
  <c r="AJ37" i="75" s="1"/>
  <c r="AL37" i="75"/>
  <c r="AM37" i="75" s="1"/>
  <c r="AL40" i="75" l="1"/>
  <c r="AM40" i="75" s="1"/>
  <c r="Y43" i="75"/>
  <c r="AI40" i="75"/>
  <c r="AJ40" i="75" s="1"/>
  <c r="F9" i="77"/>
  <c r="F10" i="77"/>
  <c r="F11" i="77"/>
  <c r="F12" i="77"/>
  <c r="F13" i="77"/>
  <c r="F14" i="77"/>
  <c r="F15" i="77"/>
  <c r="F16" i="77"/>
  <c r="F17" i="77"/>
  <c r="F18" i="77"/>
  <c r="F19" i="77"/>
  <c r="F20" i="77"/>
  <c r="F21" i="77"/>
  <c r="F22" i="77"/>
  <c r="F23" i="77"/>
  <c r="F24" i="77"/>
  <c r="F25" i="77"/>
  <c r="F26" i="77"/>
  <c r="F27" i="77"/>
  <c r="F28" i="77"/>
  <c r="F29" i="77"/>
  <c r="F30" i="77"/>
  <c r="F31" i="77"/>
  <c r="F32" i="77"/>
  <c r="F33" i="77"/>
  <c r="F34" i="77"/>
  <c r="F35" i="77"/>
  <c r="F36" i="77"/>
  <c r="F37" i="77"/>
  <c r="F38" i="77"/>
  <c r="F39" i="77"/>
  <c r="F40" i="77"/>
  <c r="F41" i="77"/>
  <c r="F42" i="77"/>
  <c r="F43" i="77"/>
  <c r="F44" i="77"/>
  <c r="F45" i="77"/>
  <c r="F46" i="77"/>
  <c r="F47" i="77"/>
  <c r="F48" i="77"/>
  <c r="F49" i="77"/>
  <c r="F50" i="77"/>
  <c r="F8" i="77"/>
  <c r="G25" i="75"/>
  <c r="Y45" i="75" l="1"/>
  <c r="Y44" i="75"/>
  <c r="AL43" i="75"/>
  <c r="AM43" i="75" s="1"/>
  <c r="AI43" i="75"/>
  <c r="AJ43" i="75" s="1"/>
  <c r="F51" i="77"/>
  <c r="F52" i="77" s="1"/>
  <c r="F53" i="77" s="1"/>
  <c r="J25" i="75" s="1"/>
  <c r="F20" i="79"/>
  <c r="F19" i="79"/>
  <c r="F14" i="79"/>
  <c r="F13" i="79"/>
  <c r="F8" i="79"/>
  <c r="F7" i="79"/>
  <c r="F15" i="79" l="1"/>
  <c r="Y46" i="75"/>
  <c r="Y47" i="75" s="1"/>
  <c r="AI44" i="75"/>
  <c r="AJ44" i="75" s="1"/>
  <c r="AL44" i="75"/>
  <c r="AM44" i="75" s="1"/>
  <c r="F9" i="79"/>
  <c r="F21" i="79"/>
  <c r="AI45" i="75"/>
  <c r="AJ45" i="75" s="1"/>
  <c r="AL45" i="75"/>
  <c r="AM45" i="75" s="1"/>
  <c r="I101" i="76"/>
  <c r="AL47" i="75" l="1"/>
  <c r="AM47" i="75" s="1"/>
  <c r="Y49" i="75"/>
  <c r="Y48" i="75"/>
  <c r="AI47" i="75"/>
  <c r="AJ47" i="75" s="1"/>
  <c r="AI46" i="75"/>
  <c r="AJ46" i="75" s="1"/>
  <c r="AL46" i="75"/>
  <c r="AM46" i="75" s="1"/>
  <c r="I97" i="76"/>
  <c r="G13" i="75"/>
  <c r="AI49" i="75" l="1"/>
  <c r="AJ49" i="75" s="1"/>
  <c r="AL49" i="75"/>
  <c r="AM49" i="75" s="1"/>
  <c r="Y50" i="75"/>
  <c r="AL48" i="75"/>
  <c r="AM48" i="75" s="1"/>
  <c r="AI48" i="75"/>
  <c r="AJ48" i="75" s="1"/>
  <c r="K34" i="75"/>
  <c r="I9" i="76"/>
  <c r="I10" i="76"/>
  <c r="I11" i="76"/>
  <c r="I12" i="76"/>
  <c r="I13" i="76"/>
  <c r="I14" i="76"/>
  <c r="I15" i="76"/>
  <c r="I16" i="76"/>
  <c r="I17" i="76"/>
  <c r="I18" i="76"/>
  <c r="I19" i="76"/>
  <c r="I20" i="76"/>
  <c r="I21" i="76"/>
  <c r="I22" i="76"/>
  <c r="I23" i="76"/>
  <c r="I24" i="76"/>
  <c r="I25" i="76"/>
  <c r="I26" i="76"/>
  <c r="I27" i="76"/>
  <c r="I28" i="76"/>
  <c r="I29" i="76"/>
  <c r="I30" i="76"/>
  <c r="I31" i="76"/>
  <c r="I32" i="76"/>
  <c r="I33" i="76"/>
  <c r="I34" i="76"/>
  <c r="I35" i="76"/>
  <c r="I36" i="76"/>
  <c r="I37" i="76"/>
  <c r="I38" i="76"/>
  <c r="I39" i="76"/>
  <c r="I40" i="76"/>
  <c r="I41" i="76"/>
  <c r="I42" i="76"/>
  <c r="I43" i="76"/>
  <c r="I44" i="76"/>
  <c r="I45" i="76"/>
  <c r="I46" i="76"/>
  <c r="I47" i="76"/>
  <c r="I48" i="76"/>
  <c r="I49" i="76"/>
  <c r="I50" i="76"/>
  <c r="I51" i="76"/>
  <c r="I52" i="76"/>
  <c r="I53" i="76"/>
  <c r="I54" i="76"/>
  <c r="I55" i="76"/>
  <c r="I56" i="76"/>
  <c r="I57" i="76"/>
  <c r="I58" i="76"/>
  <c r="I59" i="76"/>
  <c r="I60" i="76"/>
  <c r="I61" i="76"/>
  <c r="I62" i="76"/>
  <c r="I63" i="76"/>
  <c r="I64" i="76"/>
  <c r="I65" i="76"/>
  <c r="I66" i="76"/>
  <c r="I67" i="76"/>
  <c r="I68" i="76"/>
  <c r="I69" i="76"/>
  <c r="I70" i="76"/>
  <c r="I71" i="76"/>
  <c r="I72" i="76"/>
  <c r="I73" i="76"/>
  <c r="I74" i="76"/>
  <c r="I75" i="76"/>
  <c r="I76" i="76"/>
  <c r="I77" i="76"/>
  <c r="I78" i="76"/>
  <c r="I79" i="76"/>
  <c r="I80" i="76"/>
  <c r="I81" i="76"/>
  <c r="I82" i="76"/>
  <c r="I83" i="76"/>
  <c r="I84" i="76"/>
  <c r="I85" i="76"/>
  <c r="I86" i="76"/>
  <c r="I87" i="76"/>
  <c r="I88" i="76"/>
  <c r="I89" i="76"/>
  <c r="I90" i="76"/>
  <c r="I91" i="76"/>
  <c r="I92" i="76"/>
  <c r="I93" i="76"/>
  <c r="I94" i="76"/>
  <c r="I95" i="76"/>
  <c r="I96" i="76"/>
  <c r="I98" i="76"/>
  <c r="I99" i="76"/>
  <c r="I100" i="76"/>
  <c r="I102" i="76"/>
  <c r="F14" i="75"/>
  <c r="G26" i="75"/>
  <c r="F28" i="75"/>
  <c r="AC28" i="75" s="1"/>
  <c r="AJ28" i="75" s="1"/>
  <c r="F29" i="75"/>
  <c r="F31" i="75"/>
  <c r="AC31" i="75" s="1"/>
  <c r="AJ31" i="75" s="1"/>
  <c r="F32" i="75"/>
  <c r="F34" i="75"/>
  <c r="AC34" i="75" s="1"/>
  <c r="AJ34" i="75" s="1"/>
  <c r="F35" i="75"/>
  <c r="G29" i="75" l="1"/>
  <c r="AC29" i="75"/>
  <c r="AJ29" i="75" s="1"/>
  <c r="G14" i="75"/>
  <c r="AC14" i="75"/>
  <c r="AJ14" i="75" s="1"/>
  <c r="G35" i="75"/>
  <c r="AC35" i="75"/>
  <c r="AJ35" i="75" s="1"/>
  <c r="G32" i="75"/>
  <c r="AC32" i="75"/>
  <c r="AJ32" i="75" s="1"/>
  <c r="AI50" i="75"/>
  <c r="AJ50" i="75" s="1"/>
  <c r="AL50" i="75"/>
  <c r="AM50" i="75" s="1"/>
  <c r="Y51" i="75"/>
  <c r="Y52" i="75" s="1"/>
  <c r="G15" i="89" s="1"/>
  <c r="K8" i="89" s="1"/>
  <c r="I103" i="76"/>
  <c r="G34" i="75"/>
  <c r="G28" i="75"/>
  <c r="G31" i="75"/>
  <c r="K31" i="75"/>
  <c r="K32" i="75"/>
  <c r="K29" i="75"/>
  <c r="K28" i="75"/>
  <c r="K35" i="75"/>
  <c r="AI52" i="75" l="1"/>
  <c r="AJ52" i="75" s="1"/>
  <c r="AL52" i="75"/>
  <c r="AM52" i="75" s="1"/>
  <c r="AF65" i="75"/>
  <c r="AL51" i="75"/>
  <c r="AM51" i="75" s="1"/>
  <c r="AI51" i="75"/>
  <c r="AJ51" i="75" s="1"/>
  <c r="AJ65" i="75" s="1"/>
  <c r="J31" i="75"/>
  <c r="I104" i="76"/>
  <c r="J34" i="75"/>
  <c r="J28" i="75"/>
  <c r="I105" i="76"/>
  <c r="AM62" i="75" l="1"/>
  <c r="AM63" i="75" s="1"/>
  <c r="AM65" i="75" s="1"/>
  <c r="P65" i="75" s="1"/>
  <c r="S73" i="75" s="1"/>
  <c r="F5" i="88" s="1"/>
  <c r="I13" i="75"/>
  <c r="L13" i="75" s="1"/>
  <c r="I14" i="75"/>
  <c r="L14" i="75" s="1"/>
  <c r="F15" i="89" l="1"/>
  <c r="S8" i="89" s="1"/>
  <c r="L5" i="88"/>
  <c r="L19" i="75"/>
  <c r="I28" i="75"/>
  <c r="L28" i="75" s="1"/>
  <c r="I31" i="75"/>
  <c r="L31" i="75" s="1"/>
  <c r="I25" i="75"/>
  <c r="L25" i="75" s="1"/>
  <c r="I34" i="75"/>
  <c r="L34" i="75" s="1"/>
  <c r="I26" i="75" l="1"/>
  <c r="L26" i="75" s="1"/>
  <c r="I29" i="75" l="1"/>
  <c r="L29" i="75" s="1"/>
  <c r="I32" i="75"/>
  <c r="L32" i="75" s="1"/>
  <c r="I35" i="75"/>
  <c r="L35" i="75" s="1"/>
  <c r="L37" i="75" l="1"/>
  <c r="L40" i="75" s="1"/>
  <c r="L43" i="75" l="1"/>
  <c r="L45" i="75" l="1"/>
  <c r="L44" i="75"/>
  <c r="L46" i="75" s="1"/>
  <c r="L47" i="75" l="1"/>
  <c r="L49" i="75" s="1"/>
  <c r="L48" i="75" l="1"/>
  <c r="L50" i="75" s="1"/>
  <c r="L51" i="75" s="1"/>
  <c r="L52" i="75" l="1"/>
</calcChain>
</file>

<file path=xl/comments1.xml><?xml version="1.0" encoding="utf-8"?>
<comments xmlns="http://schemas.openxmlformats.org/spreadsheetml/2006/main">
  <authors>
    <author>Gustavo</author>
    <author>LEIDY VIVIANA ROLDAN BOLIVAR</author>
  </authors>
  <commentList>
    <comment ref="H10" authorId="0" shapeId="0">
      <text>
        <r>
          <rPr>
            <b/>
            <sz val="9"/>
            <color indexed="81"/>
            <rFont val="Tahoma"/>
            <family val="2"/>
          </rPr>
          <t xml:space="preserve">Factor prestacional = Prestaciones sociales + subsidio de transporte, para salarios menores o iguales a 2 SMMLV
</t>
        </r>
      </text>
    </comment>
    <comment ref="U10" authorId="0" shapeId="0">
      <text>
        <r>
          <rPr>
            <b/>
            <sz val="9"/>
            <color indexed="81"/>
            <rFont val="Tahoma"/>
            <family val="2"/>
          </rPr>
          <t xml:space="preserve">Factor prestacional = Prestaciones sociales + subsidio de transporte, para salarios menores o iguales a 2 SMMLV
</t>
        </r>
      </text>
    </comment>
    <comment ref="H22" authorId="1" shapeId="0">
      <text>
        <r>
          <rPr>
            <b/>
            <sz val="9"/>
            <color indexed="81"/>
            <rFont val="Tahoma"/>
            <family val="2"/>
          </rPr>
          <t>Factor prestacional = Prestaciones sociales + subsidio de transporte, para salarios menores o iguales a 2 SMMLV</t>
        </r>
        <r>
          <rPr>
            <sz val="9"/>
            <color indexed="81"/>
            <rFont val="Tahoma"/>
            <family val="2"/>
          </rPr>
          <t xml:space="preserve">
</t>
        </r>
      </text>
    </comment>
    <comment ref="U22" authorId="1" shapeId="0">
      <text>
        <r>
          <rPr>
            <b/>
            <sz val="9"/>
            <color indexed="81"/>
            <rFont val="Tahoma"/>
            <family val="2"/>
          </rPr>
          <t>Factor prestacional = Prestaciones sociales + subsidio de transporte, para salarios menores o iguales a 2 SMMLV</t>
        </r>
        <r>
          <rPr>
            <sz val="9"/>
            <color indexed="81"/>
            <rFont val="Tahoma"/>
            <family val="2"/>
          </rPr>
          <t xml:space="preserve">
</t>
        </r>
      </text>
    </comment>
  </commentList>
</comments>
</file>

<file path=xl/comments2.xml><?xml version="1.0" encoding="utf-8"?>
<comments xmlns="http://schemas.openxmlformats.org/spreadsheetml/2006/main">
  <authors>
    <author>Gustavo</author>
  </authors>
  <commentList>
    <comment ref="D8" authorId="0" shapeId="0">
      <text>
        <r>
          <rPr>
            <b/>
            <sz val="9"/>
            <color indexed="81"/>
            <rFont val="Tahoma"/>
            <family val="2"/>
          </rPr>
          <t>Fecha de la TRM</t>
        </r>
      </text>
    </comment>
  </commentList>
</comments>
</file>

<file path=xl/sharedStrings.xml><?xml version="1.0" encoding="utf-8"?>
<sst xmlns="http://schemas.openxmlformats.org/spreadsheetml/2006/main" count="1380" uniqueCount="459">
  <si>
    <t>TOTAL</t>
  </si>
  <si>
    <t>CANTIDAD</t>
  </si>
  <si>
    <t>VALOR TOTAL</t>
  </si>
  <si>
    <t>ÍTEM</t>
  </si>
  <si>
    <t>UN</t>
  </si>
  <si>
    <t>M</t>
  </si>
  <si>
    <t>un</t>
  </si>
  <si>
    <t>VALOR UNITARIO</t>
  </si>
  <si>
    <t>SUBTOTAL</t>
  </si>
  <si>
    <t>ITEM</t>
  </si>
  <si>
    <t>GL</t>
  </si>
  <si>
    <t>6. La destinación para las sedes regionales es proyectada, se cancelará el valor de transporte y viáticos, dependiendo del número de días efectivos de visita; dicha programación se hará por zonas, esto es, en un recorrido se deberán visitar todas las sedes de la misma zona y la Universidad reconocerá el ítem de transporte y viáticos con el recorrido más largo.</t>
  </si>
  <si>
    <t>Nota:</t>
  </si>
  <si>
    <t>IVA %</t>
  </si>
  <si>
    <t>UTILIDAD %</t>
  </si>
  <si>
    <t>ADMINISTRACION %</t>
  </si>
  <si>
    <t>TOTAL COSTOS  DIRECTO MENSUAL</t>
  </si>
  <si>
    <t>SUBTOTAL - COSTOS BASICOS DEL PERSONAL /MES</t>
  </si>
  <si>
    <t>Ayudante aire acondicionado</t>
  </si>
  <si>
    <t>Oficiales aire acondicionado</t>
  </si>
  <si>
    <t>SUROESTE ANTIOQUEÑO</t>
  </si>
  <si>
    <t>OCCIDENTE ANTIOQUEÑO</t>
  </si>
  <si>
    <t>MAGDALENA MEDIO</t>
  </si>
  <si>
    <t>SEDES ÁREA METROPOLITANA y ORIENTE CERCANO</t>
  </si>
  <si>
    <t>J=(D+F+H+I)*A</t>
  </si>
  <si>
    <t>I</t>
  </si>
  <si>
    <t xml:space="preserve">H </t>
  </si>
  <si>
    <t>F=D*E</t>
  </si>
  <si>
    <t>E</t>
  </si>
  <si>
    <t>D=B*C</t>
  </si>
  <si>
    <t>C</t>
  </si>
  <si>
    <t>B</t>
  </si>
  <si>
    <t>A</t>
  </si>
  <si>
    <t>SUBTOTAL
UNIVERSIDAD</t>
  </si>
  <si>
    <t>TRANSPORTE y VIÁTICOS (SOLO PARA LAS REGIONALES)</t>
  </si>
  <si>
    <t>HERRAMIENTA GENERAL Y ESPECIAL POR MES</t>
  </si>
  <si>
    <r>
      <t>FACTOR 
PRESTACIONAL EN</t>
    </r>
    <r>
      <rPr>
        <b/>
        <sz val="9"/>
        <rFont val="Calibri"/>
        <family val="2"/>
      </rPr>
      <t xml:space="preserve"> %</t>
    </r>
  </si>
  <si>
    <t>SALARIO POR DESTINACIÓN</t>
  </si>
  <si>
    <t>DESTINACIÓN</t>
  </si>
  <si>
    <t>SALARIO BASICO MENSUAL (INCLUIDO AUXILIO DE TRANSPORTE SI APLICA)</t>
  </si>
  <si>
    <t>CANT. PERSONAS</t>
  </si>
  <si>
    <t>PERFIL DEL CARGO</t>
  </si>
  <si>
    <t>MANO DE OBRA - SEDES DE LA UNIVERSIDAD DE ANTIOQUIA.</t>
  </si>
  <si>
    <t>SUBTOTAL COSTOS DE ADMINISTRACION / MES</t>
  </si>
  <si>
    <t>MANEJO AMBIENTAL Y SEGURIDAD - PÓLIZAS - GASTOS DE OFICINA</t>
  </si>
  <si>
    <t>Analista SISO</t>
  </si>
  <si>
    <t>Coordinador o Planner de Mantenimiento - Ingeniero</t>
  </si>
  <si>
    <t>PERSONAL ADMINISTRATIVO</t>
  </si>
  <si>
    <t xml:space="preserve">SALARIO POR DESTINACIÓN MÁS FACTOR PRESTACIONAL </t>
  </si>
  <si>
    <t>FACTOR 
PRESTACIONAL</t>
  </si>
  <si>
    <t xml:space="preserve">TOTAL VALORES UNITARIOS CON IVA DEL 19%  - ANUAL </t>
  </si>
  <si>
    <t>TOTAL VALORES UNITARIOS ANTES DE IVA - MENSUAL</t>
  </si>
  <si>
    <t xml:space="preserve">TOTAL VALORES UNITARIOS ANTES DE IVA - ANUAL </t>
  </si>
  <si>
    <t>Un</t>
  </si>
  <si>
    <t>Filtro secador 1/4"</t>
  </si>
  <si>
    <t>Temporizador 0 - 5min</t>
  </si>
  <si>
    <t>Filtro secador 3/8"</t>
  </si>
  <si>
    <t>Desincrustante para serpentin</t>
  </si>
  <si>
    <t>Cilindro Refrigerante R134</t>
  </si>
  <si>
    <t xml:space="preserve">Cilindro Refrigerante R410 </t>
  </si>
  <si>
    <t>Compresor scroll de 5tr</t>
  </si>
  <si>
    <t>Compresor scroll de 4tr</t>
  </si>
  <si>
    <t>Compresor scroll de 3tr</t>
  </si>
  <si>
    <t>Compresor rotativo de 2tr</t>
  </si>
  <si>
    <t>Compresor rotativo de 1tr</t>
  </si>
  <si>
    <t>Medio humectante para lavador de aire de 6000 CFM</t>
  </si>
  <si>
    <t>Medio humectante para lavador de aire de 3000 CFM</t>
  </si>
  <si>
    <t>Coolant para arrancador de Chiller condensado por agua 1 galon</t>
  </si>
  <si>
    <t>Sensor de flujo analogo para Chiller condensado por agua</t>
  </si>
  <si>
    <t>Malla plastica, con marco en aluminio para torres de enfriamiento (7.5 m X .5 m)</t>
  </si>
  <si>
    <t>Valvula de dos vias para fancoil de agua fria</t>
  </si>
  <si>
    <t>ml</t>
  </si>
  <si>
    <t>Cable No. 10  AWG - THHN</t>
  </si>
  <si>
    <t>Cable No. 12  AWG - THHN</t>
  </si>
  <si>
    <t>Cable No. 14  AWG - THHN</t>
  </si>
  <si>
    <t>Cable No. 16  AWG - THHN</t>
  </si>
  <si>
    <t>Cable No. 18  AWG - THHN</t>
  </si>
  <si>
    <t>Piloto con led integrado Amarillo verde o rojo 24 VDC, diámetro 22mm con tecnología Protected LED</t>
  </si>
  <si>
    <t>Piloto con led integrado Amarillo verde o rojo 240 Vac, diámetro 22mm con tecnología Protected LED</t>
  </si>
  <si>
    <t>Bornera para riel Omega para cableado de control #  6 a12 AWG</t>
  </si>
  <si>
    <t>Bornera para riel Omega para cableado de control # 14 a 18 AWG</t>
  </si>
  <si>
    <t>Aceite compatible con Freón 22 por GL</t>
  </si>
  <si>
    <t>Válvula de expansión de 20  toneladas de refrigeración</t>
  </si>
  <si>
    <t>Válvula de expansión de 15  toneladas de refrigeración</t>
  </si>
  <si>
    <t>Válvula de expansión de 12  toneladas de refrigeración</t>
  </si>
  <si>
    <t>Válvula de expansión de 10  toneladas de refrigeración</t>
  </si>
  <si>
    <t>Válvula de expansión de 7.5  toneladas de refrigeración R22</t>
  </si>
  <si>
    <t>Valvula de paso de 1"</t>
  </si>
  <si>
    <t>Valvula de paso de 3/4"</t>
  </si>
  <si>
    <t>Valvula de paso de 1/2"</t>
  </si>
  <si>
    <t xml:space="preserve">Soldadura PVC 1/4 galon </t>
  </si>
  <si>
    <t>Limpiador PVC 1/4 galon</t>
  </si>
  <si>
    <t>Adaptador Hembra de 1"</t>
  </si>
  <si>
    <t>Adaptador Hembra de 3/4"</t>
  </si>
  <si>
    <t>Adaptador Hembra de 1/2"</t>
  </si>
  <si>
    <t>Adaptador macho de 1"</t>
  </si>
  <si>
    <t>Adaptador macho de 3/4"</t>
  </si>
  <si>
    <t>Adaptador macho de 1/2"</t>
  </si>
  <si>
    <t>Válvula de flotador para tanque de agua de 1"</t>
  </si>
  <si>
    <t>Válvula de flotador para tanque de agua de 1/2"</t>
  </si>
  <si>
    <t>Union de 1"</t>
  </si>
  <si>
    <t>union de 3/4"</t>
  </si>
  <si>
    <t>Union de 1/2"</t>
  </si>
  <si>
    <t>Codo de 1"</t>
  </si>
  <si>
    <t>Codo de 3/4"</t>
  </si>
  <si>
    <t>Codo de 1/2"</t>
  </si>
  <si>
    <t>Tubería tipo  PVC. de 2-1/2 pulgadas de diámetro</t>
  </si>
  <si>
    <t>Tubería tipo  PVC. de 2 pulgadas de diámetro</t>
  </si>
  <si>
    <t>Tuberia PVC RDE 21 de 1"</t>
  </si>
  <si>
    <t>Tuberia PVC RDE 21 de 3/4"</t>
  </si>
  <si>
    <t>Tuberia PVC RDE 21 de 1/2"</t>
  </si>
  <si>
    <t>Control  de Presión Dual Cont Man / Auto</t>
  </si>
  <si>
    <t>Control  de Presión Alta Reset  Manual</t>
  </si>
  <si>
    <t>Control  de Presión Alta Reset  Automático</t>
  </si>
  <si>
    <t>Presostato tipo botella baja</t>
  </si>
  <si>
    <t>Presostato tipo botella alta</t>
  </si>
  <si>
    <t>Termostato Belimo</t>
  </si>
  <si>
    <t>Termostato expansión directa 2 etapas</t>
  </si>
  <si>
    <t>Termostato expansión directa 1 etapa</t>
  </si>
  <si>
    <t>Termostato Para Fan Coil de agua fría</t>
  </si>
  <si>
    <t>Tuberia de cobre tipo "L" de 3/8"</t>
  </si>
  <si>
    <t>Tuberia de cobre tipo "L" de 3/8" tubos de 6 metros</t>
  </si>
  <si>
    <t>MT</t>
  </si>
  <si>
    <t>Tuberia de cobre tipo "L" de 5/8"</t>
  </si>
  <si>
    <t>Tuberia de cobre tipo "L" de 5/8" tubos de 6 metros</t>
  </si>
  <si>
    <t>Cilidro R-22</t>
  </si>
  <si>
    <t>Filtro secador 5/8"</t>
  </si>
  <si>
    <t>Motor 3/4, 1500 RPM 220V</t>
  </si>
  <si>
    <t>Breaker 3x20</t>
  </si>
  <si>
    <t>Breaker 3x50</t>
  </si>
  <si>
    <t>Relevo 8 pines 110 VAC</t>
  </si>
  <si>
    <t>Cable encauchetado 3#14</t>
  </si>
  <si>
    <t>Cable encauchetado 3#18</t>
  </si>
  <si>
    <t>Cable encauchetado 3#16</t>
  </si>
  <si>
    <t>Cable encauchetado 3#12</t>
  </si>
  <si>
    <t>Cable encauchetado 3#10</t>
  </si>
  <si>
    <t>Termico 15 Amperios</t>
  </si>
  <si>
    <t>Termico 25 Amperios</t>
  </si>
  <si>
    <t>Contactor 3 polos 20 amperios, Bobina 220v</t>
  </si>
  <si>
    <t>Contactor 3 polos 30 amperios, Bobina 24v</t>
  </si>
  <si>
    <t>Contactor 3 polos 40 amperios, Bobina 220v</t>
  </si>
  <si>
    <t>Rodamientos 6202 ZZ</t>
  </si>
  <si>
    <t>Transformador 220-24V</t>
  </si>
  <si>
    <t>Capacitor de marcha 55 MFD a 370V</t>
  </si>
  <si>
    <t>Capacitor de marcha 40 MFD a 370V</t>
  </si>
  <si>
    <t>Capacitor de marcha10 MFD a 370V</t>
  </si>
  <si>
    <t>Capacitor de marcha 7.5 MFD a 370V</t>
  </si>
  <si>
    <t>Capacitor de marcha 5 MFD a 370V</t>
  </si>
  <si>
    <t>Banda BX42</t>
  </si>
  <si>
    <t>Banda BX31</t>
  </si>
  <si>
    <t>Banda BX30</t>
  </si>
  <si>
    <t xml:space="preserve">REPUESTOS </t>
  </si>
  <si>
    <t>VALOR PARCIAL ANTES DE IVA</t>
  </si>
  <si>
    <t>VALOR UNITARIO ANTES DE IVA</t>
  </si>
  <si>
    <t>CANT.</t>
  </si>
  <si>
    <t>DESCRIPCIÓN REPUESTOS</t>
  </si>
  <si>
    <t>TOTAL HERRAMIENTA / MES- UNA PAREJA</t>
  </si>
  <si>
    <t>TOTAL HERRAMIENTA / MES - 8 PAREJAS</t>
  </si>
  <si>
    <t>TOTAL HERRAMIENTA / AÑO - 8 PAREJAS</t>
  </si>
  <si>
    <t>Tijeras</t>
  </si>
  <si>
    <t>Boquillas de soldar</t>
  </si>
  <si>
    <t>Cortatubos</t>
  </si>
  <si>
    <t>Linterna</t>
  </si>
  <si>
    <t>Extensión eléctrica de 110V como mínimo de 30 m</t>
  </si>
  <si>
    <t>Martillo de caucho</t>
  </si>
  <si>
    <t>Martillo</t>
  </si>
  <si>
    <t>Nivel para verticales, horizontales y diagonales</t>
  </si>
  <si>
    <t>Termómetro calibrado y certificado</t>
  </si>
  <si>
    <t>Multímetro calibrado y certificado</t>
  </si>
  <si>
    <t>Pinza amperimétrica calibrada y certificada</t>
  </si>
  <si>
    <t>Pinza de punta aislado</t>
  </si>
  <si>
    <t>Rache para refrigeración</t>
  </si>
  <si>
    <t>Peine en excelente estado</t>
  </si>
  <si>
    <t>Cortafrío aislado</t>
  </si>
  <si>
    <t>Alicate aislado</t>
  </si>
  <si>
    <t>Manguera 50 metros con pistola</t>
  </si>
  <si>
    <t>Manguera 30 metros con pistola</t>
  </si>
  <si>
    <t>Remachadora</t>
  </si>
  <si>
    <t>Calibrador Mitutoyo</t>
  </si>
  <si>
    <t>Extractor de poleas</t>
  </si>
  <si>
    <t>Espejo</t>
  </si>
  <si>
    <t>Taladro</t>
  </si>
  <si>
    <t>Ponchadora</t>
  </si>
  <si>
    <t>Flexómetro</t>
  </si>
  <si>
    <t>Caja de Herramientas plástica</t>
  </si>
  <si>
    <t>Llave triangular para tableros</t>
  </si>
  <si>
    <t>Estetoscopio</t>
  </si>
  <si>
    <t>Grasera lubricante manual</t>
  </si>
  <si>
    <t>Ciclón</t>
  </si>
  <si>
    <t>Juego de copas</t>
  </si>
  <si>
    <t>Juego de llaves tipo hexagonal</t>
  </si>
  <si>
    <t>Juego de llaves tipo allen en milímetros y pulgadas</t>
  </si>
  <si>
    <t>Juego de destornilladores perilleros</t>
  </si>
  <si>
    <t>Juego de destornilladores de copa</t>
  </si>
  <si>
    <t>Juego de destornilladores de pala y estrella</t>
  </si>
  <si>
    <t>Juego de llaves boca fija en milímetros</t>
  </si>
  <si>
    <t>Juego de llaves boca fija en pulgadas</t>
  </si>
  <si>
    <t>Juego de dulce abrigos (tres).</t>
  </si>
  <si>
    <t>Juego de galgas para inspección de poleas</t>
  </si>
  <si>
    <t>Juego de Limas</t>
  </si>
  <si>
    <t>Juego completo de Manómetros calibrados y certificados</t>
  </si>
  <si>
    <t>Juego de emboquillado de tubería</t>
  </si>
  <si>
    <t xml:space="preserve">DESCRIPCION </t>
  </si>
  <si>
    <t xml:space="preserve"> HERRAMIENTA / AÑO - 8 PAREJAS</t>
  </si>
  <si>
    <t>VIÁTICOS POR DÍA</t>
  </si>
  <si>
    <t>PASAJE/ PAREJA</t>
  </si>
  <si>
    <t>PERSONAL</t>
  </si>
  <si>
    <t>DIAS</t>
  </si>
  <si>
    <t>NUMERO DE PERSONAS</t>
  </si>
  <si>
    <t>PUERTO BERRÍO</t>
  </si>
  <si>
    <t>SANTA FE DE ANTIOQUIA - SAN PEDRO DE LOS MILAGROS</t>
  </si>
  <si>
    <t>ANDES</t>
  </si>
  <si>
    <t>SUBTOTAL MES 2023, CON SMMLV PROYECTADO DEL 7%</t>
  </si>
  <si>
    <t>SUBTOTAL (SUBTOTAL COSTOS BÁSICOS DEL PERSONAL/MES) AÑO 2022</t>
  </si>
  <si>
    <t>VALOR TOTAL DEL CONTRATO VIGENCIA 2022 (6 MESES)</t>
  </si>
  <si>
    <t>VALOR TOTAL DEL CONTRATO VIGENCIA 2023 (6 MESES)</t>
  </si>
  <si>
    <t>TOTAL MANO DE OBRA AÑO (2022-2023)</t>
  </si>
  <si>
    <r>
      <t xml:space="preserve">1. La ubicación de cada una de las sedes se relaciona en el </t>
    </r>
    <r>
      <rPr>
        <b/>
        <sz val="12"/>
        <color indexed="8"/>
        <rFont val="Calibri"/>
        <family val="2"/>
      </rPr>
      <t>Anexo 1</t>
    </r>
  </si>
  <si>
    <t>4. Para efectos de la cotización se proyecta un incremento del SMMLV para el año 2023 del 7%, el valor real a pagar por cambio de año será el que decrete el Gobierno Nacional</t>
  </si>
  <si>
    <t>5.  El recorrido a las sedes se hará previa programación con la interventoría del contrato, de manera tal que se haga por zonas optimizando recursos de desplazamiento.</t>
  </si>
  <si>
    <t>7. Las celdas sombreadas en amarillo son los datos que debe diligenciar el proponente; las celdas sombreadas en verde son fórmulas y las celdas sombreadas en azul son valores fijos que no se deben modificar</t>
  </si>
  <si>
    <t>Cilindro Refrigerante R123</t>
  </si>
  <si>
    <r>
      <t>2. En los servicios que se presten en SEDES DEL ÁREA METROPOLITANA y ORIENTE CERCANO no se reconocerá auxilio de transporte adicional, por tal motivo estas celdas no se pueden modificar</t>
    </r>
    <r>
      <rPr>
        <sz val="11"/>
        <rFont val="Calibri"/>
        <family val="2"/>
        <scheme val="minor"/>
      </rPr>
      <t>, el valor es $0</t>
    </r>
  </si>
  <si>
    <t>LISTA DE REPUESTOS Y PROCEDIMIENTOS PARA MANTENIMIENTOS CORRECTIVOS</t>
  </si>
  <si>
    <t xml:space="preserve">PRESUPUESTO OFICIAL </t>
  </si>
  <si>
    <t>R/NR</t>
  </si>
  <si>
    <t>NR</t>
  </si>
  <si>
    <t xml:space="preserve">R </t>
  </si>
  <si>
    <t>R</t>
  </si>
  <si>
    <t>SALARIO INTEGRAL</t>
  </si>
  <si>
    <t>PASAJE</t>
  </si>
  <si>
    <t xml:space="preserve">PERSONAL </t>
  </si>
  <si>
    <t>Polizas  (Indicar valor mensual)</t>
  </si>
  <si>
    <r>
      <t xml:space="preserve">Inversion ambiental </t>
    </r>
    <r>
      <rPr>
        <sz val="11"/>
        <color rgb="FFFF0000"/>
        <rFont val="Calibri"/>
        <family val="2"/>
        <scheme val="minor"/>
      </rPr>
      <t>(Indicar valor mensual)</t>
    </r>
  </si>
  <si>
    <t>BOLSA DE MANTENIMIENTO CORRECTIVO MENSUAL EQUIPOS Y MATERIALES</t>
  </si>
  <si>
    <t>BOLSA DE MANTENIMIENTO CORRECTIVO MENSUAL MANO OBRA</t>
  </si>
  <si>
    <r>
      <t xml:space="preserve">OVERHAUL CHILLER - </t>
    </r>
    <r>
      <rPr>
        <b/>
        <sz val="11"/>
        <rFont val="Calibri"/>
        <family val="2"/>
        <scheme val="minor"/>
      </rPr>
      <t>MIRAR NOTA 1</t>
    </r>
  </si>
  <si>
    <t xml:space="preserve">NOTA 2: </t>
  </si>
  <si>
    <r>
      <rPr>
        <b/>
        <sz val="11"/>
        <rFont val="Calibri"/>
        <family val="2"/>
        <scheme val="minor"/>
      </rPr>
      <t xml:space="preserve">NOTA 1: </t>
    </r>
    <r>
      <rPr>
        <sz val="11"/>
        <rFont val="Calibri"/>
        <family val="2"/>
        <scheme val="minor"/>
      </rPr>
      <t xml:space="preserve">                                                                                                                                                                 OVERHAUL CHILLER 
El cual consta de: 
•	Trasegado del refrigerante y almacenamiento observando las buenas prácticas del manejo de refrigerante. 
•	Desarmado de la unidad para el remplazo de los nuevos componentes. 
•	Suministro e instalación de componentes nuevos.
•	Presurización del sistema para pruebas de hermeticidad.
•	Remplazo de Filtro de Aceite  Procedimiento de Vacío.
•	Procedimiento de Carga del refrigerante R-123 trasegado y suministro de hasta un (1) Barril de 43.5 Kgs. 
•	Carga nueva de Aceite según condiciones de diseño. 
•	Verificación y reajuste de todos los componentes y conexiones eléctricas del chiller 
•	Procedimiento de arranque de la unidad según lineamientos originales de fabricación. 
•	Monitoreo y pruebas de funcionamiento.
Y todo lo necesario para atender eventualidades que se presente en el proceso, hasta la entrega satisfactoria del mismo.</t>
    </r>
  </si>
  <si>
    <t>Costos administrativos internos fijos (Mensual)</t>
  </si>
  <si>
    <r>
      <t xml:space="preserve">* El proponente solo debe diligenciar los campos en AMARILLO, si se modifica la cantidad, descripción o unidades de medida la oferta será rechazada.
* El valor de la celda I99 </t>
    </r>
    <r>
      <rPr>
        <b/>
        <sz val="11"/>
        <color theme="1"/>
        <rFont val="Calibri"/>
        <family val="2"/>
        <scheme val="minor"/>
      </rPr>
      <t>NO</t>
    </r>
    <r>
      <rPr>
        <sz val="11"/>
        <color theme="1"/>
        <rFont val="Calibri"/>
        <family val="2"/>
        <scheme val="minor"/>
      </rPr>
      <t xml:space="preserve"> puede ser superior a $ 32.808.504, sopena de ser rechazada la oferta.
* El valor de la celda I100 NO puede ser superior a $ 468.505.440, sopena de ser rechazada la oferta.</t>
    </r>
  </si>
  <si>
    <t>3. El valor de la bolsa de mano de obra mantenimiento correctivo y la bolsa de repuestos y equipos es fijo, no puede ser modificado por el proponente, so pena de rechazo de la propuesta. Para efectos de cálculo y presentación de la propuesta. Para el contratista seleccionado se cancelarán las actividades realmente ejecutadas, las cuales deberán ser cotizadas previamente por el contratista y aprobadas por la interventoría</t>
  </si>
  <si>
    <t>UNIVERSIDAD DE ANTIOQUIA</t>
  </si>
  <si>
    <t>Invitación Pública N° VA-011-2022</t>
  </si>
  <si>
    <t>OBJETO:</t>
  </si>
  <si>
    <t>Prestación de servicios de mantenimientos preventivos y correctivos de los sistemas de aire acondicionado y ventilación mecánica de la Universidad de Antioquia, ubicados en las sedes y subsedes del Área Metropolitana, Oriente cercano, Occidente Antioqueño, Suroeste Antioqueño, Magdalena Medio y otras, según las necesidades del servicio y conforme con el Anexo 1 Condiciones Técnicas Obligatorias y en aquellas que se incorporen con posterioridad.</t>
  </si>
  <si>
    <t>LISTADO DE OFERENTES</t>
  </si>
  <si>
    <t>NRO</t>
  </si>
  <si>
    <t>OFERENTE</t>
  </si>
  <si>
    <t>Comercial y Servicios Larco S.A.S</t>
  </si>
  <si>
    <r>
      <rPr>
        <b/>
        <sz val="10"/>
        <rFont val="Arial"/>
        <family val="2"/>
      </rPr>
      <t>OBSERVACIÓN:</t>
    </r>
    <r>
      <rPr>
        <sz val="10"/>
        <rFont val="Arial"/>
        <family val="2"/>
      </rPr>
      <t xml:space="preserve">
</t>
    </r>
  </si>
  <si>
    <t xml:space="preserve">Se recibió una (1) propuesta técnico-económica </t>
  </si>
  <si>
    <t>APERTURA DE SOBRES</t>
  </si>
  <si>
    <t xml:space="preserve">CIERRE: 26/05/2022
HORA: 2:00 P.M </t>
  </si>
  <si>
    <t>N°</t>
  </si>
  <si>
    <t>Proponente</t>
  </si>
  <si>
    <t>NIT o Cédula</t>
  </si>
  <si>
    <t>Nombre Representante Legal</t>
  </si>
  <si>
    <t>No. póliza seriedad de oferta</t>
  </si>
  <si>
    <t>Costo Directo de la propuesta</t>
  </si>
  <si>
    <t>Porcentaje de Administración</t>
  </si>
  <si>
    <t>Porcentaje de Utilidad</t>
  </si>
  <si>
    <t>Costo total de la propuesta</t>
  </si>
  <si>
    <t>OBSERVACIONES</t>
  </si>
  <si>
    <t>Alberto Guerrero Lee</t>
  </si>
  <si>
    <t>M-100168977</t>
  </si>
  <si>
    <t>12.5%</t>
  </si>
  <si>
    <t>No se presentaron observaciones durante el recibo de las propuestas</t>
  </si>
  <si>
    <t>Resúmen: Se recibió una (1) propuesta técnico-económica 
EQUIPO TÉCNICO DE EVALUACIÓN
DIVISIÓN DE INFRAESTRUCTURA FÍSICA</t>
  </si>
  <si>
    <t>EVALUACIÓN DE REQUISITOS JURÍDICOS</t>
  </si>
  <si>
    <t>PROPONENTES</t>
  </si>
  <si>
    <t>NIT O CÉDULA</t>
  </si>
  <si>
    <t>REQUISITOS JURÍDICOS DE PARTICIPACIÓN  (personas naturales y jurídicas) numeral 5.1</t>
  </si>
  <si>
    <t>Numeral</t>
  </si>
  <si>
    <t>5.1.1 Requisitos personas naturales</t>
  </si>
  <si>
    <t>Tener capacidad jurídica para contratar. Por tanto, el Proponente debe:
(i) Ser mayor de edad; 
(ii) no tener inhabilidades, incompatibilidades ni conflictos de interés para contratar, según el artículo 4° del Acuerdo Superior 419 de 2014.
(iii) No tener ninguna de estas situaciones: Cesación de pagos o, cualquier otra circunstancia que justificadamente permita a la U.de.A presumir incapacidad o imposibilidad jurídica, económica o técnica para cumplir el objeto del contrato.</t>
  </si>
  <si>
    <r>
      <t xml:space="preserve">(i) Ser ingeniero civil, arquitecto o arquitecto constructor.
(ii) Tener matrícula profesional vigente y expedida mínimo TRES (3) años antes del cierre de la </t>
    </r>
    <r>
      <rPr>
        <b/>
        <sz val="12"/>
        <rFont val="Arial"/>
        <family val="2"/>
      </rPr>
      <t>INVITACIÓN</t>
    </r>
    <r>
      <rPr>
        <sz val="12"/>
        <rFont val="Arial"/>
        <family val="2"/>
      </rPr>
      <t>.</t>
    </r>
  </si>
  <si>
    <t>Estar afiliado y a paz y salvo con el Sistema de Salud (EPS) y el Sistema General de Pensiones en los términos de la Ley.
En caso de tener empleados a su cargo, deben estar afiliados y a paz y salvo con el Sistema General de Seguridad Social (Salud, Pensiones, Riesgos Laborales) y con los aportes Parafiscales (Caja de Compensación Familiar, Sena, ICBF).</t>
  </si>
  <si>
    <t>No estar reportada al Boletín de Responsables Fiscales de la Contraloría General de la República (Art. 60 Ley 610 de 2000; Circular 005 del 25 de febrero de 2008).</t>
  </si>
  <si>
    <t>No tener antecedentes disciplinarios en la Procuraduría General de la Nación.</t>
  </si>
  <si>
    <t>No tener antecedentes judiciales en la Policía Nacional de Colombia.</t>
  </si>
  <si>
    <t>Estar inscrita, calificada y clasificada en el Registro Único de Proponentes –RUP- de la Cámara de Comercio de su domicilio antes de la fecha de cierre o entrega de propuestas de esta INVITACIÓN, en alguna de las clasificaciones de la UNSPSC, establecidas en la Tabla # 1: D401017; F721512; F721015.</t>
  </si>
  <si>
    <t>Aseguradora:</t>
  </si>
  <si>
    <t>Número:</t>
  </si>
  <si>
    <t>Valor :</t>
  </si>
  <si>
    <t>Vigencia:</t>
  </si>
  <si>
    <t>CUMPLE / NO CUMPLE:</t>
  </si>
  <si>
    <t>CUMPLE</t>
  </si>
  <si>
    <t>5.1.2. Requisitos personas jurídicas de forma individual</t>
  </si>
  <si>
    <t>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tres (3) años
antes de la fecha de cierre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(por el cual se
regula el conflicto de intereses del servidor público en
la Universidad de Antioquia).
(vii) No tener ninguna de estas situaciones: Cesación
de pagos o, cualquier otra circunstancia que
justificadamente permita a la U.de.A presumir
incapacidad o imposibilidad jurídica, económica o
técnica para cumplir el objeto del contrato.</t>
  </si>
  <si>
    <t>(i) Ser el representante legal: Ser Ingeniero Mecánico,
Electricista o Electromecánico;
(ii) Tener matrícula profesional vigente y expedida
mínimo TRES (3) años antes de la apertura de la
INVITACIÓN.
Cuando el representante legal NO CUMPLA el requisito
anterior, la propuesta debe ser FIRMADA o
ABONADA por un profesional que SÍ cumpla el
requisito.</t>
  </si>
  <si>
    <t>Haber cumplido con los aportes al Sistema de Seguridad
Social Integral y Parafiscales, en los seis (6) meses
anteriores a la presentación de la propuesta Comercial y
encontrarse a paz y salvo con el sistema. Si tiene
acuerdos de pago deberá certificarlo.</t>
  </si>
  <si>
    <t>No estar reportada al Boletín de Responsables Fiscales
de la Contraloría General de la República (Art. 60 Ley
610 de 2000; Circular 005 del 25 de febrero de 2008).</t>
  </si>
  <si>
    <t>No estar en mora en el Sistema Registro Nacional de
Medidas Correctivas RNMC de la Policía Nacional de
Colombia (artículo 183 de la Ley 1801 de 2016)</t>
  </si>
  <si>
    <t>Estar inscrita en el Registro Único de Tributario.</t>
  </si>
  <si>
    <t>Estar inscrita, calificada y clasificada en el Registro
Único de Proponentes –RUP- de la Cámara de Comercio
de su domicilio antes de la fecha de cierre o entrega de
propuestas de esta invitación, en mínimo dos de las
clasificaciones de la UNSPSC, establecidas en la Tabla
4 : 401017; 721512; 721015.</t>
  </si>
  <si>
    <t>CUMPLE/NO CUMPLE:</t>
  </si>
  <si>
    <t>EVALUACIÓN DE EXPERIENCIA GENERAL</t>
  </si>
  <si>
    <t>Se aceptarán aquellas propuestas que certifiquen experiencia en mantenimiento de aires acondicionados acreditadas mediante certificados o actas de liquidación de hasta cinco (5)
contratos ejecutados, terminados y liquidados.
La experiencia será calculada así: la sumatoria de los hasta cinco (5) contratos ejecutados, terminados y liquidados que se encuentren clasificados en los códigos requeridos, dividida por el
presupuesto oficial, expresado en SMMLV de 2022 y el resultado debe ser mayor que (&gt; 3)
Dicha experiencia debe cumplir y estar inscrita obligatoriamente en mínimo dos (2) de las clasificaciones de la UNSPSC: códigos 40-10-17; 72-10-15; 72-15-12., soportados en el RUP
actualizado y vigente.</t>
  </si>
  <si>
    <t>SALARIO MÍNIMO 2022</t>
  </si>
  <si>
    <t>COCIENTE EVALUACIÓN</t>
  </si>
  <si>
    <t>PRESUPUESTO OFICIAL</t>
  </si>
  <si>
    <t>EN PESOS</t>
  </si>
  <si>
    <t>EN SMMLV</t>
  </si>
  <si>
    <t>EXPERIENCIA GENERAL Y ESPECÍFICA</t>
  </si>
  <si>
    <t>CERTIFICADOS PRESENTADOS</t>
  </si>
  <si>
    <t>N° DEL CONSECUTIVO DEL REPORTE DEL CONTRATO EJECUTADO EN EL RUP (1)</t>
  </si>
  <si>
    <t>N° de Folio en el RUP (2)</t>
  </si>
  <si>
    <t>CONTRATO (3)</t>
  </si>
  <si>
    <t>CONTRATANTE (4)</t>
  </si>
  <si>
    <t>EN SMMLV (5)</t>
  </si>
  <si>
    <t>FORMA DE
EJECUCIÓN (6)</t>
  </si>
  <si>
    <t>% de Participación (7)</t>
  </si>
  <si>
    <t>CLASIFICACIÓN DEL OBJETO DEL CONTRATO (8)</t>
  </si>
  <si>
    <t>PRESENTACIÓN DE CERTIFICADOS (9)</t>
  </si>
  <si>
    <t>ALCANCE DEL OBJETO CONTRACTUAL (10)</t>
  </si>
  <si>
    <t>VALORACIÓN DE OBSERVACIONES (11)</t>
  </si>
  <si>
    <t>VALORACIÓN DE REQUERIMIENTOS ENTREGADOS(12)</t>
  </si>
  <si>
    <t>SMMLV DE PARTICIPACIÓN PONDERADOS (13)</t>
  </si>
  <si>
    <t>CUMPLE CON EL REQUERIMIENTO DE CERTIFICAR EXPERIENCIA?</t>
  </si>
  <si>
    <t>VALIDACIÓN DE CODIGOS SEGÚN TABLA  3 (CODIGOS UNSPSC) DE LOS TÉRMINOS DE REFERENCIA</t>
  </si>
  <si>
    <t>VALORACIÓN</t>
  </si>
  <si>
    <t>TOTAL EXPERIENCIA ESPECÍFICA EN SMMLV</t>
  </si>
  <si>
    <t>INDICE SUMATORIA CONTRATOS/PRESUPUESTO OFICIAL</t>
  </si>
  <si>
    <t>EVALUACIÓN EXPERIENCIA - INDICADORES FINANCIEROS</t>
  </si>
  <si>
    <t>PROPONENTE</t>
  </si>
  <si>
    <t>INDICADOR 1</t>
  </si>
  <si>
    <t>INDICADOR 2</t>
  </si>
  <si>
    <t>INDICADOR 3</t>
  </si>
  <si>
    <t>ÍNDICE DE ENDEUDAMIENTO</t>
  </si>
  <si>
    <t>IE = PT/AT &lt;=
Siendo PT = pasivo total 
AT = activo total</t>
  </si>
  <si>
    <t>ÍNDICE DE LIQUIDEZ</t>
  </si>
  <si>
    <t>IL = AC/PC &gt; 1,2
Siendo AC = activo corriente 
PC = pasivo corriente</t>
  </si>
  <si>
    <t>CAPITAL DE TRABAJO</t>
  </si>
  <si>
    <t>CT = AC-PC ≥ PO
Siendo PO = Presupuesto Oficial</t>
  </si>
  <si>
    <t>PASIVO TOTAL</t>
  </si>
  <si>
    <t>ACTIVO TOTAL</t>
  </si>
  <si>
    <t>ESTADO</t>
  </si>
  <si>
    <t>ACTIVO CORRIENTE</t>
  </si>
  <si>
    <t>PASIVO CORRIENTE</t>
  </si>
  <si>
    <t>TABLA RESUMEN</t>
  </si>
  <si>
    <t>ESTATUS</t>
  </si>
  <si>
    <t>EVALUACIÓN DE REQUISITOS COMERCIALES</t>
  </si>
  <si>
    <t>5.5.1. Presentarse en PESOS COLOMBIANOS.</t>
  </si>
  <si>
    <t>5.5.2. Incluir todos los costos, gastos impuestos, tasas y contribuciones en los que deba incurrir
el Proponente para cumplir el objeto de la INVITACIÓN.</t>
  </si>
  <si>
    <t>5.5.3. Tener una vigencia mínima de SESENTA (60) días calendario, contados a partir del cierre
de la INVITACIÓN, prorrogable en un plazo igual, en caso de que no se pueda adjudicar
en dicho término.</t>
  </si>
  <si>
    <t>5.5.4. No modificar los formatos del Proceso de Contratación, salvo autorización expresa de la
UdeA.</t>
  </si>
  <si>
    <t>5.5.5. Ser irrevocable, una vez presentada (artículo 8463 del Código de Comercio).</t>
  </si>
  <si>
    <t>5.5.6. La UdeA. NO se obliga a contratar por el solo hecho de recibir las propuestas.</t>
  </si>
  <si>
    <t>5.5.7. Los ítems que tengan la misma descripción deberán tener el mismo valor económico.</t>
  </si>
  <si>
    <t>ESTATUS EXPERIENCIA GENERAL</t>
  </si>
  <si>
    <t>ESTATUS CAPACIDAD FINANCIERA</t>
  </si>
  <si>
    <t>ESTATUS REQUISITOS COMERCIALES</t>
  </si>
  <si>
    <t>ESTATUS VERIFICACIÓN PRESUPUESTO</t>
  </si>
  <si>
    <t>REQUISITOS JURÍDICOS</t>
  </si>
  <si>
    <t>ESTATUS GENERAL</t>
  </si>
  <si>
    <t>ESTATUS VERIFICACIÓN REPUESTOS, EQUIPOS Y MATERIALES</t>
  </si>
  <si>
    <t>ESTATUS VERIFICACIÓN HERRAMIENTA</t>
  </si>
  <si>
    <t>ESTATUS VERIFICACIÓN VIATICOS</t>
  </si>
  <si>
    <t>EVALUACIÓN ECONÓMICA - DEFINICIÓN DE MÉTODO DE EVALUACIÓN Y CÁLCULO DE PUNTAJES</t>
  </si>
  <si>
    <t>TRM día siguiente</t>
  </si>
  <si>
    <t>Asignar de acuerdo al proceso</t>
  </si>
  <si>
    <t>MÉTODO DE EVALUACIÓN DE ACUERDO A TRM</t>
  </si>
  <si>
    <t>Presupuesto Total</t>
  </si>
  <si>
    <t>Fecha</t>
  </si>
  <si>
    <t>Media aritmética</t>
  </si>
  <si>
    <t># propuestas (n)</t>
  </si>
  <si>
    <t>Valor máximo de la oferta económica</t>
  </si>
  <si>
    <t>Desviación estándar</t>
  </si>
  <si>
    <t>AU Max</t>
  </si>
  <si>
    <t>MÁXIMO PUNTAJE A ASIGNAR PARA Pti</t>
  </si>
  <si>
    <t>*H=Habilitado  NH=No habilitado</t>
  </si>
  <si>
    <t>Nro</t>
  </si>
  <si>
    <t>NOMBRE OFERENTE</t>
  </si>
  <si>
    <t>ESTADO*</t>
  </si>
  <si>
    <t>AU [%]</t>
  </si>
  <si>
    <r>
      <t>PUNTAJE (Pt</t>
    </r>
    <r>
      <rPr>
        <b/>
        <vertAlign val="subscript"/>
        <sz val="12"/>
        <rFont val="Calibri"/>
        <family val="2"/>
        <scheme val="minor"/>
      </rPr>
      <t>1</t>
    </r>
    <r>
      <rPr>
        <b/>
        <sz val="12"/>
        <rFont val="Calibri"/>
        <family val="2"/>
        <scheme val="minor"/>
      </rPr>
      <t>)</t>
    </r>
  </si>
  <si>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</si>
  <si>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</si>
  <si>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PUNTAJE (Pt3)</t>
  </si>
  <si>
    <t>PUNTAJE TOTAL</t>
  </si>
  <si>
    <t>ORDEN ELEGIBILIDAD</t>
  </si>
  <si>
    <t>OBSERVACIONES CON RESPECTO A PROPUESTA ECONÓMICA</t>
  </si>
  <si>
    <r>
      <t>PUNTAJE (Pt</t>
    </r>
    <r>
      <rPr>
        <b/>
        <sz val="9"/>
        <rFont val="Calibri"/>
        <family val="2"/>
        <scheme val="minor"/>
      </rPr>
      <t>4</t>
    </r>
    <r>
      <rPr>
        <b/>
        <vertAlign val="subscript"/>
        <sz val="12"/>
        <rFont val="Calibri"/>
        <family val="2"/>
        <scheme val="minor"/>
      </rPr>
      <t>A</t>
    </r>
    <r>
      <rPr>
        <b/>
        <sz val="12"/>
        <rFont val="Calibri"/>
        <family val="2"/>
        <scheme val="minor"/>
      </rPr>
      <t>)</t>
    </r>
  </si>
  <si>
    <r>
      <t>PUNTAJE (Pt</t>
    </r>
    <r>
      <rPr>
        <b/>
        <sz val="10"/>
        <rFont val="Calibri"/>
        <family val="2"/>
        <scheme val="minor"/>
      </rPr>
      <t>4</t>
    </r>
    <r>
      <rPr>
        <b/>
        <vertAlign val="subscript"/>
        <sz val="12"/>
        <rFont val="Calibri"/>
        <family val="2"/>
        <scheme val="minor"/>
      </rPr>
      <t>B</t>
    </r>
    <r>
      <rPr>
        <b/>
        <sz val="12"/>
        <rFont val="Calibri"/>
        <family val="2"/>
        <scheme val="minor"/>
      </rPr>
      <t>)</t>
    </r>
  </si>
  <si>
    <r>
      <t>PUNTAJE (Pt</t>
    </r>
    <r>
      <rPr>
        <b/>
        <sz val="10"/>
        <rFont val="Calibri"/>
        <family val="2"/>
        <scheme val="minor"/>
      </rPr>
      <t>5</t>
    </r>
    <r>
      <rPr>
        <b/>
        <sz val="12"/>
        <rFont val="Calibri"/>
        <family val="2"/>
        <scheme val="minor"/>
      </rPr>
      <t>)</t>
    </r>
  </si>
  <si>
    <t>Valor mínimo de la oferta económica</t>
  </si>
  <si>
    <t>BANCOLOMBIA S.A</t>
  </si>
  <si>
    <t>MENSULA S.A.</t>
  </si>
  <si>
    <t>ACORDE A ITEM 5.2.1 (T.R.)</t>
  </si>
  <si>
    <t>SIN OBSERVACIÓN</t>
  </si>
  <si>
    <t>NINGUNO</t>
  </si>
  <si>
    <t>SI</t>
  </si>
  <si>
    <t>NO PRESENTÓ CERTIFICADO</t>
  </si>
  <si>
    <t>PRESENTÓ CERTIFICADO</t>
  </si>
  <si>
    <t>PERFILDECARGO</t>
  </si>
  <si>
    <t>VERIFICACION DE FORMATO</t>
  </si>
  <si>
    <t>VERIFICACIÓNTOTAL DEFORMATO</t>
  </si>
  <si>
    <t>SUMATORIA DECIMALES</t>
  </si>
  <si>
    <t>[%] DE EXCESO POR ENCIMA O POR DEBAJO DEL VALORTOTAL</t>
  </si>
  <si>
    <t>CORRECCION ARITMETICA</t>
  </si>
  <si>
    <t>REDONDEO</t>
  </si>
  <si>
    <t>CIFRAS SIGNIFICATIVAS</t>
  </si>
  <si>
    <t>CONDICION DE PRESUPUESTO</t>
  </si>
  <si>
    <t>CONDICION DE A+U</t>
  </si>
  <si>
    <t>SE PRESENTA UNA SOLA PROPUESTA</t>
  </si>
  <si>
    <t>H</t>
  </si>
  <si>
    <t>Menor Valor</t>
  </si>
  <si>
    <t>VALOR DE LAS PROPUESTAS</t>
  </si>
  <si>
    <t>A+U</t>
  </si>
  <si>
    <t>OBSERACIONES</t>
  </si>
  <si>
    <t xml:space="preserve"> No se ajuste a las exigencias de la INVITACIÓN, salvo que el o los requisitos sean subsanables, conforme a lo previsto en la ley o el Estatuto General de Contratación de la UdeA</t>
  </si>
  <si>
    <t xml:space="preserve"> No cumpla con el o los requisitos de participación, salvo que el o los requisitos sean subsanables</t>
  </si>
  <si>
    <t xml:space="preserve"> Se presente de forma extemporánea o luego de la fecha y hora fijadas para la entrega y el cierre o en lugar diferente al indicado</t>
  </si>
  <si>
    <t xml:space="preserve"> No se entregue la garantía de seriedad junto con la propuesta, o cuando pese a entregarse con este resulte insuficiente en su cuantía y/o vigencia</t>
  </si>
  <si>
    <t xml:space="preserve"> No se consideren las modificaciones hechas mediante adendas y no se tengan en cuenta las respuestas a las observaciones hechas por los oferentes</t>
  </si>
  <si>
    <t xml:space="preserve"> La información o documentación entregada no sea veraz o se observen presuntas falsedades o inconsistencias o contradicciones</t>
  </si>
  <si>
    <t xml:space="preserve"> Cuando el valor de la propuesta supera el presupuesto oficial o supere o sea inferior los valores límites establecidos en 12</t>
  </si>
  <si>
    <t xml:space="preserve"> Cuando se presenten propuestas parciales o se deja de cotizar algún ítem</t>
  </si>
  <si>
    <t xml:space="preserve"> Cuando el Proponente presente o participe en más de una propuesta correspondiente al mismo proceso de INVITACIÓN, bien sea de manera individual o de una sociedad o persona jurídica de la cual sea socio, miembro de la junta directiva, representante legal</t>
  </si>
  <si>
    <t xml:space="preserve"> Cuando se modifiquen las descripciones, los ítems o las cantidades del formato de presentación de la propuesta económica y el formulario</t>
  </si>
  <si>
    <t xml:space="preserve"> Cuando el Proponente ejecute cualquier acción tendiente a impedir la libre participación de otros Proponentes, o a impedir el ejercicio de sus derechos o los de la UdeA, o cuando se conozca la existencia de colusión con otros Proponentes</t>
  </si>
  <si>
    <t xml:space="preserve"> Cuando se descubran hechos o acuerdos previos realizados por el Proponente tendientes a atentar contra las prerrogativas y derechos de la UdeA o de otros Proponentes</t>
  </si>
  <si>
    <t xml:space="preserve"> Cuando el Proponente ejecute cualquier acción tendiente a influenciar o presionar a los funcionarios de la UdeA encargados del estudio y evaluación de las propuestas o en la aceptación de esta</t>
  </si>
  <si>
    <t xml:space="preserve"> Cuando al realizar la corrección aritmética las ofertas que presenten una diferencia aritmética mayor o igual al 0,5% (por exceso o por defecto) entre el valor total de la oferta presentada y el valor total de la oferta corregida</t>
  </si>
  <si>
    <t xml:space="preserve"> Errores en las operaciones aritméticas, el proponente es responsable de verificar las operaciones aritméticas</t>
  </si>
  <si>
    <t xml:space="preserve"> Cuando los valores ofertados sean inferiores a los detallados en la Tabla N° 6</t>
  </si>
  <si>
    <t>14.1</t>
  </si>
  <si>
    <t>14.2</t>
  </si>
  <si>
    <t>14.3</t>
  </si>
  <si>
    <t>14.4</t>
  </si>
  <si>
    <t>14.5</t>
  </si>
  <si>
    <t>14.6</t>
  </si>
  <si>
    <t>14.7</t>
  </si>
  <si>
    <t>14.8</t>
  </si>
  <si>
    <t>14.9</t>
  </si>
  <si>
    <t>14.10</t>
  </si>
  <si>
    <t>14.11</t>
  </si>
  <si>
    <t>14.12</t>
  </si>
  <si>
    <t>14.13</t>
  </si>
  <si>
    <t>14.14</t>
  </si>
  <si>
    <t>14.15</t>
  </si>
  <si>
    <t>14.16</t>
  </si>
  <si>
    <t>14.17</t>
  </si>
  <si>
    <t>14.18</t>
  </si>
  <si>
    <t>VALIDACION DE CRITERIOSDE RECHAZO</t>
  </si>
  <si>
    <t>DESCRIPCION</t>
  </si>
  <si>
    <t>CRITERIOS DE RECHAZO</t>
  </si>
  <si>
    <t>NO SE RECHAZA</t>
  </si>
  <si>
    <t xml:space="preserve">Cuando el Proponente, habiendo sido requerido por la UdeA. para aportar documentos, suministrar información o hacer aclaraciones conforme a lo establecido en esta Invitación, no los allegue dentro del término fijado para el efecto en la respectiva comunicación, o que habiéndolos aportado no estén conformes con lo exigido en la comunicación. </t>
  </si>
  <si>
    <t xml:space="preserve">Aquellas que excedan el presupuesto oficial o que su porcentaje de Administración más la Utilidad sea superior a 17.09 %.  </t>
  </si>
  <si>
    <t>CUMPLE
Representada por el apoderado Alberto Guerrero Lee</t>
  </si>
  <si>
    <t>Seguros Mundial</t>
  </si>
  <si>
    <t>178 días</t>
  </si>
  <si>
    <t>Póliza de seriedad de la oferta a favor de entidades
Estatales y a nombre de la Universidad de Antioquia</t>
  </si>
  <si>
    <t>Aseguradora</t>
  </si>
  <si>
    <t>Valor</t>
  </si>
  <si>
    <t>N° de Póliza</t>
  </si>
  <si>
    <t xml:space="preserve">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</si>
</sst>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quot;$&quot;\ * #,##0_);_(&quot;$&quot;\ * \(#,##0\);_(&quot;$&quot;\ *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quot;$&quot;\ #,##0"/>
    <numFmt numFmtId="172" formatCode="[$$-240A]\ #,##0.000000"/>
    <numFmt numFmtId="173" formatCode="_(&quot;$&quot;* #,##0.00_);_(&quot;$&quot;* \(#,##0.00\);_(&quot;$&quot;* &quot;-&quot;??_);_(@_)"/>
    <numFmt numFmtId="174" formatCode="&quot;$&quot;#,##0.00"/>
    <numFmt numFmtId="175" formatCode="_([$$-240A]\ * #,##0_);_([$$-240A]\ * \(#,##0\);_([$$-240A]\ * &quot;-&quot;??_);_(@_)"/>
    <numFmt numFmtId="176" formatCode="_(&quot;$&quot;\ * #,##0_);_(&quot;$&quot;\ * \(#,##0\);_(&quot;$&quot;\ * &quot;-&quot;??_);_(@_)"/>
    <numFmt numFmtId="177" formatCode="_(* #,##0_);_(* \(#,##0\);_(* &quot;-&quot;??_);_(@_)"/>
    <numFmt numFmtId="178" formatCode="&quot;$&quot;\ #,##0_);\(&quot;$&quot;\ #,##0\)"/>
    <numFmt numFmtId="179" formatCode="_-* #,##0.0000_-;\-* #,##0.0000_-;_-* &quot;-&quot;????_-;_-@_-"/>
    <numFmt numFmtId="180" formatCode="_([$$-240A]\ * #,##0.00_);_([$$-240A]\ * \(#,##0.00\);_([$$-240A]\ * &quot;-&quot;??_);_(@_)"/>
    <numFmt numFmtId="181" formatCode="[$$-80A]#,##0;\-[$$-80A]#,##0"/>
    <numFmt numFmtId="182" formatCode="_ * #,##0.00_ ;_ * \-#,##0.00_ ;_ * &quot;-&quot;??_ ;_ @_ "/>
    <numFmt numFmtId="183" formatCode="&quot;K=&quot;\ \ \ \ #,##0.00\ &quot;de contra&quot;"/>
    <numFmt numFmtId="184" formatCode="0.0"/>
    <numFmt numFmtId="185" formatCode="&quot;$&quot;\ #,##0.00"/>
    <numFmt numFmtId="186" formatCode="#,##0\ &quot;SMMLV&quot;"/>
    <numFmt numFmtId="187" formatCode="#,##0.00\ &quot;SMMLV&quot;"/>
    <numFmt numFmtId="188" formatCode="_ * #,##0_ ;_ * \-#,##0_ ;_ * &quot;-&quot;??_ ;_ @_ "/>
    <numFmt numFmtId="189" formatCode="#,##0.0000"/>
    <numFmt numFmtId="190" formatCode="_-* #,##0.00_-;\-* #,##0.00_-;_-* &quot;-&quot;_-;_-@_-"/>
    <numFmt numFmtId="191" formatCode="#,##0.00;[Red]#,##0.00"/>
    <numFmt numFmtId="192" formatCode="#,##0;[Red]#,##0"/>
    <numFmt numFmtId="193" formatCode="_-&quot;$&quot;\ * #,##0_-;\-&quot;$&quot;\ * #,##0_-;_-&quot;$&quot;\ * &quot;-&quot;??_-;_-@_-"/>
    <numFmt numFmtId="194" formatCode="&quot;$&quot;\ #,##0.00_);\(&quot;$&quot;\ #,##0.00\)"/>
  </numFmts>
  <fonts count="10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theme="11"/>
      <name val="Arial"/>
      <family val="2"/>
    </font>
    <font>
      <u/>
      <sz val="11"/>
      <color theme="10"/>
      <name val="Calibri"/>
      <family val="2"/>
      <scheme val="minor"/>
    </font>
    <font>
      <sz val="11"/>
      <color rgb="FF000000"/>
      <name val="Arial"/>
      <family val="2"/>
    </font>
    <font>
      <sz val="10"/>
      <color rgb="FF000000"/>
      <name val="Arial"/>
      <family val="2"/>
    </font>
    <font>
      <sz val="10"/>
      <name val="Arial"/>
      <family val="2"/>
    </font>
    <font>
      <sz val="9"/>
      <color indexed="81"/>
      <name val="Tahoma"/>
      <family val="2"/>
    </font>
    <font>
      <b/>
      <sz val="9"/>
      <color indexed="81"/>
      <name val="Tahoma"/>
      <family val="2"/>
    </font>
    <font>
      <b/>
      <sz val="10"/>
      <name val="Arial"/>
      <family val="2"/>
    </font>
    <font>
      <sz val="10"/>
      <color theme="1"/>
      <name val="Arial"/>
      <family val="2"/>
    </font>
    <font>
      <sz val="11"/>
      <color rgb="FFFF0000"/>
      <name val="Calibri"/>
      <family val="2"/>
      <scheme val="minor"/>
    </font>
    <font>
      <b/>
      <sz val="11"/>
      <color theme="1"/>
      <name val="Calibri"/>
      <family val="2"/>
      <scheme val="minor"/>
    </font>
    <font>
      <sz val="12"/>
      <color theme="1"/>
      <name val="Calibri"/>
      <family val="2"/>
      <scheme val="minor"/>
    </font>
    <font>
      <b/>
      <sz val="12"/>
      <color indexed="8"/>
      <name val="Calibri"/>
      <family val="2"/>
    </font>
    <font>
      <b/>
      <sz val="12"/>
      <color theme="1"/>
      <name val="Calibri"/>
      <family val="2"/>
      <scheme val="minor"/>
    </font>
    <font>
      <b/>
      <sz val="11"/>
      <name val="Calibri"/>
      <family val="2"/>
      <scheme val="minor"/>
    </font>
    <font>
      <b/>
      <sz val="10"/>
      <color theme="1"/>
      <name val="Calibri"/>
      <family val="2"/>
      <scheme val="minor"/>
    </font>
    <font>
      <b/>
      <sz val="9"/>
      <color theme="1"/>
      <name val="Calibri"/>
      <family val="2"/>
      <scheme val="minor"/>
    </font>
    <font>
      <b/>
      <sz val="9"/>
      <name val="Calibri"/>
      <family val="2"/>
      <scheme val="minor"/>
    </font>
    <font>
      <b/>
      <sz val="9"/>
      <name val="Calibri"/>
      <family val="2"/>
    </font>
    <font>
      <b/>
      <sz val="14"/>
      <color theme="1"/>
      <name val="Calibri"/>
      <family val="2"/>
      <scheme val="minor"/>
    </font>
    <font>
      <b/>
      <sz val="10"/>
      <color theme="1"/>
      <name val="Arial"/>
      <family val="2"/>
    </font>
    <font>
      <b/>
      <sz val="10"/>
      <color indexed="8"/>
      <name val="Arial"/>
      <family val="2"/>
    </font>
    <font>
      <sz val="10"/>
      <color indexed="8"/>
      <name val="Arial"/>
      <family val="2"/>
    </font>
    <font>
      <sz val="10"/>
      <color indexed="8"/>
      <name val="MS Sans Serif"/>
      <family val="2"/>
    </font>
    <font>
      <sz val="10"/>
      <color theme="1"/>
      <name val="Times New Roman"/>
      <family val="1"/>
    </font>
    <font>
      <sz val="9"/>
      <color rgb="FF000000"/>
      <name val="Arial"/>
      <family val="2"/>
    </font>
    <font>
      <sz val="9"/>
      <color rgb="FF000000"/>
      <name val="Calibri"/>
      <family val="2"/>
    </font>
    <font>
      <sz val="10"/>
      <color rgb="FF000000"/>
      <name val="Calibri"/>
      <family val="2"/>
    </font>
    <font>
      <sz val="8"/>
      <name val="Arial"/>
      <family val="2"/>
    </font>
    <font>
      <sz val="11"/>
      <name val="Calibri"/>
      <family val="2"/>
      <scheme val="minor"/>
    </font>
    <font>
      <sz val="12"/>
      <name val="Calibri"/>
      <family val="2"/>
      <scheme val="minor"/>
    </font>
    <font>
      <b/>
      <sz val="10"/>
      <color rgb="FF000000"/>
      <name val="Calibri"/>
      <family val="2"/>
    </font>
    <font>
      <sz val="10"/>
      <name val="Arial"/>
    </font>
    <font>
      <b/>
      <sz val="16"/>
      <name val="Arial"/>
      <family val="2"/>
    </font>
    <font>
      <b/>
      <sz val="14"/>
      <name val="Arial"/>
      <family val="2"/>
    </font>
    <font>
      <sz val="11"/>
      <name val="Arial"/>
      <family val="2"/>
    </font>
    <font>
      <b/>
      <sz val="12"/>
      <name val="Arial"/>
      <family val="2"/>
    </font>
    <font>
      <b/>
      <sz val="11"/>
      <name val="Arial"/>
      <family val="2"/>
    </font>
    <font>
      <sz val="10"/>
      <color rgb="FFFF0000"/>
      <name val="Arial"/>
      <family val="2"/>
    </font>
    <font>
      <sz val="11"/>
      <color rgb="FFFF0000"/>
      <name val="Arial"/>
      <family val="2"/>
    </font>
    <font>
      <sz val="12"/>
      <color theme="1"/>
      <name val="Arial"/>
      <family val="2"/>
    </font>
    <font>
      <b/>
      <sz val="12"/>
      <color theme="1"/>
      <name val="Arial"/>
      <family val="2"/>
    </font>
    <font>
      <b/>
      <sz val="12"/>
      <color rgb="FF000000"/>
      <name val="Arial"/>
      <family val="2"/>
    </font>
    <font>
      <sz val="12"/>
      <name val="Arial"/>
      <family val="2"/>
    </font>
    <font>
      <sz val="12"/>
      <color rgb="FF000000"/>
      <name val="Arial"/>
      <family val="2"/>
    </font>
    <font>
      <b/>
      <sz val="12"/>
      <color rgb="FFFF0000"/>
      <name val="Arial"/>
      <family val="2"/>
    </font>
    <font>
      <sz val="12"/>
      <color theme="1"/>
      <name val="Arial"/>
    </font>
    <font>
      <b/>
      <sz val="36"/>
      <name val="Arial"/>
      <family val="2"/>
    </font>
    <font>
      <sz val="16"/>
      <name val="Arial"/>
      <family val="2"/>
    </font>
    <font>
      <b/>
      <sz val="22"/>
      <name val="Arial"/>
      <family val="2"/>
    </font>
    <font>
      <b/>
      <sz val="26"/>
      <color rgb="FF000000"/>
      <name val="Calibri"/>
      <family val="2"/>
    </font>
    <font>
      <b/>
      <sz val="11"/>
      <color rgb="FF000000"/>
      <name val="Arial"/>
      <family val="2"/>
    </font>
    <font>
      <b/>
      <sz val="14"/>
      <color rgb="FF000000"/>
      <name val="Calibri"/>
      <family val="2"/>
    </font>
    <font>
      <b/>
      <sz val="20"/>
      <name val="Arial"/>
      <family val="2"/>
    </font>
    <font>
      <b/>
      <sz val="18"/>
      <name val="Arial"/>
      <family val="2"/>
    </font>
    <font>
      <b/>
      <sz val="8"/>
      <name val="Arial"/>
      <family val="2"/>
    </font>
    <font>
      <b/>
      <sz val="10"/>
      <color rgb="FF000000"/>
      <name val="Arial"/>
      <family val="2"/>
    </font>
    <font>
      <b/>
      <sz val="12"/>
      <name val="Calibri"/>
      <family val="2"/>
      <scheme val="minor"/>
    </font>
    <font>
      <b/>
      <sz val="12"/>
      <color rgb="FFFF0000"/>
      <name val="Calibri"/>
      <family val="2"/>
      <scheme val="minor"/>
    </font>
    <font>
      <b/>
      <vertAlign val="subscript"/>
      <sz val="12"/>
      <name val="Calibri"/>
      <family val="2"/>
      <scheme val="minor"/>
    </font>
    <font>
      <b/>
      <sz val="20"/>
      <color theme="1"/>
      <name val="Calibri"/>
      <family val="2"/>
      <scheme val="minor"/>
    </font>
    <font>
      <b/>
      <sz val="26"/>
      <color theme="1"/>
      <name val="Calibri"/>
      <family val="2"/>
      <scheme val="minor"/>
    </font>
    <font>
      <b/>
      <sz val="10"/>
      <name val="Calibri"/>
      <family val="2"/>
      <scheme val="minor"/>
    </font>
    <font>
      <b/>
      <sz val="22"/>
      <color theme="1"/>
      <name val="Calibri"/>
      <family val="2"/>
      <scheme val="minor"/>
    </font>
    <font>
      <b/>
      <sz val="28"/>
      <color theme="1"/>
      <name val="Calibri"/>
      <family val="2"/>
      <scheme val="minor"/>
    </font>
    <font>
      <b/>
      <sz val="36"/>
      <color theme="1"/>
      <name val="Calibri"/>
      <family val="2"/>
      <scheme val="minor"/>
    </font>
    <font>
      <b/>
      <sz val="48"/>
      <color theme="1"/>
      <name val="Calibri"/>
      <family val="2"/>
      <scheme val="minor"/>
    </font>
    <font>
      <b/>
      <sz val="72"/>
      <color theme="1"/>
      <name val="Calibri"/>
      <family val="2"/>
      <scheme val="minor"/>
    </font>
    <font>
      <b/>
      <sz val="16"/>
      <color theme="1"/>
      <name val="Calibri"/>
      <family val="2"/>
      <scheme val="minor"/>
    </font>
    <font>
      <sz val="14"/>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26"/>
      </patternFill>
    </fill>
    <fill>
      <patternFill patternType="solid">
        <fgColor rgb="FF00B0F0"/>
        <bgColor indexed="64"/>
      </patternFill>
    </fill>
    <fill>
      <patternFill patternType="solid">
        <fgColor theme="6"/>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FF6600"/>
        <bgColor indexed="64"/>
      </patternFill>
    </fill>
    <fill>
      <patternFill patternType="solid">
        <fgColor rgb="FFFF0000"/>
        <bgColor indexed="64"/>
      </patternFill>
    </fill>
  </fills>
  <borders count="58">
    <border>
      <left/>
      <right/>
      <top/>
      <bottom/>
      <diagonal/>
    </border>
    <border>
      <left/>
      <right style="medium">
        <color auto="1"/>
      </right>
      <top style="medium">
        <color auto="1"/>
      </top>
      <bottom/>
      <diagonal/>
    </border>
    <border>
      <left style="medium">
        <color auto="1"/>
      </left>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auto="1"/>
      </left>
      <right style="medium">
        <color auto="1"/>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196">
    <xf numFmtId="0" fontId="0" fillId="0" borderId="0"/>
    <xf numFmtId="169" fontId="28" fillId="0" borderId="0" applyFont="0" applyFill="0" applyBorder="0" applyAlignment="0" applyProtection="0"/>
    <xf numFmtId="43" fontId="31" fillId="0" borderId="0" applyFont="0" applyFill="0" applyBorder="0" applyAlignment="0" applyProtection="0"/>
    <xf numFmtId="166" fontId="32"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30" fillId="0" borderId="0" applyFont="0" applyFill="0" applyBorder="0" applyAlignment="0" applyProtection="0"/>
    <xf numFmtId="0" fontId="30" fillId="0" borderId="0"/>
    <xf numFmtId="0" fontId="29" fillId="0" borderId="0"/>
    <xf numFmtId="0" fontId="32" fillId="0" borderId="0"/>
    <xf numFmtId="9" fontId="31" fillId="0" borderId="0" applyFont="0" applyFill="0" applyBorder="0" applyAlignment="0" applyProtection="0"/>
    <xf numFmtId="9" fontId="30" fillId="0" borderId="0" applyFont="0" applyFill="0" applyBorder="0" applyAlignment="0" applyProtection="0"/>
    <xf numFmtId="0" fontId="29" fillId="0" borderId="0"/>
    <xf numFmtId="169" fontId="28" fillId="0" borderId="0" applyFont="0" applyFill="0" applyBorder="0" applyAlignment="0" applyProtection="0"/>
    <xf numFmtId="0" fontId="27" fillId="0" borderId="0"/>
    <xf numFmtId="168" fontId="28" fillId="0" borderId="0" applyFont="0" applyFill="0" applyBorder="0" applyAlignment="0" applyProtection="0"/>
    <xf numFmtId="0" fontId="29" fillId="0" borderId="0"/>
    <xf numFmtId="167" fontId="29" fillId="0" borderId="0" applyFont="0" applyFill="0" applyBorder="0" applyAlignment="0" applyProtection="0"/>
    <xf numFmtId="167" fontId="27" fillId="0" borderId="0" applyFont="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0" fontId="29" fillId="0" borderId="0"/>
    <xf numFmtId="0" fontId="27" fillId="0" borderId="0"/>
    <xf numFmtId="0" fontId="29" fillId="0" borderId="0"/>
    <xf numFmtId="0" fontId="29" fillId="0" borderId="0"/>
    <xf numFmtId="172" fontId="29" fillId="0" borderId="0"/>
    <xf numFmtId="0" fontId="29" fillId="0" borderId="0"/>
    <xf numFmtId="0" fontId="29" fillId="0" borderId="0"/>
    <xf numFmtId="0" fontId="27" fillId="0" borderId="0"/>
    <xf numFmtId="9" fontId="29" fillId="0" borderId="0" applyFont="0" applyFill="0" applyBorder="0" applyAlignment="0" applyProtection="0"/>
    <xf numFmtId="0" fontId="34" fillId="0" borderId="0" applyNumberFormat="0" applyFill="0" applyBorder="0" applyAlignment="0" applyProtection="0"/>
    <xf numFmtId="9" fontId="29" fillId="0" borderId="0" applyFont="0" applyFill="0" applyBorder="0" applyAlignment="0" applyProtection="0"/>
    <xf numFmtId="0" fontId="26" fillId="0" borderId="0"/>
    <xf numFmtId="166" fontId="26" fillId="0" borderId="0" applyFont="0" applyFill="0" applyBorder="0" applyAlignment="0" applyProtection="0"/>
    <xf numFmtId="9" fontId="26" fillId="0" borderId="0" applyFont="0" applyFill="0" applyBorder="0" applyAlignment="0" applyProtection="0"/>
    <xf numFmtId="0" fontId="33" fillId="0" borderId="0" applyNumberFormat="0" applyFill="0" applyBorder="0" applyAlignment="0" applyProtection="0"/>
    <xf numFmtId="0" fontId="25" fillId="0" borderId="0"/>
    <xf numFmtId="166" fontId="25" fillId="0" borderId="0" applyFont="0" applyFill="0" applyBorder="0" applyAlignment="0" applyProtection="0"/>
    <xf numFmtId="9" fontId="25" fillId="0" borderId="0" applyFont="0" applyFill="0" applyBorder="0" applyAlignment="0" applyProtection="0"/>
    <xf numFmtId="0" fontId="34" fillId="0" borderId="0" applyNumberFormat="0" applyFill="0" applyBorder="0" applyAlignment="0" applyProtection="0"/>
    <xf numFmtId="9" fontId="29" fillId="0" borderId="0" applyFont="0" applyFill="0" applyBorder="0" applyAlignment="0" applyProtection="0"/>
    <xf numFmtId="0" fontId="24" fillId="0" borderId="0"/>
    <xf numFmtId="166" fontId="24" fillId="0" borderId="0" applyFont="0" applyFill="0" applyBorder="0" applyAlignment="0" applyProtection="0"/>
    <xf numFmtId="0" fontId="35" fillId="0" borderId="0" applyNumberFormat="0" applyFill="0" applyBorder="0" applyAlignment="0" applyProtection="0"/>
    <xf numFmtId="0" fontId="23" fillId="0" borderId="0"/>
    <xf numFmtId="0" fontId="29" fillId="0" borderId="0"/>
    <xf numFmtId="0" fontId="29" fillId="0" borderId="0"/>
    <xf numFmtId="173" fontId="22" fillId="0" borderId="0" applyFont="0" applyFill="0" applyBorder="0" applyAlignment="0" applyProtection="0"/>
    <xf numFmtId="0" fontId="36" fillId="0" borderId="0"/>
    <xf numFmtId="165" fontId="21" fillId="0" borderId="0" applyFont="0" applyFill="0" applyBorder="0" applyAlignment="0" applyProtection="0"/>
    <xf numFmtId="0" fontId="37" fillId="0" borderId="0" applyNumberFormat="0" applyBorder="0" applyProtection="0"/>
    <xf numFmtId="0" fontId="21" fillId="0" borderId="0"/>
    <xf numFmtId="0" fontId="20" fillId="0" borderId="0"/>
    <xf numFmtId="42" fontId="20" fillId="0" borderId="0" applyFont="0" applyFill="0" applyBorder="0" applyAlignment="0" applyProtection="0"/>
    <xf numFmtId="0" fontId="29" fillId="0" borderId="0"/>
    <xf numFmtId="0" fontId="19" fillId="0" borderId="0"/>
    <xf numFmtId="42" fontId="19" fillId="0" borderId="0" applyFont="0" applyFill="0" applyBorder="0" applyAlignment="0" applyProtection="0"/>
    <xf numFmtId="0" fontId="18" fillId="0" borderId="0"/>
    <xf numFmtId="169" fontId="29" fillId="0" borderId="0" applyFont="0" applyFill="0" applyBorder="0" applyAlignment="0" applyProtection="0"/>
    <xf numFmtId="168" fontId="29" fillId="0" borderId="0" applyFont="0" applyFill="0" applyBorder="0" applyAlignment="0" applyProtection="0"/>
    <xf numFmtId="0" fontId="28" fillId="0" borderId="0"/>
    <xf numFmtId="166" fontId="18" fillId="0" borderId="0" applyFont="0" applyFill="0" applyBorder="0" applyAlignment="0" applyProtection="0"/>
    <xf numFmtId="9" fontId="18" fillId="0" borderId="0" applyFont="0" applyFill="0" applyBorder="0" applyAlignment="0" applyProtection="0"/>
    <xf numFmtId="170" fontId="29" fillId="0" borderId="0" applyFont="0" applyFill="0" applyBorder="0" applyAlignment="0" applyProtection="0"/>
    <xf numFmtId="9" fontId="29" fillId="0" borderId="0" applyFont="0" applyFill="0" applyBorder="0" applyAlignment="0" applyProtection="0"/>
    <xf numFmtId="169" fontId="29" fillId="0" borderId="0" applyFont="0" applyFill="0" applyBorder="0" applyAlignment="0" applyProtection="0"/>
    <xf numFmtId="0" fontId="18" fillId="0" borderId="0"/>
    <xf numFmtId="170" fontId="29" fillId="0" borderId="0" applyFont="0" applyFill="0" applyBorder="0" applyAlignment="0" applyProtection="0"/>
    <xf numFmtId="43" fontId="18" fillId="0" borderId="0" applyFont="0" applyFill="0" applyBorder="0" applyAlignment="0" applyProtection="0"/>
    <xf numFmtId="0" fontId="17" fillId="0" borderId="0"/>
    <xf numFmtId="0" fontId="16" fillId="0" borderId="0"/>
    <xf numFmtId="0" fontId="15" fillId="0" borderId="0"/>
    <xf numFmtId="42" fontId="15" fillId="0" borderId="0" applyFont="0" applyFill="0" applyBorder="0" applyAlignment="0" applyProtection="0"/>
    <xf numFmtId="0" fontId="14" fillId="0" borderId="0"/>
    <xf numFmtId="42" fontId="14" fillId="0" borderId="0" applyFont="0" applyFill="0" applyBorder="0" applyAlignment="0" applyProtection="0"/>
    <xf numFmtId="41" fontId="38" fillId="0" borderId="0" applyFont="0" applyFill="0" applyBorder="0" applyAlignment="0" applyProtection="0"/>
    <xf numFmtId="173" fontId="13" fillId="0" borderId="0" applyFont="0" applyFill="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164" fontId="29" fillId="0" borderId="0" applyFont="0" applyFill="0" applyBorder="0" applyAlignment="0" applyProtection="0"/>
    <xf numFmtId="0" fontId="12" fillId="0" borderId="0"/>
    <xf numFmtId="9"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29" fillId="0" borderId="0"/>
    <xf numFmtId="0" fontId="57" fillId="0" borderId="0" applyNumberFormat="0" applyFont="0" applyFill="0" applyBorder="0" applyAlignment="0" applyProtection="0"/>
    <xf numFmtId="165" fontId="12" fillId="0" borderId="0" applyFont="0" applyFill="0" applyBorder="0" applyAlignment="0" applyProtection="0"/>
    <xf numFmtId="0" fontId="12" fillId="0" borderId="0"/>
    <xf numFmtId="166" fontId="12" fillId="0" borderId="0" applyFont="0" applyFill="0" applyBorder="0" applyAlignment="0" applyProtection="0"/>
    <xf numFmtId="9" fontId="12" fillId="0" borderId="0" applyFont="0" applyFill="0" applyBorder="0" applyAlignment="0" applyProtection="0"/>
    <xf numFmtId="164" fontId="29" fillId="0" borderId="0" applyFont="0" applyFill="0" applyBorder="0" applyAlignment="0" applyProtection="0"/>
    <xf numFmtId="43" fontId="29"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43" fontId="29"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9"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44"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42" fontId="10" fillId="0" borderId="0" applyFont="0" applyFill="0" applyBorder="0" applyAlignment="0" applyProtection="0"/>
    <xf numFmtId="0" fontId="10" fillId="0" borderId="0"/>
    <xf numFmtId="42"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2" fontId="10" fillId="0" borderId="0" applyFont="0" applyFill="0" applyBorder="0" applyAlignment="0" applyProtection="0"/>
    <xf numFmtId="0" fontId="10" fillId="0" borderId="0"/>
    <xf numFmtId="42" fontId="10" fillId="0" borderId="0" applyFont="0" applyFill="0" applyBorder="0" applyAlignment="0" applyProtection="0"/>
    <xf numFmtId="44"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9"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42" fontId="10" fillId="0" borderId="0" applyFont="0" applyFill="0" applyBorder="0" applyAlignment="0" applyProtection="0"/>
    <xf numFmtId="0" fontId="10" fillId="0" borderId="0"/>
    <xf numFmtId="42"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2" fontId="10" fillId="0" borderId="0" applyFont="0" applyFill="0" applyBorder="0" applyAlignment="0" applyProtection="0"/>
    <xf numFmtId="0" fontId="10" fillId="0" borderId="0"/>
    <xf numFmtId="42"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42" fontId="29" fillId="0" borderId="0" applyFont="0" applyFill="0" applyBorder="0" applyAlignment="0" applyProtection="0"/>
    <xf numFmtId="166" fontId="29" fillId="0" borderId="0" applyFont="0" applyFill="0" applyBorder="0" applyAlignment="0" applyProtection="0"/>
    <xf numFmtId="9" fontId="29" fillId="0" borderId="0" applyFont="0" applyFill="0" applyBorder="0" applyAlignment="0" applyProtection="0"/>
    <xf numFmtId="43" fontId="66" fillId="0" borderId="0" applyFont="0" applyFill="0" applyBorder="0" applyAlignment="0" applyProtection="0"/>
    <xf numFmtId="0" fontId="29" fillId="0" borderId="0"/>
    <xf numFmtId="182" fontId="77" fillId="0" borderId="0" applyFont="0" applyFill="0" applyBorder="0" applyAlignment="0" applyProtection="0"/>
    <xf numFmtId="0" fontId="4" fillId="0" borderId="0"/>
    <xf numFmtId="41" fontId="29" fillId="0" borderId="0" applyFont="0" applyFill="0" applyBorder="0" applyAlignment="0" applyProtection="0"/>
    <xf numFmtId="9" fontId="66" fillId="0" borderId="0" applyFont="0" applyFill="0" applyBorder="0" applyAlignment="0" applyProtection="0"/>
  </cellStyleXfs>
  <cellXfs count="637">
    <xf numFmtId="0" fontId="0" fillId="0" borderId="0" xfId="0"/>
    <xf numFmtId="0" fontId="12" fillId="0" borderId="0" xfId="82"/>
    <xf numFmtId="171" fontId="12" fillId="0" borderId="26" xfId="82" applyNumberFormat="1" applyBorder="1" applyAlignment="1">
      <alignment vertical="center"/>
    </xf>
    <xf numFmtId="171" fontId="12" fillId="0" borderId="30" xfId="82" applyNumberFormat="1" applyBorder="1" applyAlignment="1">
      <alignment vertical="center"/>
    </xf>
    <xf numFmtId="171" fontId="12" fillId="0" borderId="20" xfId="82" applyNumberFormat="1" applyBorder="1" applyAlignment="1">
      <alignment vertical="center"/>
    </xf>
    <xf numFmtId="171" fontId="12" fillId="0" borderId="11" xfId="82" applyNumberFormat="1" applyBorder="1" applyAlignment="1">
      <alignment vertical="center"/>
    </xf>
    <xf numFmtId="0" fontId="12" fillId="0" borderId="20" xfId="82" applyBorder="1" applyAlignment="1">
      <alignment vertical="center"/>
    </xf>
    <xf numFmtId="0" fontId="12" fillId="0" borderId="2" xfId="82" applyBorder="1" applyAlignment="1">
      <alignment vertical="center"/>
    </xf>
    <xf numFmtId="0" fontId="41" fillId="0" borderId="29" xfId="8" applyFont="1" applyBorder="1" applyAlignment="1">
      <alignment horizontal="center" vertical="center" wrapText="1"/>
    </xf>
    <xf numFmtId="0" fontId="41" fillId="0" borderId="4" xfId="8" applyFont="1" applyBorder="1" applyAlignment="1">
      <alignment horizontal="center" vertical="center" wrapText="1"/>
    </xf>
    <xf numFmtId="0" fontId="41" fillId="0" borderId="3" xfId="8" applyFont="1" applyBorder="1" applyAlignment="1">
      <alignment horizontal="center" vertical="center" wrapText="1"/>
    </xf>
    <xf numFmtId="0" fontId="29" fillId="0" borderId="11" xfId="8" applyBorder="1" applyAlignment="1">
      <alignment horizontal="center" vertical="center" wrapText="1"/>
    </xf>
    <xf numFmtId="0" fontId="29" fillId="0" borderId="11" xfId="8" applyBorder="1" applyAlignment="1">
      <alignment horizontal="center" vertical="center"/>
    </xf>
    <xf numFmtId="0" fontId="29" fillId="0" borderId="28" xfId="8" applyBorder="1" applyAlignment="1">
      <alignment horizontal="center" vertical="center" wrapText="1"/>
    </xf>
    <xf numFmtId="171" fontId="12" fillId="5" borderId="11" xfId="82" applyNumberFormat="1" applyFill="1" applyBorder="1" applyAlignment="1">
      <alignment vertical="center"/>
    </xf>
    <xf numFmtId="0" fontId="41" fillId="0" borderId="28" xfId="8" applyFont="1" applyBorder="1" applyAlignment="1">
      <alignment horizontal="center" vertical="center" wrapText="1"/>
    </xf>
    <xf numFmtId="0" fontId="41" fillId="0" borderId="11" xfId="8" applyFont="1" applyBorder="1" applyAlignment="1">
      <alignment horizontal="center" vertical="center" wrapText="1"/>
    </xf>
    <xf numFmtId="0" fontId="29" fillId="0" borderId="31" xfId="8" applyBorder="1" applyAlignment="1">
      <alignment horizontal="center" vertical="center" wrapText="1"/>
    </xf>
    <xf numFmtId="0" fontId="29" fillId="0" borderId="30" xfId="8" applyBorder="1" applyAlignment="1">
      <alignment horizontal="center" vertical="center" wrapText="1"/>
    </xf>
    <xf numFmtId="0" fontId="29" fillId="0" borderId="30" xfId="8" applyBorder="1" applyAlignment="1">
      <alignment horizontal="center" vertical="center"/>
    </xf>
    <xf numFmtId="0" fontId="70" fillId="0" borderId="16" xfId="0" applyFont="1" applyFill="1" applyBorder="1" applyAlignment="1" applyProtection="1">
      <alignment horizontal="center" vertical="center" wrapText="1"/>
      <protection hidden="1"/>
    </xf>
    <xf numFmtId="0" fontId="71" fillId="0" borderId="11" xfId="0" applyFont="1" applyFill="1" applyBorder="1" applyAlignment="1" applyProtection="1">
      <alignment horizontal="center" vertical="center" wrapText="1"/>
      <protection hidden="1"/>
    </xf>
    <xf numFmtId="0" fontId="71" fillId="0" borderId="11" xfId="191" applyFont="1" applyBorder="1" applyAlignment="1" applyProtection="1">
      <alignment horizontal="center" vertical="center" wrapText="1"/>
      <protection hidden="1"/>
    </xf>
    <xf numFmtId="0" fontId="69" fillId="0" borderId="11" xfId="0" applyNumberFormat="1" applyFont="1" applyFill="1" applyBorder="1" applyAlignment="1" applyProtection="1">
      <alignment horizontal="center" vertical="center" wrapText="1"/>
      <protection hidden="1"/>
    </xf>
    <xf numFmtId="0" fontId="69" fillId="0" borderId="11" xfId="0" applyFont="1" applyFill="1" applyBorder="1" applyAlignment="1" applyProtection="1">
      <alignment vertical="center"/>
      <protection hidden="1"/>
    </xf>
    <xf numFmtId="0" fontId="69" fillId="0" borderId="0" xfId="0" applyNumberFormat="1" applyFont="1" applyFill="1" applyBorder="1" applyAlignment="1" applyProtection="1">
      <alignment horizontal="center" vertical="center" wrapText="1"/>
      <protection hidden="1"/>
    </xf>
    <xf numFmtId="0" fontId="69" fillId="0" borderId="0" xfId="0" applyFont="1" applyBorder="1" applyAlignment="1" applyProtection="1">
      <alignment vertical="center"/>
      <protection hidden="1"/>
    </xf>
    <xf numFmtId="49" fontId="69" fillId="0" borderId="0" xfId="0" applyNumberFormat="1" applyFont="1" applyFill="1" applyBorder="1" applyAlignment="1" applyProtection="1">
      <alignment horizontal="center" vertical="center" wrapText="1"/>
      <protection hidden="1"/>
    </xf>
    <xf numFmtId="0" fontId="0" fillId="2" borderId="0" xfId="0" applyFill="1"/>
    <xf numFmtId="0" fontId="71" fillId="3" borderId="48" xfId="70" applyFont="1" applyFill="1" applyBorder="1" applyAlignment="1" applyProtection="1">
      <alignment wrapText="1"/>
      <protection hidden="1"/>
    </xf>
    <xf numFmtId="0" fontId="71" fillId="3" borderId="51" xfId="70" applyFont="1" applyFill="1" applyBorder="1" applyAlignment="1" applyProtection="1">
      <alignment vertical="center" wrapText="1"/>
      <protection hidden="1"/>
    </xf>
    <xf numFmtId="0" fontId="71" fillId="3" borderId="49" xfId="70" applyFont="1" applyFill="1" applyBorder="1" applyAlignment="1" applyProtection="1">
      <alignment vertical="center" wrapText="1"/>
      <protection hidden="1"/>
    </xf>
    <xf numFmtId="0" fontId="71" fillId="9" borderId="11" xfId="70" applyFont="1" applyFill="1" applyBorder="1" applyAlignment="1" applyProtection="1">
      <alignment horizontal="center" vertical="center"/>
      <protection hidden="1"/>
    </xf>
    <xf numFmtId="0" fontId="71" fillId="9" borderId="11" xfId="70" applyFont="1" applyFill="1" applyBorder="1" applyAlignment="1" applyProtection="1">
      <alignment horizontal="center" vertical="center" wrapText="1"/>
      <protection hidden="1"/>
    </xf>
    <xf numFmtId="0" fontId="69" fillId="0" borderId="4" xfId="70" applyNumberFormat="1" applyFont="1" applyBorder="1" applyAlignment="1" applyProtection="1">
      <alignment horizontal="center" vertical="center"/>
      <protection hidden="1"/>
    </xf>
    <xf numFmtId="0" fontId="69" fillId="4" borderId="4" xfId="70" applyFont="1" applyFill="1" applyBorder="1" applyAlignment="1" applyProtection="1">
      <alignment horizontal="center" vertical="center" wrapText="1"/>
      <protection hidden="1"/>
    </xf>
    <xf numFmtId="0" fontId="69" fillId="0" borderId="4" xfId="70" applyFont="1" applyBorder="1" applyAlignment="1" applyProtection="1">
      <alignment horizontal="center" vertical="center" wrapText="1"/>
      <protection hidden="1"/>
    </xf>
    <xf numFmtId="6" fontId="69" fillId="0" borderId="4" xfId="70" applyNumberFormat="1" applyFont="1" applyBorder="1" applyAlignment="1" applyProtection="1">
      <alignment horizontal="center" vertical="center" wrapText="1"/>
      <protection hidden="1"/>
    </xf>
    <xf numFmtId="171" fontId="69" fillId="4" borderId="4" xfId="70" applyNumberFormat="1" applyFont="1" applyFill="1" applyBorder="1" applyAlignment="1" applyProtection="1">
      <alignment horizontal="center" vertical="center" wrapText="1"/>
      <protection hidden="1"/>
    </xf>
    <xf numFmtId="9" fontId="69" fillId="0" borderId="4" xfId="70" applyNumberFormat="1" applyFont="1" applyBorder="1" applyAlignment="1" applyProtection="1">
      <alignment horizontal="center" vertical="center" wrapText="1"/>
      <protection hidden="1"/>
    </xf>
    <xf numFmtId="0" fontId="69" fillId="0" borderId="0" xfId="70" applyFont="1" applyProtection="1">
      <protection hidden="1"/>
    </xf>
    <xf numFmtId="0" fontId="74" fillId="4" borderId="0" xfId="160" applyFont="1" applyFill="1" applyAlignment="1" applyProtection="1">
      <alignment vertical="center"/>
      <protection hidden="1"/>
    </xf>
    <xf numFmtId="0" fontId="75" fillId="4" borderId="0" xfId="160" applyFont="1" applyFill="1" applyAlignment="1" applyProtection="1">
      <alignment vertical="center"/>
      <protection hidden="1"/>
    </xf>
    <xf numFmtId="0" fontId="70" fillId="3" borderId="2" xfId="160" applyFont="1" applyFill="1" applyBorder="1" applyAlignment="1" applyProtection="1">
      <alignment horizontal="center" vertical="center" wrapText="1"/>
      <protection hidden="1"/>
    </xf>
    <xf numFmtId="0" fontId="70" fillId="3" borderId="0" xfId="160" applyFont="1" applyFill="1" applyBorder="1" applyAlignment="1" applyProtection="1">
      <alignment horizontal="center" vertical="center" wrapText="1"/>
      <protection hidden="1"/>
    </xf>
    <xf numFmtId="0" fontId="74" fillId="2" borderId="11" xfId="160" applyFont="1" applyFill="1" applyBorder="1" applyAlignment="1" applyProtection="1">
      <alignment horizontal="center" vertical="center" wrapText="1"/>
      <protection hidden="1"/>
    </xf>
    <xf numFmtId="0" fontId="76" fillId="2" borderId="11" xfId="160" applyFont="1" applyFill="1" applyBorder="1" applyAlignment="1" applyProtection="1">
      <alignment horizontal="center" vertical="center" wrapText="1"/>
      <protection hidden="1"/>
    </xf>
    <xf numFmtId="0" fontId="75" fillId="2" borderId="11" xfId="160" applyFont="1" applyFill="1" applyBorder="1" applyAlignment="1" applyProtection="1">
      <alignment horizontal="center" vertical="center" wrapText="1"/>
      <protection hidden="1"/>
    </xf>
    <xf numFmtId="0" fontId="74" fillId="3" borderId="11" xfId="160" applyFont="1" applyFill="1" applyBorder="1" applyAlignment="1" applyProtection="1">
      <alignment horizontal="center" vertical="center" wrapText="1"/>
      <protection hidden="1"/>
    </xf>
    <xf numFmtId="0" fontId="70" fillId="3" borderId="11" xfId="160" applyFont="1" applyFill="1" applyBorder="1" applyAlignment="1" applyProtection="1">
      <alignment vertical="center" wrapText="1"/>
      <protection hidden="1"/>
    </xf>
    <xf numFmtId="0" fontId="75" fillId="3" borderId="11" xfId="160" applyFont="1" applyFill="1" applyBorder="1" applyAlignment="1" applyProtection="1">
      <alignment horizontal="center" vertical="center" wrapText="1"/>
      <protection hidden="1"/>
    </xf>
    <xf numFmtId="0" fontId="75" fillId="14" borderId="11" xfId="160" applyFont="1" applyFill="1" applyBorder="1" applyAlignment="1" applyProtection="1">
      <alignment horizontal="center" vertical="center" wrapText="1"/>
      <protection hidden="1"/>
    </xf>
    <xf numFmtId="0" fontId="70" fillId="14" borderId="11" xfId="160" applyFont="1" applyFill="1" applyBorder="1" applyAlignment="1" applyProtection="1">
      <alignment vertical="center"/>
      <protection hidden="1"/>
    </xf>
    <xf numFmtId="0" fontId="74" fillId="14" borderId="11" xfId="160" applyFont="1" applyFill="1" applyBorder="1" applyAlignment="1" applyProtection="1">
      <alignment vertical="center"/>
      <protection hidden="1"/>
    </xf>
    <xf numFmtId="0" fontId="74" fillId="14" borderId="11" xfId="160" applyFont="1" applyFill="1" applyBorder="1" applyAlignment="1" applyProtection="1">
      <alignment horizontal="center" vertical="center" wrapText="1"/>
      <protection hidden="1"/>
    </xf>
    <xf numFmtId="0" fontId="77" fillId="14" borderId="11" xfId="160" applyFont="1" applyFill="1" applyBorder="1" applyAlignment="1" applyProtection="1">
      <alignment horizontal="justify" vertical="center" wrapText="1"/>
      <protection hidden="1"/>
    </xf>
    <xf numFmtId="0" fontId="78" fillId="0" borderId="11" xfId="160" applyFont="1" applyFill="1" applyBorder="1" applyAlignment="1" applyProtection="1">
      <alignment horizontal="center" vertical="center" wrapText="1"/>
      <protection hidden="1"/>
    </xf>
    <xf numFmtId="0" fontId="74" fillId="0" borderId="11" xfId="160" applyFont="1" applyFill="1" applyBorder="1" applyAlignment="1" applyProtection="1">
      <alignment horizontal="center" vertical="center" wrapText="1"/>
      <protection hidden="1"/>
    </xf>
    <xf numFmtId="6" fontId="74" fillId="0" borderId="11" xfId="160" applyNumberFormat="1" applyFont="1" applyFill="1" applyBorder="1" applyAlignment="1" applyProtection="1">
      <alignment horizontal="center" vertical="center"/>
      <protection hidden="1"/>
    </xf>
    <xf numFmtId="0" fontId="74" fillId="14" borderId="4" xfId="160" applyFont="1" applyFill="1" applyBorder="1" applyAlignment="1" applyProtection="1">
      <alignment horizontal="center" vertical="center" wrapText="1"/>
      <protection hidden="1"/>
    </xf>
    <xf numFmtId="0" fontId="70" fillId="14" borderId="11" xfId="160" applyFont="1" applyFill="1" applyBorder="1" applyAlignment="1" applyProtection="1">
      <alignment horizontal="right" vertical="center" wrapText="1"/>
      <protection hidden="1"/>
    </xf>
    <xf numFmtId="0" fontId="54" fillId="0" borderId="11" xfId="53" applyFont="1" applyFill="1" applyBorder="1" applyAlignment="1" applyProtection="1">
      <alignment horizontal="center" vertical="center" wrapText="1"/>
      <protection hidden="1"/>
    </xf>
    <xf numFmtId="0" fontId="75" fillId="0" borderId="11" xfId="160" applyFont="1" applyFill="1" applyBorder="1" applyAlignment="1" applyProtection="1">
      <alignment horizontal="center" vertical="center" wrapText="1"/>
      <protection hidden="1"/>
    </xf>
    <xf numFmtId="0" fontId="79" fillId="0" borderId="11" xfId="160" applyFont="1" applyFill="1" applyBorder="1" applyAlignment="1" applyProtection="1">
      <alignment horizontal="left" vertical="center"/>
      <protection hidden="1"/>
    </xf>
    <xf numFmtId="0" fontId="74" fillId="0" borderId="11" xfId="160" applyFont="1" applyFill="1" applyBorder="1" applyAlignment="1" applyProtection="1">
      <alignment horizontal="left" vertical="center" wrapText="1"/>
      <protection hidden="1"/>
    </xf>
    <xf numFmtId="0" fontId="75" fillId="11" borderId="11" xfId="160" applyFont="1" applyFill="1" applyBorder="1" applyAlignment="1" applyProtection="1">
      <alignment horizontal="center" vertical="center"/>
      <protection hidden="1"/>
    </xf>
    <xf numFmtId="0" fontId="70" fillId="11" borderId="11" xfId="160" applyFont="1" applyFill="1" applyBorder="1" applyAlignment="1" applyProtection="1">
      <alignment vertical="center"/>
      <protection hidden="1"/>
    </xf>
    <xf numFmtId="0" fontId="74" fillId="11" borderId="11" xfId="160" applyFont="1" applyFill="1" applyBorder="1" applyAlignment="1" applyProtection="1">
      <alignment horizontal="justify" vertical="center"/>
      <protection hidden="1"/>
    </xf>
    <xf numFmtId="0" fontId="74" fillId="11" borderId="11" xfId="160" applyFont="1" applyFill="1" applyBorder="1" applyAlignment="1" applyProtection="1">
      <alignment horizontal="center" vertical="center"/>
      <protection hidden="1"/>
    </xf>
    <xf numFmtId="0" fontId="77" fillId="11" borderId="11" xfId="160" applyFont="1" applyFill="1" applyBorder="1" applyAlignment="1" applyProtection="1">
      <alignment horizontal="justify" vertical="center" wrapText="1"/>
      <protection hidden="1"/>
    </xf>
    <xf numFmtId="0" fontId="77" fillId="0" borderId="52" xfId="0" applyFont="1" applyBorder="1" applyAlignment="1">
      <alignment horizontal="center" vertical="center"/>
    </xf>
    <xf numFmtId="0" fontId="77" fillId="11" borderId="11" xfId="0" applyFont="1" applyFill="1" applyBorder="1" applyAlignment="1" applyProtection="1">
      <alignment horizontal="justify" vertical="center" wrapText="1"/>
      <protection hidden="1"/>
    </xf>
    <xf numFmtId="0" fontId="80" fillId="0" borderId="52" xfId="0" applyFont="1" applyBorder="1" applyAlignment="1">
      <alignment horizontal="center" vertical="center" wrapText="1"/>
    </xf>
    <xf numFmtId="0" fontId="74" fillId="0" borderId="52" xfId="0" applyFont="1" applyBorder="1" applyAlignment="1">
      <alignment horizontal="center" vertical="center" wrapText="1"/>
    </xf>
    <xf numFmtId="0" fontId="74" fillId="0" borderId="52" xfId="0" applyFont="1" applyBorder="1" applyAlignment="1">
      <alignment horizontal="center" vertical="center"/>
    </xf>
    <xf numFmtId="6" fontId="80" fillId="0" borderId="52" xfId="0" applyNumberFormat="1" applyFont="1" applyBorder="1" applyAlignment="1">
      <alignment horizontal="center" vertical="center"/>
    </xf>
    <xf numFmtId="1" fontId="74" fillId="0" borderId="52" xfId="0" applyNumberFormat="1" applyFont="1" applyBorder="1" applyAlignment="1">
      <alignment horizontal="center" vertical="center"/>
    </xf>
    <xf numFmtId="0" fontId="75" fillId="11" borderId="11" xfId="160" applyFont="1" applyFill="1" applyBorder="1" applyAlignment="1" applyProtection="1">
      <alignment horizontal="right" vertical="center"/>
      <protection hidden="1"/>
    </xf>
    <xf numFmtId="0" fontId="74" fillId="0" borderId="0" xfId="160" applyFont="1" applyAlignment="1" applyProtection="1">
      <alignment vertical="center"/>
      <protection hidden="1"/>
    </xf>
    <xf numFmtId="14" fontId="74" fillId="0" borderId="0" xfId="160" applyNumberFormat="1" applyFont="1" applyAlignment="1" applyProtection="1">
      <alignment vertical="center"/>
      <protection hidden="1"/>
    </xf>
    <xf numFmtId="0" fontId="77" fillId="0" borderId="0" xfId="191" applyFont="1" applyFill="1" applyAlignment="1" applyProtection="1">
      <alignment vertical="center" wrapText="1"/>
      <protection hidden="1"/>
    </xf>
    <xf numFmtId="0" fontId="70" fillId="0" borderId="0" xfId="192" applyNumberFormat="1" applyFont="1" applyFill="1" applyAlignment="1" applyProtection="1">
      <alignment vertical="center" wrapText="1"/>
      <protection hidden="1"/>
    </xf>
    <xf numFmtId="182" fontId="70" fillId="0" borderId="0" xfId="192" applyFont="1" applyFill="1" applyAlignment="1" applyProtection="1">
      <alignment horizontal="center" vertical="center" wrapText="1"/>
      <protection hidden="1"/>
    </xf>
    <xf numFmtId="182" fontId="70" fillId="0" borderId="0" xfId="192" applyFont="1" applyFill="1" applyAlignment="1" applyProtection="1">
      <alignment vertical="center" wrapText="1"/>
      <protection hidden="1"/>
    </xf>
    <xf numFmtId="182" fontId="70" fillId="2" borderId="11" xfId="192" applyFont="1" applyFill="1" applyBorder="1" applyAlignment="1" applyProtection="1">
      <alignment horizontal="center" vertical="center" wrapText="1"/>
      <protection hidden="1"/>
    </xf>
    <xf numFmtId="182" fontId="68" fillId="2" borderId="11" xfId="192" applyFont="1" applyFill="1" applyBorder="1" applyAlignment="1" applyProtection="1">
      <alignment horizontal="center" vertical="center" wrapText="1"/>
      <protection hidden="1"/>
    </xf>
    <xf numFmtId="184" fontId="68" fillId="5" borderId="11" xfId="192" applyNumberFormat="1" applyFont="1" applyFill="1" applyBorder="1" applyAlignment="1" applyProtection="1">
      <alignment horizontal="center" vertical="center" wrapText="1"/>
      <protection hidden="1"/>
    </xf>
    <xf numFmtId="186" fontId="68" fillId="2" borderId="11" xfId="192" applyNumberFormat="1" applyFont="1" applyFill="1" applyBorder="1" applyAlignment="1" applyProtection="1">
      <alignment horizontal="center" vertical="center" wrapText="1"/>
      <protection hidden="1"/>
    </xf>
    <xf numFmtId="0" fontId="70" fillId="0" borderId="0" xfId="191" applyNumberFormat="1" applyFont="1" applyFill="1" applyBorder="1" applyAlignment="1" applyProtection="1">
      <alignment vertical="center" wrapText="1"/>
      <protection hidden="1"/>
    </xf>
    <xf numFmtId="183" fontId="70" fillId="0" borderId="0" xfId="192" applyNumberFormat="1" applyFont="1" applyFill="1" applyBorder="1" applyAlignment="1" applyProtection="1">
      <alignment vertical="center" wrapText="1"/>
      <protection hidden="1"/>
    </xf>
    <xf numFmtId="185" fontId="77" fillId="0" borderId="0" xfId="192" applyNumberFormat="1" applyFont="1" applyFill="1" applyBorder="1" applyAlignment="1" applyProtection="1">
      <alignment horizontal="right" vertical="center" wrapText="1"/>
      <protection hidden="1"/>
    </xf>
    <xf numFmtId="187" fontId="77" fillId="0" borderId="0" xfId="192" applyNumberFormat="1" applyFont="1" applyFill="1" applyBorder="1" applyAlignment="1" applyProtection="1">
      <alignment vertical="center" wrapText="1"/>
      <protection hidden="1"/>
    </xf>
    <xf numFmtId="3" fontId="70" fillId="0" borderId="0" xfId="192" applyNumberFormat="1" applyFont="1" applyFill="1" applyBorder="1" applyAlignment="1" applyProtection="1">
      <alignment vertical="center" wrapText="1"/>
      <protection hidden="1"/>
    </xf>
    <xf numFmtId="0" fontId="77" fillId="0" borderId="0" xfId="191" applyNumberFormat="1" applyFont="1" applyFill="1" applyAlignment="1" applyProtection="1">
      <alignment vertical="center" wrapText="1"/>
      <protection hidden="1"/>
    </xf>
    <xf numFmtId="188" fontId="77" fillId="0" borderId="0" xfId="192" applyNumberFormat="1" applyFont="1" applyFill="1" applyAlignment="1" applyProtection="1">
      <alignment vertical="center" wrapText="1"/>
      <protection hidden="1"/>
    </xf>
    <xf numFmtId="182" fontId="77" fillId="0" borderId="0" xfId="192" applyFont="1" applyFill="1" applyAlignment="1" applyProtection="1">
      <alignment vertical="center" wrapText="1"/>
      <protection hidden="1"/>
    </xf>
    <xf numFmtId="0" fontId="83" fillId="5" borderId="11" xfId="192" applyNumberFormat="1" applyFont="1" applyFill="1" applyBorder="1" applyAlignment="1" applyProtection="1">
      <alignment horizontal="center" vertical="center" wrapText="1"/>
      <protection hidden="1"/>
    </xf>
    <xf numFmtId="0" fontId="84" fillId="5" borderId="11" xfId="0" applyNumberFormat="1" applyFont="1" applyFill="1" applyBorder="1" applyAlignment="1" applyProtection="1">
      <alignment horizontal="center" vertical="center" wrapText="1"/>
      <protection hidden="1"/>
    </xf>
    <xf numFmtId="0" fontId="69" fillId="0" borderId="0" xfId="191" applyFont="1" applyFill="1" applyAlignment="1" applyProtection="1">
      <alignment vertical="center" wrapText="1"/>
      <protection hidden="1"/>
    </xf>
    <xf numFmtId="0" fontId="71" fillId="2" borderId="11" xfId="191" applyNumberFormat="1" applyFont="1" applyFill="1" applyBorder="1" applyAlignment="1" applyProtection="1">
      <alignment horizontal="center" vertical="center" wrapText="1"/>
      <protection hidden="1"/>
    </xf>
    <xf numFmtId="9" fontId="71" fillId="2" borderId="11" xfId="191" applyNumberFormat="1" applyFont="1" applyFill="1" applyBorder="1" applyAlignment="1" applyProtection="1">
      <alignment horizontal="center" vertical="center" wrapText="1"/>
      <protection hidden="1"/>
    </xf>
    <xf numFmtId="0" fontId="68" fillId="18" borderId="11" xfId="0" applyFont="1" applyFill="1" applyBorder="1" applyAlignment="1" applyProtection="1">
      <alignment horizontal="center" vertical="center"/>
      <protection hidden="1"/>
    </xf>
    <xf numFmtId="4" fontId="68" fillId="0" borderId="11" xfId="191" applyNumberFormat="1" applyFont="1" applyFill="1" applyBorder="1" applyAlignment="1" applyProtection="1">
      <alignment horizontal="center" vertical="center" wrapText="1"/>
      <protection hidden="1"/>
    </xf>
    <xf numFmtId="189" fontId="68" fillId="0" borderId="11" xfId="191" applyNumberFormat="1" applyFont="1" applyFill="1" applyBorder="1" applyAlignment="1" applyProtection="1">
      <alignment horizontal="center" vertical="center" wrapText="1"/>
      <protection hidden="1"/>
    </xf>
    <xf numFmtId="0" fontId="77" fillId="0" borderId="0" xfId="191" applyNumberFormat="1" applyFont="1" applyFill="1" applyAlignment="1" applyProtection="1">
      <alignment horizontal="center" vertical="center" wrapText="1"/>
      <protection hidden="1"/>
    </xf>
    <xf numFmtId="0" fontId="77" fillId="0" borderId="0" xfId="191" applyFont="1" applyFill="1" applyAlignment="1" applyProtection="1">
      <alignment horizontal="center" vertical="center" wrapText="1"/>
      <protection hidden="1"/>
    </xf>
    <xf numFmtId="0" fontId="68" fillId="3" borderId="0" xfId="191" applyFont="1" applyFill="1" applyBorder="1" applyAlignment="1" applyProtection="1">
      <alignment horizontal="center" vertical="center" wrapText="1"/>
      <protection hidden="1"/>
    </xf>
    <xf numFmtId="0" fontId="77" fillId="3" borderId="0" xfId="191" applyFont="1" applyFill="1" applyAlignment="1" applyProtection="1">
      <alignment vertical="center" wrapText="1"/>
      <protection hidden="1"/>
    </xf>
    <xf numFmtId="0" fontId="77" fillId="3" borderId="0" xfId="191" applyNumberFormat="1" applyFont="1" applyFill="1" applyAlignment="1" applyProtection="1">
      <alignment horizontal="center" vertical="center" wrapText="1"/>
      <protection hidden="1"/>
    </xf>
    <xf numFmtId="0" fontId="77" fillId="3" borderId="0" xfId="191" applyFont="1" applyFill="1" applyAlignment="1" applyProtection="1">
      <alignment horizontal="center" vertical="center" wrapText="1"/>
      <protection hidden="1"/>
    </xf>
    <xf numFmtId="0" fontId="89" fillId="2" borderId="11" xfId="191" applyFont="1" applyFill="1" applyBorder="1" applyAlignment="1" applyProtection="1">
      <alignment horizontal="center" vertical="center" wrapText="1"/>
      <protection hidden="1"/>
    </xf>
    <xf numFmtId="9" fontId="69" fillId="5" borderId="11" xfId="191" applyNumberFormat="1" applyFont="1" applyFill="1" applyBorder="1" applyAlignment="1" applyProtection="1">
      <alignment horizontal="center" vertical="center" wrapText="1"/>
      <protection hidden="1"/>
    </xf>
    <xf numFmtId="184" fontId="69" fillId="5" borderId="11" xfId="191" applyNumberFormat="1" applyFont="1" applyFill="1" applyBorder="1" applyAlignment="1" applyProtection="1">
      <alignment horizontal="center" vertical="center" wrapText="1"/>
      <protection hidden="1"/>
    </xf>
    <xf numFmtId="0" fontId="89" fillId="13" borderId="11" xfId="0" applyFont="1" applyFill="1" applyBorder="1" applyAlignment="1" applyProtection="1">
      <alignment horizontal="center" vertical="center" wrapText="1"/>
      <protection hidden="1"/>
    </xf>
    <xf numFmtId="0" fontId="89" fillId="13" borderId="11" xfId="191" applyFont="1" applyFill="1" applyBorder="1" applyAlignment="1" applyProtection="1">
      <alignment horizontal="center" vertical="center" wrapText="1"/>
      <protection hidden="1"/>
    </xf>
    <xf numFmtId="182" fontId="70" fillId="5" borderId="11" xfId="192" applyFont="1" applyFill="1" applyBorder="1" applyAlignment="1" applyProtection="1">
      <alignment horizontal="center" vertical="center" wrapText="1"/>
      <protection hidden="1"/>
    </xf>
    <xf numFmtId="1" fontId="69" fillId="0" borderId="11" xfId="0" applyNumberFormat="1" applyFont="1" applyFill="1" applyBorder="1" applyAlignment="1" applyProtection="1">
      <alignment horizontal="center" vertical="center" wrapText="1"/>
      <protection hidden="1"/>
    </xf>
    <xf numFmtId="4" fontId="69" fillId="0" borderId="11" xfId="192" applyNumberFormat="1" applyFont="1" applyFill="1" applyBorder="1" applyAlignment="1" applyProtection="1">
      <alignment horizontal="left" vertical="center" wrapText="1"/>
      <protection hidden="1"/>
    </xf>
    <xf numFmtId="4" fontId="29" fillId="5" borderId="11" xfId="192" applyNumberFormat="1" applyFont="1" applyFill="1" applyBorder="1" applyAlignment="1" applyProtection="1">
      <alignment horizontal="center" vertical="center" wrapText="1"/>
      <protection hidden="1"/>
    </xf>
    <xf numFmtId="4" fontId="71" fillId="14" borderId="11" xfId="191" applyNumberFormat="1" applyFont="1" applyFill="1" applyBorder="1" applyAlignment="1" applyProtection="1">
      <alignment horizontal="center" vertical="center"/>
      <protection hidden="1"/>
    </xf>
    <xf numFmtId="184" fontId="29" fillId="0" borderId="11" xfId="30" applyNumberFormat="1" applyFont="1" applyFill="1" applyBorder="1" applyAlignment="1" applyProtection="1">
      <alignment horizontal="center" vertical="center"/>
      <protection hidden="1"/>
    </xf>
    <xf numFmtId="4" fontId="29" fillId="5" borderId="11" xfId="191" applyNumberFormat="1" applyFont="1" applyFill="1" applyBorder="1" applyAlignment="1" applyProtection="1">
      <alignment horizontal="center" vertical="center"/>
      <protection hidden="1"/>
    </xf>
    <xf numFmtId="4" fontId="29" fillId="0" borderId="11" xfId="191" applyNumberFormat="1" applyFont="1" applyFill="1" applyBorder="1" applyAlignment="1" applyProtection="1">
      <alignment horizontal="center" vertical="center"/>
      <protection hidden="1"/>
    </xf>
    <xf numFmtId="0" fontId="70" fillId="0" borderId="11" xfId="192" applyNumberFormat="1" applyFont="1" applyFill="1" applyBorder="1" applyAlignment="1" applyProtection="1">
      <alignment horizontal="center" vertical="center" wrapText="1"/>
      <protection hidden="1"/>
    </xf>
    <xf numFmtId="182" fontId="70" fillId="0" borderId="11" xfId="192" applyFont="1" applyFill="1" applyBorder="1" applyAlignment="1" applyProtection="1">
      <alignment vertical="center" wrapText="1"/>
      <protection hidden="1"/>
    </xf>
    <xf numFmtId="182" fontId="70" fillId="0" borderId="11" xfId="192" applyFont="1" applyFill="1" applyBorder="1" applyAlignment="1" applyProtection="1">
      <alignment horizontal="center" vertical="center" wrapText="1"/>
      <protection hidden="1"/>
    </xf>
    <xf numFmtId="42" fontId="69" fillId="5" borderId="17" xfId="187" applyFont="1" applyFill="1" applyBorder="1" applyAlignment="1" applyProtection="1">
      <alignment horizontal="center" vertical="center"/>
      <protection hidden="1"/>
    </xf>
    <xf numFmtId="0" fontId="42" fillId="0" borderId="0" xfId="53" applyFont="1" applyAlignment="1" applyProtection="1">
      <alignment vertical="center"/>
      <protection hidden="1"/>
    </xf>
    <xf numFmtId="0" fontId="54" fillId="2" borderId="11" xfId="53" applyFont="1" applyFill="1" applyBorder="1" applyAlignment="1" applyProtection="1">
      <alignment horizontal="center" vertical="center"/>
      <protection hidden="1"/>
    </xf>
    <xf numFmtId="0" fontId="90" fillId="2" borderId="11" xfId="53" applyFont="1" applyFill="1" applyBorder="1" applyAlignment="1" applyProtection="1">
      <alignment horizontal="center" vertical="center" wrapText="1"/>
      <protection hidden="1"/>
    </xf>
    <xf numFmtId="0" fontId="42" fillId="2" borderId="11" xfId="53" applyFont="1" applyFill="1" applyBorder="1" applyAlignment="1" applyProtection="1">
      <alignment horizontal="center" vertical="center" wrapText="1"/>
      <protection hidden="1"/>
    </xf>
    <xf numFmtId="1" fontId="54" fillId="2" borderId="11" xfId="53" applyNumberFormat="1" applyFont="1" applyFill="1" applyBorder="1" applyAlignment="1" applyProtection="1">
      <alignment horizontal="center" vertical="center" wrapText="1"/>
      <protection hidden="1"/>
    </xf>
    <xf numFmtId="0" fontId="54" fillId="2" borderId="11" xfId="53" applyFont="1" applyFill="1" applyBorder="1" applyAlignment="1" applyProtection="1">
      <alignment horizontal="center" vertical="center" wrapText="1"/>
      <protection hidden="1"/>
    </xf>
    <xf numFmtId="0" fontId="42" fillId="0" borderId="11" xfId="53" applyFont="1" applyFill="1" applyBorder="1" applyAlignment="1" applyProtection="1">
      <alignment horizontal="center" vertical="center" wrapText="1"/>
      <protection hidden="1"/>
    </xf>
    <xf numFmtId="0" fontId="67" fillId="5" borderId="11" xfId="0" applyFont="1" applyFill="1" applyBorder="1" applyAlignment="1" applyProtection="1">
      <alignment horizontal="center" vertical="center" wrapText="1"/>
      <protection hidden="1"/>
    </xf>
    <xf numFmtId="0" fontId="67" fillId="5" borderId="11" xfId="191" applyFont="1" applyFill="1" applyBorder="1" applyAlignment="1" applyProtection="1">
      <alignment horizontal="center" vertical="center" wrapText="1"/>
      <protection hidden="1"/>
    </xf>
    <xf numFmtId="0" fontId="67" fillId="15" borderId="11" xfId="0" applyFont="1" applyFill="1" applyBorder="1" applyAlignment="1" applyProtection="1">
      <alignment horizontal="center" vertical="center" wrapText="1"/>
      <protection hidden="1"/>
    </xf>
    <xf numFmtId="0" fontId="82" fillId="0" borderId="11" xfId="0" applyNumberFormat="1" applyFont="1" applyFill="1" applyBorder="1" applyAlignment="1" applyProtection="1">
      <alignment horizontal="center" vertical="center" wrapText="1"/>
      <protection hidden="1"/>
    </xf>
    <xf numFmtId="0" fontId="82" fillId="0" borderId="11" xfId="0" applyFont="1" applyBorder="1" applyAlignment="1" applyProtection="1">
      <alignment vertical="center"/>
      <protection hidden="1"/>
    </xf>
    <xf numFmtId="0" fontId="82" fillId="0" borderId="11" xfId="0" applyFont="1" applyBorder="1" applyAlignment="1" applyProtection="1">
      <alignment horizontal="center" vertical="center"/>
      <protection hidden="1"/>
    </xf>
    <xf numFmtId="0" fontId="82" fillId="5" borderId="11" xfId="0" applyFont="1" applyFill="1" applyBorder="1" applyAlignment="1" applyProtection="1">
      <alignment horizontal="center" vertical="center"/>
      <protection hidden="1"/>
    </xf>
    <xf numFmtId="0" fontId="88" fillId="19" borderId="11" xfId="0" applyFont="1" applyFill="1" applyBorder="1" applyAlignment="1" applyProtection="1">
      <alignment horizontal="center" vertical="center"/>
      <protection hidden="1"/>
    </xf>
    <xf numFmtId="0" fontId="82" fillId="5" borderId="11" xfId="0" applyFont="1" applyFill="1" applyBorder="1" applyAlignment="1" applyProtection="1">
      <alignment horizontal="center" vertical="center" wrapText="1"/>
      <protection hidden="1"/>
    </xf>
    <xf numFmtId="0" fontId="64" fillId="3" borderId="0" xfId="193" applyFont="1" applyFill="1" applyProtection="1">
      <protection hidden="1"/>
    </xf>
    <xf numFmtId="0" fontId="64" fillId="0" borderId="0" xfId="193" applyFont="1" applyProtection="1">
      <protection hidden="1"/>
    </xf>
    <xf numFmtId="190" fontId="92" fillId="5" borderId="10" xfId="194" applyNumberFormat="1" applyFont="1" applyFill="1" applyBorder="1" applyAlignment="1" applyProtection="1">
      <alignment horizontal="center" vertical="center"/>
      <protection hidden="1"/>
    </xf>
    <xf numFmtId="0" fontId="91" fillId="9" borderId="43" xfId="193" applyFont="1" applyFill="1" applyBorder="1" applyAlignment="1" applyProtection="1">
      <alignment horizontal="center"/>
      <protection hidden="1"/>
    </xf>
    <xf numFmtId="165" fontId="91" fillId="2" borderId="45" xfId="88" applyFont="1" applyFill="1" applyBorder="1" applyAlignment="1" applyProtection="1">
      <alignment horizontal="center" vertical="center"/>
      <protection hidden="1"/>
    </xf>
    <xf numFmtId="14" fontId="91" fillId="5" borderId="10" xfId="193" applyNumberFormat="1" applyFont="1" applyFill="1" applyBorder="1" applyAlignment="1" applyProtection="1">
      <alignment horizontal="center" vertical="center" wrapText="1"/>
      <protection hidden="1"/>
    </xf>
    <xf numFmtId="0" fontId="91" fillId="5" borderId="10" xfId="193" applyFont="1" applyFill="1" applyBorder="1" applyAlignment="1" applyProtection="1">
      <alignment horizontal="center" vertical="center"/>
      <protection hidden="1"/>
    </xf>
    <xf numFmtId="0" fontId="91" fillId="9" borderId="31" xfId="193" applyFont="1" applyFill="1" applyBorder="1" applyAlignment="1" applyProtection="1">
      <alignment horizontal="center" vertical="center" wrapText="1"/>
      <protection hidden="1"/>
    </xf>
    <xf numFmtId="192" fontId="91" fillId="16" borderId="26" xfId="193" applyNumberFormat="1" applyFont="1" applyFill="1" applyBorder="1" applyAlignment="1" applyProtection="1">
      <alignment horizontal="center" vertical="center"/>
      <protection hidden="1"/>
    </xf>
    <xf numFmtId="42" fontId="91" fillId="5" borderId="10" xfId="193" applyNumberFormat="1" applyFont="1" applyFill="1" applyBorder="1" applyAlignment="1" applyProtection="1">
      <alignment horizontal="center" vertical="center" wrapText="1"/>
      <protection hidden="1"/>
    </xf>
    <xf numFmtId="0" fontId="92" fillId="5" borderId="10" xfId="193" applyFont="1" applyFill="1" applyBorder="1" applyAlignment="1" applyProtection="1">
      <alignment horizontal="center" vertical="center"/>
      <protection hidden="1"/>
    </xf>
    <xf numFmtId="0" fontId="64" fillId="3" borderId="0" xfId="193" applyFont="1" applyFill="1" applyBorder="1" applyProtection="1">
      <protection hidden="1"/>
    </xf>
    <xf numFmtId="10" fontId="91" fillId="5" borderId="10" xfId="30" applyNumberFormat="1" applyFont="1" applyFill="1" applyBorder="1" applyAlignment="1" applyProtection="1">
      <alignment horizontal="center" vertical="center" wrapText="1"/>
      <protection hidden="1"/>
    </xf>
    <xf numFmtId="6" fontId="64" fillId="3" borderId="0" xfId="193" applyNumberFormat="1" applyFont="1" applyFill="1" applyProtection="1">
      <protection hidden="1"/>
    </xf>
    <xf numFmtId="0" fontId="91" fillId="9" borderId="11" xfId="193" applyFont="1" applyFill="1" applyBorder="1" applyAlignment="1" applyProtection="1">
      <alignment horizontal="center" vertical="center"/>
      <protection hidden="1"/>
    </xf>
    <xf numFmtId="0" fontId="64" fillId="3" borderId="0" xfId="193" applyFont="1" applyFill="1" applyBorder="1" applyAlignment="1" applyProtection="1">
      <alignment horizontal="center"/>
      <protection hidden="1"/>
    </xf>
    <xf numFmtId="0" fontId="64" fillId="3" borderId="0" xfId="193" applyFont="1" applyFill="1" applyAlignment="1" applyProtection="1">
      <alignment horizontal="left"/>
      <protection hidden="1"/>
    </xf>
    <xf numFmtId="0" fontId="91" fillId="5" borderId="11" xfId="194" applyNumberFormat="1" applyFont="1" applyFill="1" applyBorder="1" applyAlignment="1" applyProtection="1">
      <alignment horizontal="center" vertical="center" wrapText="1"/>
      <protection hidden="1"/>
    </xf>
    <xf numFmtId="0" fontId="91" fillId="9" borderId="11" xfId="193" applyFont="1" applyFill="1" applyBorder="1" applyAlignment="1" applyProtection="1">
      <alignment horizontal="center" vertical="center" wrapText="1"/>
      <protection hidden="1"/>
    </xf>
    <xf numFmtId="0" fontId="91" fillId="9" borderId="11" xfId="193" applyFont="1" applyFill="1" applyBorder="1" applyAlignment="1" applyProtection="1">
      <alignment vertical="center" wrapText="1"/>
      <protection hidden="1"/>
    </xf>
    <xf numFmtId="0" fontId="91" fillId="9" borderId="5" xfId="193" applyFont="1" applyFill="1" applyBorder="1" applyAlignment="1" applyProtection="1">
      <alignment horizontal="center" vertical="center" wrapText="1"/>
      <protection hidden="1"/>
    </xf>
    <xf numFmtId="0" fontId="91" fillId="9" borderId="53" xfId="193" applyFont="1" applyFill="1" applyBorder="1" applyAlignment="1" applyProtection="1">
      <alignment horizontal="center" vertical="center" wrapText="1"/>
      <protection hidden="1"/>
    </xf>
    <xf numFmtId="0" fontId="91" fillId="3" borderId="11" xfId="193" applyFont="1" applyFill="1" applyBorder="1" applyAlignment="1" applyProtection="1">
      <alignment horizontal="center" vertical="center"/>
      <protection hidden="1"/>
    </xf>
    <xf numFmtId="0" fontId="91" fillId="5" borderId="11" xfId="193" applyFont="1" applyFill="1" applyBorder="1" applyAlignment="1" applyProtection="1">
      <alignment horizontal="center" vertical="center" wrapText="1"/>
      <protection hidden="1"/>
    </xf>
    <xf numFmtId="193" fontId="64" fillId="3" borderId="11" xfId="193" applyNumberFormat="1" applyFont="1" applyFill="1" applyBorder="1" applyAlignment="1" applyProtection="1">
      <alignment horizontal="center" vertical="center"/>
      <protection hidden="1"/>
    </xf>
    <xf numFmtId="10" fontId="64" fillId="3" borderId="11" xfId="30" applyNumberFormat="1" applyFont="1" applyFill="1" applyBorder="1" applyAlignment="1" applyProtection="1">
      <alignment horizontal="center" vertical="center"/>
      <protection hidden="1"/>
    </xf>
    <xf numFmtId="2" fontId="64" fillId="3" borderId="11" xfId="193" applyNumberFormat="1" applyFont="1" applyFill="1" applyBorder="1" applyAlignment="1" applyProtection="1">
      <alignment horizontal="center" vertical="center"/>
      <protection hidden="1"/>
    </xf>
    <xf numFmtId="2" fontId="91" fillId="3" borderId="11" xfId="193" applyNumberFormat="1" applyFont="1" applyFill="1" applyBorder="1" applyAlignment="1" applyProtection="1">
      <alignment horizontal="center" vertical="center"/>
      <protection hidden="1"/>
    </xf>
    <xf numFmtId="1" fontId="91" fillId="0" borderId="11" xfId="193" applyNumberFormat="1" applyFont="1" applyFill="1" applyBorder="1" applyAlignment="1" applyProtection="1">
      <alignment horizontal="center" vertical="center"/>
      <protection hidden="1"/>
    </xf>
    <xf numFmtId="0" fontId="0" fillId="20" borderId="0" xfId="0" applyFill="1"/>
    <xf numFmtId="9" fontId="29" fillId="0" borderId="11" xfId="30" applyNumberFormat="1" applyFont="1" applyFill="1" applyBorder="1" applyAlignment="1" applyProtection="1">
      <alignment horizontal="center" vertical="center"/>
      <protection hidden="1"/>
    </xf>
    <xf numFmtId="0" fontId="12" fillId="0" borderId="11" xfId="82" applyBorder="1" applyAlignment="1">
      <alignment horizontal="center" vertical="center" wrapText="1"/>
    </xf>
    <xf numFmtId="0" fontId="44" fillId="9" borderId="11" xfId="82" applyFont="1" applyFill="1" applyBorder="1" applyAlignment="1">
      <alignment wrapText="1"/>
    </xf>
    <xf numFmtId="0" fontId="12" fillId="0" borderId="0" xfId="82" applyAlignment="1">
      <alignment horizontal="center" vertical="center"/>
    </xf>
    <xf numFmtId="0" fontId="94" fillId="0" borderId="11" xfId="82" applyFont="1" applyBorder="1" applyAlignment="1">
      <alignment horizontal="center" vertical="center"/>
    </xf>
    <xf numFmtId="0" fontId="12" fillId="0" borderId="11" xfId="82" applyBorder="1" applyAlignment="1">
      <alignment horizontal="center" vertical="center"/>
    </xf>
    <xf numFmtId="0" fontId="44" fillId="5" borderId="11" xfId="82" applyFont="1" applyFill="1" applyBorder="1" applyAlignment="1">
      <alignment horizontal="center" vertical="center"/>
    </xf>
    <xf numFmtId="0" fontId="98" fillId="0" borderId="11" xfId="82" applyFont="1" applyBorder="1" applyAlignment="1">
      <alignment horizontal="center" vertical="center"/>
    </xf>
    <xf numFmtId="0" fontId="44" fillId="0" borderId="0" xfId="82" applyFont="1" applyBorder="1" applyAlignment="1">
      <alignment horizontal="center" vertical="center"/>
    </xf>
    <xf numFmtId="0" fontId="41" fillId="0" borderId="0" xfId="8" applyFont="1" applyBorder="1" applyAlignment="1">
      <alignment horizontal="center" vertical="center" wrapText="1"/>
    </xf>
    <xf numFmtId="0" fontId="12" fillId="0" borderId="0" xfId="82" applyBorder="1" applyAlignment="1">
      <alignment vertical="center"/>
    </xf>
    <xf numFmtId="171" fontId="12" fillId="0" borderId="0" xfId="82" applyNumberFormat="1" applyBorder="1" applyAlignment="1">
      <alignment vertical="center"/>
    </xf>
    <xf numFmtId="0" fontId="41" fillId="0" borderId="49" xfId="8" applyFont="1" applyBorder="1" applyAlignment="1">
      <alignment horizontal="center" vertical="center" wrapText="1"/>
    </xf>
    <xf numFmtId="0" fontId="29" fillId="0" borderId="15" xfId="8" applyBorder="1" applyAlignment="1">
      <alignment horizontal="center" vertical="center" wrapText="1"/>
    </xf>
    <xf numFmtId="0" fontId="0" fillId="0" borderId="0" xfId="0" applyAlignment="1">
      <alignment horizontal="left" vertical="center"/>
    </xf>
    <xf numFmtId="0" fontId="0" fillId="0" borderId="11" xfId="0" applyBorder="1" applyAlignment="1">
      <alignment horizontal="left" vertical="center"/>
    </xf>
    <xf numFmtId="0" fontId="0" fillId="0" borderId="11" xfId="0" applyBorder="1" applyAlignment="1">
      <alignment horizontal="left" vertical="center" wrapText="1"/>
    </xf>
    <xf numFmtId="0" fontId="29" fillId="0" borderId="11" xfId="0" applyFont="1" applyBorder="1" applyAlignment="1">
      <alignment horizontal="left" vertical="center" wrapText="1"/>
    </xf>
    <xf numFmtId="0" fontId="70" fillId="2" borderId="11" xfId="0" applyFont="1" applyFill="1" applyBorder="1" applyAlignment="1">
      <alignment horizontal="center" vertical="center"/>
    </xf>
    <xf numFmtId="0" fontId="70" fillId="2" borderId="11" xfId="0" applyFont="1" applyFill="1" applyBorder="1" applyAlignment="1">
      <alignment horizontal="center" vertical="center" wrapText="1"/>
    </xf>
    <xf numFmtId="0" fontId="41" fillId="0" borderId="11" xfId="0" applyFont="1" applyBorder="1" applyAlignment="1">
      <alignment horizontal="center" vertical="center"/>
    </xf>
    <xf numFmtId="0" fontId="77" fillId="0" borderId="52" xfId="0" applyFont="1" applyBorder="1" applyAlignment="1">
      <alignment horizontal="center" vertical="center" wrapText="1"/>
    </xf>
    <xf numFmtId="8" fontId="74" fillId="0" borderId="52" xfId="0" applyNumberFormat="1" applyFont="1" applyBorder="1" applyAlignment="1">
      <alignment horizontal="center" vertical="center"/>
    </xf>
    <xf numFmtId="0" fontId="29" fillId="0" borderId="0" xfId="0" applyFont="1" applyFill="1" applyAlignment="1" applyProtection="1">
      <alignment horizontal="justify" vertical="top" wrapText="1"/>
      <protection hidden="1"/>
    </xf>
    <xf numFmtId="0" fontId="72" fillId="0" borderId="0" xfId="0" applyFont="1" applyFill="1" applyAlignment="1" applyProtection="1">
      <alignment horizontal="justify" vertical="top" wrapText="1"/>
      <protection hidden="1"/>
    </xf>
    <xf numFmtId="0" fontId="67" fillId="4" borderId="46" xfId="0" applyFont="1" applyFill="1" applyBorder="1" applyAlignment="1" applyProtection="1">
      <alignment horizontal="center" vertical="center" wrapText="1"/>
      <protection hidden="1"/>
    </xf>
    <xf numFmtId="0" fontId="67" fillId="4" borderId="47" xfId="0" applyFont="1" applyFill="1" applyBorder="1" applyAlignment="1" applyProtection="1">
      <alignment horizontal="center" vertical="center" wrapText="1"/>
      <protection hidden="1"/>
    </xf>
    <xf numFmtId="0" fontId="68" fillId="4" borderId="34" xfId="0" applyFont="1" applyFill="1" applyBorder="1" applyAlignment="1" applyProtection="1">
      <alignment horizontal="center" vertical="center" wrapText="1"/>
      <protection hidden="1"/>
    </xf>
    <xf numFmtId="0" fontId="68" fillId="4" borderId="35" xfId="0" applyFont="1" applyFill="1" applyBorder="1" applyAlignment="1" applyProtection="1">
      <alignment horizontal="center" vertical="center" wrapText="1"/>
      <protection hidden="1"/>
    </xf>
    <xf numFmtId="0" fontId="69" fillId="4" borderId="34" xfId="0" applyFont="1" applyFill="1" applyBorder="1" applyAlignment="1" applyProtection="1">
      <alignment horizontal="justify" vertical="center" wrapText="1"/>
      <protection hidden="1"/>
    </xf>
    <xf numFmtId="0" fontId="69" fillId="4" borderId="35" xfId="0" applyFont="1" applyFill="1" applyBorder="1" applyAlignment="1" applyProtection="1">
      <alignment horizontal="justify" vertical="center" wrapText="1"/>
      <protection hidden="1"/>
    </xf>
    <xf numFmtId="0" fontId="70" fillId="4" borderId="48" xfId="0" applyFont="1" applyFill="1" applyBorder="1" applyAlignment="1" applyProtection="1">
      <alignment horizontal="center" vertical="center" wrapText="1"/>
      <protection hidden="1"/>
    </xf>
    <xf numFmtId="0" fontId="70" fillId="4" borderId="49" xfId="0" applyFont="1" applyFill="1" applyBorder="1" applyAlignment="1" applyProtection="1">
      <alignment horizontal="center" vertical="center" wrapText="1"/>
      <protection hidden="1"/>
    </xf>
    <xf numFmtId="0" fontId="69" fillId="0" borderId="0" xfId="70" applyFont="1" applyAlignment="1" applyProtection="1">
      <alignment horizontal="center" vertical="center" wrapText="1"/>
      <protection hidden="1"/>
    </xf>
    <xf numFmtId="0" fontId="73" fillId="0" borderId="0" xfId="70" applyFont="1" applyAlignment="1" applyProtection="1">
      <alignment horizontal="center" vertical="center" wrapText="1"/>
      <protection hidden="1"/>
    </xf>
    <xf numFmtId="0" fontId="73" fillId="0" borderId="0" xfId="70" applyFont="1" applyAlignment="1" applyProtection="1">
      <alignment horizontal="center" vertical="center"/>
      <protection hidden="1"/>
    </xf>
    <xf numFmtId="0" fontId="69" fillId="4" borderId="46" xfId="70" applyFont="1" applyFill="1" applyBorder="1" applyAlignment="1" applyProtection="1">
      <alignment horizontal="center"/>
      <protection hidden="1"/>
    </xf>
    <xf numFmtId="0" fontId="69" fillId="4" borderId="34" xfId="70" applyFont="1" applyFill="1" applyBorder="1" applyAlignment="1" applyProtection="1">
      <alignment horizontal="center"/>
      <protection hidden="1"/>
    </xf>
    <xf numFmtId="0" fontId="67" fillId="4" borderId="50" xfId="70" applyFont="1" applyFill="1" applyBorder="1" applyAlignment="1" applyProtection="1">
      <alignment horizontal="center" wrapText="1"/>
      <protection hidden="1"/>
    </xf>
    <xf numFmtId="0" fontId="67" fillId="4" borderId="47" xfId="70" applyFont="1" applyFill="1" applyBorder="1" applyAlignment="1" applyProtection="1">
      <alignment horizontal="center" wrapText="1"/>
      <protection hidden="1"/>
    </xf>
    <xf numFmtId="0" fontId="68" fillId="4" borderId="0" xfId="70" applyFont="1" applyFill="1" applyBorder="1" applyAlignment="1" applyProtection="1">
      <alignment horizontal="center"/>
      <protection hidden="1"/>
    </xf>
    <xf numFmtId="0" fontId="68" fillId="4" borderId="35" xfId="70" applyFont="1" applyFill="1" applyBorder="1" applyAlignment="1" applyProtection="1">
      <alignment horizontal="center"/>
      <protection hidden="1"/>
    </xf>
    <xf numFmtId="0" fontId="71" fillId="4" borderId="0" xfId="70" applyFont="1" applyFill="1" applyBorder="1" applyAlignment="1" applyProtection="1">
      <alignment horizontal="center" vertical="center" wrapText="1"/>
      <protection hidden="1"/>
    </xf>
    <xf numFmtId="0" fontId="71" fillId="4" borderId="35" xfId="70" applyFont="1" applyFill="1" applyBorder="1" applyAlignment="1" applyProtection="1">
      <alignment horizontal="center" vertical="center" wrapText="1"/>
      <protection hidden="1"/>
    </xf>
    <xf numFmtId="0" fontId="70" fillId="4" borderId="48" xfId="70" applyFont="1" applyFill="1" applyBorder="1" applyAlignment="1" applyProtection="1">
      <alignment horizontal="center" vertical="center" wrapText="1"/>
      <protection hidden="1"/>
    </xf>
    <xf numFmtId="0" fontId="70" fillId="4" borderId="51" xfId="70" applyFont="1" applyFill="1" applyBorder="1" applyAlignment="1" applyProtection="1">
      <alignment horizontal="center" vertical="center" wrapText="1"/>
      <protection hidden="1"/>
    </xf>
    <xf numFmtId="0" fontId="70" fillId="4" borderId="49" xfId="70" applyFont="1" applyFill="1" applyBorder="1" applyAlignment="1" applyProtection="1">
      <alignment horizontal="center" vertical="center" wrapText="1"/>
      <protection hidden="1"/>
    </xf>
    <xf numFmtId="0" fontId="71" fillId="14" borderId="48" xfId="70" applyFont="1" applyFill="1" applyBorder="1" applyAlignment="1" applyProtection="1">
      <alignment horizontal="center" wrapText="1"/>
      <protection hidden="1"/>
    </xf>
    <xf numFmtId="0" fontId="71" fillId="14" borderId="49" xfId="70" applyFont="1" applyFill="1" applyBorder="1" applyAlignment="1" applyProtection="1">
      <alignment horizontal="center" wrapText="1"/>
      <protection hidden="1"/>
    </xf>
    <xf numFmtId="0" fontId="74" fillId="11" borderId="53" xfId="160" applyFont="1" applyFill="1" applyBorder="1" applyAlignment="1" applyProtection="1">
      <alignment horizontal="center" vertical="center"/>
      <protection hidden="1"/>
    </xf>
    <xf numFmtId="0" fontId="74" fillId="11" borderId="5" xfId="160" applyFont="1" applyFill="1" applyBorder="1" applyAlignment="1" applyProtection="1">
      <alignment horizontal="center" vertical="center"/>
      <protection hidden="1"/>
    </xf>
    <xf numFmtId="0" fontId="74" fillId="11" borderId="4" xfId="160" applyFont="1" applyFill="1" applyBorder="1" applyAlignment="1" applyProtection="1">
      <alignment horizontal="center" vertical="center"/>
      <protection hidden="1"/>
    </xf>
    <xf numFmtId="0" fontId="70" fillId="5" borderId="11" xfId="192" applyNumberFormat="1" applyFont="1" applyFill="1" applyBorder="1" applyAlignment="1" applyProtection="1">
      <alignment horizontal="center" vertical="center" wrapText="1"/>
      <protection hidden="1"/>
    </xf>
    <xf numFmtId="0" fontId="87" fillId="0" borderId="53" xfId="190" applyNumberFormat="1" applyFont="1" applyFill="1" applyBorder="1" applyAlignment="1" applyProtection="1">
      <alignment horizontal="center" vertical="center" wrapText="1"/>
      <protection hidden="1"/>
    </xf>
    <xf numFmtId="0" fontId="87" fillId="0" borderId="4" xfId="190" applyNumberFormat="1" applyFont="1" applyFill="1" applyBorder="1" applyAlignment="1" applyProtection="1">
      <alignment horizontal="center" vertical="center" wrapText="1"/>
      <protection hidden="1"/>
    </xf>
    <xf numFmtId="0" fontId="68" fillId="18" borderId="17" xfId="0" applyFont="1" applyFill="1" applyBorder="1" applyAlignment="1" applyProtection="1">
      <alignment horizontal="center" vertical="center"/>
      <protection hidden="1"/>
    </xf>
    <xf numFmtId="0" fontId="68" fillId="18" borderId="15" xfId="0" applyFont="1" applyFill="1" applyBorder="1" applyAlignment="1" applyProtection="1">
      <alignment horizontal="center" vertical="center"/>
      <protection hidden="1"/>
    </xf>
    <xf numFmtId="4" fontId="68" fillId="20" borderId="53" xfId="191" applyNumberFormat="1" applyFont="1" applyFill="1" applyBorder="1" applyAlignment="1" applyProtection="1">
      <alignment horizontal="center" vertical="center" wrapText="1"/>
      <protection hidden="1"/>
    </xf>
    <xf numFmtId="4" fontId="68" fillId="20" borderId="5" xfId="191" applyNumberFormat="1" applyFont="1" applyFill="1" applyBorder="1" applyAlignment="1" applyProtection="1">
      <alignment horizontal="center" vertical="center" wrapText="1"/>
      <protection hidden="1"/>
    </xf>
    <xf numFmtId="4" fontId="68" fillId="20" borderId="4" xfId="191" applyNumberFormat="1" applyFont="1" applyFill="1" applyBorder="1" applyAlignment="1" applyProtection="1">
      <alignment horizontal="center" vertical="center" wrapText="1"/>
      <protection hidden="1"/>
    </xf>
    <xf numFmtId="0" fontId="87" fillId="0" borderId="46" xfId="190" applyNumberFormat="1" applyFont="1" applyFill="1" applyBorder="1" applyAlignment="1" applyProtection="1">
      <alignment horizontal="center" vertical="center" wrapText="1"/>
      <protection hidden="1"/>
    </xf>
    <xf numFmtId="0" fontId="87" fillId="0" borderId="50" xfId="190" applyNumberFormat="1" applyFont="1" applyFill="1" applyBorder="1" applyAlignment="1" applyProtection="1">
      <alignment horizontal="center" vertical="center" wrapText="1"/>
      <protection hidden="1"/>
    </xf>
    <xf numFmtId="0" fontId="87" fillId="0" borderId="47" xfId="190" applyNumberFormat="1" applyFont="1" applyFill="1" applyBorder="1" applyAlignment="1" applyProtection="1">
      <alignment horizontal="center" vertical="center" wrapText="1"/>
      <protection hidden="1"/>
    </xf>
    <xf numFmtId="0" fontId="87" fillId="0" borderId="48" xfId="190" applyNumberFormat="1" applyFont="1" applyFill="1" applyBorder="1" applyAlignment="1" applyProtection="1">
      <alignment horizontal="center" vertical="center" wrapText="1"/>
      <protection hidden="1"/>
    </xf>
    <xf numFmtId="0" fontId="87" fillId="0" borderId="51" xfId="190" applyNumberFormat="1" applyFont="1" applyFill="1" applyBorder="1" applyAlignment="1" applyProtection="1">
      <alignment horizontal="center" vertical="center" wrapText="1"/>
      <protection hidden="1"/>
    </xf>
    <xf numFmtId="0" fontId="87" fillId="0" borderId="49" xfId="190" applyNumberFormat="1" applyFont="1" applyFill="1" applyBorder="1" applyAlignment="1" applyProtection="1">
      <alignment horizontal="center" vertical="center" wrapText="1"/>
      <protection hidden="1"/>
    </xf>
    <xf numFmtId="0" fontId="86" fillId="2" borderId="53" xfId="0" applyFont="1" applyFill="1" applyBorder="1" applyAlignment="1" applyProtection="1">
      <alignment horizontal="center" vertical="center" textRotation="255" wrapText="1"/>
      <protection hidden="1"/>
    </xf>
    <xf numFmtId="0" fontId="86" fillId="2" borderId="5" xfId="0" applyFont="1" applyFill="1" applyBorder="1" applyAlignment="1" applyProtection="1">
      <alignment horizontal="center" vertical="center" textRotation="255" wrapText="1"/>
      <protection hidden="1"/>
    </xf>
    <xf numFmtId="0" fontId="86" fillId="2" borderId="4" xfId="0" applyFont="1" applyFill="1" applyBorder="1" applyAlignment="1" applyProtection="1">
      <alignment horizontal="center" vertical="center" textRotation="255" wrapText="1"/>
      <protection hidden="1"/>
    </xf>
    <xf numFmtId="0" fontId="71" fillId="2" borderId="53" xfId="191" applyNumberFormat="1" applyFont="1" applyFill="1" applyBorder="1" applyAlignment="1" applyProtection="1">
      <alignment horizontal="center" vertical="center" wrapText="1"/>
      <protection hidden="1"/>
    </xf>
    <xf numFmtId="0" fontId="71" fillId="2" borderId="4" xfId="191" applyNumberFormat="1" applyFont="1" applyFill="1" applyBorder="1" applyAlignment="1" applyProtection="1">
      <alignment horizontal="center" vertical="center" wrapText="1"/>
      <protection hidden="1"/>
    </xf>
    <xf numFmtId="0" fontId="85" fillId="2" borderId="53" xfId="0" applyFont="1" applyFill="1" applyBorder="1" applyAlignment="1" applyProtection="1">
      <alignment horizontal="center" vertical="center" textRotation="255" wrapText="1"/>
      <protection hidden="1"/>
    </xf>
    <xf numFmtId="0" fontId="85" fillId="2" borderId="4" xfId="0" applyFont="1" applyFill="1" applyBorder="1" applyAlignment="1" applyProtection="1">
      <alignment horizontal="center" vertical="center" textRotation="255" wrapText="1"/>
      <protection hidden="1"/>
    </xf>
    <xf numFmtId="9" fontId="71" fillId="2" borderId="17" xfId="191" applyNumberFormat="1" applyFont="1" applyFill="1" applyBorder="1" applyAlignment="1" applyProtection="1">
      <alignment horizontal="center" vertical="center" wrapText="1"/>
      <protection hidden="1"/>
    </xf>
    <xf numFmtId="9" fontId="71" fillId="2" borderId="16" xfId="191" applyNumberFormat="1" applyFont="1" applyFill="1" applyBorder="1" applyAlignment="1" applyProtection="1">
      <alignment horizontal="center" vertical="center" wrapText="1"/>
      <protection hidden="1"/>
    </xf>
    <xf numFmtId="9" fontId="71" fillId="2" borderId="15" xfId="191" applyNumberFormat="1" applyFont="1" applyFill="1" applyBorder="1" applyAlignment="1" applyProtection="1">
      <alignment horizontal="center" vertical="center" wrapText="1"/>
      <protection hidden="1"/>
    </xf>
    <xf numFmtId="0" fontId="71" fillId="2" borderId="17" xfId="191" applyNumberFormat="1" applyFont="1" applyFill="1" applyBorder="1" applyAlignment="1" applyProtection="1">
      <alignment horizontal="center" vertical="center" wrapText="1"/>
      <protection hidden="1"/>
    </xf>
    <xf numFmtId="0" fontId="71" fillId="2" borderId="16" xfId="191" applyNumberFormat="1" applyFont="1" applyFill="1" applyBorder="1" applyAlignment="1" applyProtection="1">
      <alignment horizontal="center" vertical="center" wrapText="1"/>
      <protection hidden="1"/>
    </xf>
    <xf numFmtId="0" fontId="71" fillId="2" borderId="15" xfId="191" applyNumberFormat="1" applyFont="1" applyFill="1" applyBorder="1" applyAlignment="1" applyProtection="1">
      <alignment horizontal="center" vertical="center" wrapText="1"/>
      <protection hidden="1"/>
    </xf>
    <xf numFmtId="0" fontId="81" fillId="4" borderId="17" xfId="191" applyNumberFormat="1" applyFont="1" applyFill="1" applyBorder="1" applyAlignment="1" applyProtection="1">
      <alignment horizontal="center" vertical="center" wrapText="1"/>
      <protection hidden="1"/>
    </xf>
    <xf numFmtId="0" fontId="81" fillId="4" borderId="16" xfId="191" applyNumberFormat="1" applyFont="1" applyFill="1" applyBorder="1" applyAlignment="1" applyProtection="1">
      <alignment horizontal="center" vertical="center" wrapText="1"/>
      <protection hidden="1"/>
    </xf>
    <xf numFmtId="0" fontId="81" fillId="4" borderId="15" xfId="191" applyNumberFormat="1" applyFont="1" applyFill="1" applyBorder="1" applyAlignment="1" applyProtection="1">
      <alignment horizontal="center" vertical="center" wrapText="1"/>
      <protection hidden="1"/>
    </xf>
    <xf numFmtId="0" fontId="82" fillId="5" borderId="17" xfId="191" applyFont="1" applyFill="1" applyBorder="1" applyAlignment="1" applyProtection="1">
      <alignment horizontal="center" vertical="center" wrapText="1"/>
      <protection hidden="1"/>
    </xf>
    <xf numFmtId="0" fontId="82" fillId="5" borderId="16" xfId="191" applyFont="1" applyFill="1" applyBorder="1" applyAlignment="1" applyProtection="1">
      <alignment horizontal="center" vertical="center" wrapText="1"/>
      <protection hidden="1"/>
    </xf>
    <xf numFmtId="0" fontId="82" fillId="5" borderId="15" xfId="191" applyFont="1" applyFill="1" applyBorder="1" applyAlignment="1" applyProtection="1">
      <alignment horizontal="center" vertical="center" wrapText="1"/>
      <protection hidden="1"/>
    </xf>
    <xf numFmtId="0" fontId="77" fillId="0" borderId="0" xfId="191" applyFont="1" applyFill="1" applyAlignment="1" applyProtection="1">
      <alignment horizontal="left" vertical="center" wrapText="1"/>
      <protection hidden="1"/>
    </xf>
    <xf numFmtId="182" fontId="70" fillId="2" borderId="17" xfId="192" applyFont="1" applyFill="1" applyBorder="1" applyAlignment="1" applyProtection="1">
      <alignment horizontal="center" vertical="center" wrapText="1"/>
      <protection hidden="1"/>
    </xf>
    <xf numFmtId="182" fontId="70" fillId="2" borderId="15" xfId="192" applyFont="1" applyFill="1" applyBorder="1" applyAlignment="1" applyProtection="1">
      <alignment horizontal="center" vertical="center" wrapText="1"/>
      <protection hidden="1"/>
    </xf>
    <xf numFmtId="183" fontId="68" fillId="2" borderId="11" xfId="192" applyNumberFormat="1" applyFont="1" applyFill="1" applyBorder="1" applyAlignment="1" applyProtection="1">
      <alignment horizontal="center" vertical="center" wrapText="1"/>
      <protection hidden="1"/>
    </xf>
    <xf numFmtId="182" fontId="68" fillId="2" borderId="11" xfId="192" applyFont="1" applyFill="1" applyBorder="1" applyAlignment="1" applyProtection="1">
      <alignment horizontal="center" vertical="center" wrapText="1"/>
      <protection hidden="1"/>
    </xf>
    <xf numFmtId="171" fontId="68" fillId="5" borderId="17" xfId="192" applyNumberFormat="1" applyFont="1" applyFill="1" applyBorder="1" applyAlignment="1" applyProtection="1">
      <alignment horizontal="center" vertical="center" wrapText="1"/>
      <protection hidden="1"/>
    </xf>
    <xf numFmtId="171" fontId="68" fillId="5" borderId="15" xfId="192" applyNumberFormat="1" applyFont="1" applyFill="1" applyBorder="1" applyAlignment="1" applyProtection="1">
      <alignment horizontal="center" vertical="center" wrapText="1"/>
      <protection hidden="1"/>
    </xf>
    <xf numFmtId="185" fontId="68" fillId="5" borderId="11" xfId="192" applyNumberFormat="1" applyFont="1" applyFill="1" applyBorder="1" applyAlignment="1" applyProtection="1">
      <alignment horizontal="center" vertical="center" wrapText="1"/>
      <protection hidden="1"/>
    </xf>
    <xf numFmtId="0" fontId="84" fillId="2" borderId="17" xfId="0" applyFont="1" applyFill="1" applyBorder="1" applyAlignment="1" applyProtection="1">
      <alignment horizontal="center" vertical="center" wrapText="1"/>
      <protection hidden="1"/>
    </xf>
    <xf numFmtId="0" fontId="84" fillId="2" borderId="16" xfId="0" applyFont="1" applyFill="1" applyBorder="1" applyAlignment="1" applyProtection="1">
      <alignment horizontal="center" vertical="center" wrapText="1"/>
      <protection hidden="1"/>
    </xf>
    <xf numFmtId="0" fontId="84" fillId="2" borderId="15" xfId="0" applyFont="1" applyFill="1" applyBorder="1" applyAlignment="1" applyProtection="1">
      <alignment horizontal="center" vertical="center" wrapText="1"/>
      <protection hidden="1"/>
    </xf>
    <xf numFmtId="0" fontId="84" fillId="5" borderId="17" xfId="0" applyNumberFormat="1" applyFont="1" applyFill="1" applyBorder="1" applyAlignment="1" applyProtection="1">
      <alignment horizontal="center" vertical="center" wrapText="1"/>
      <protection hidden="1"/>
    </xf>
    <xf numFmtId="0" fontId="84" fillId="5" borderId="16" xfId="0" applyNumberFormat="1" applyFont="1" applyFill="1" applyBorder="1" applyAlignment="1" applyProtection="1">
      <alignment horizontal="center" vertical="center" wrapText="1"/>
      <protection hidden="1"/>
    </xf>
    <xf numFmtId="0" fontId="84" fillId="5" borderId="15" xfId="0" applyNumberFormat="1" applyFont="1" applyFill="1" applyBorder="1" applyAlignment="1" applyProtection="1">
      <alignment horizontal="center" vertical="center" wrapText="1"/>
      <protection hidden="1"/>
    </xf>
    <xf numFmtId="0" fontId="84" fillId="14" borderId="17" xfId="0" applyNumberFormat="1" applyFont="1" applyFill="1" applyBorder="1" applyAlignment="1" applyProtection="1">
      <alignment horizontal="center" vertical="center" wrapText="1"/>
      <protection hidden="1"/>
    </xf>
    <xf numFmtId="0" fontId="84" fillId="14" borderId="16" xfId="0" applyNumberFormat="1" applyFont="1" applyFill="1" applyBorder="1" applyAlignment="1" applyProtection="1">
      <alignment horizontal="center" vertical="center" wrapText="1"/>
      <protection hidden="1"/>
    </xf>
    <xf numFmtId="0" fontId="84" fillId="14" borderId="15" xfId="0" applyNumberFormat="1" applyFont="1" applyFill="1" applyBorder="1" applyAlignment="1" applyProtection="1">
      <alignment horizontal="center" vertical="center" wrapText="1"/>
      <protection hidden="1"/>
    </xf>
    <xf numFmtId="182" fontId="70" fillId="0" borderId="34" xfId="192" applyFont="1" applyFill="1" applyBorder="1" applyAlignment="1" applyProtection="1">
      <alignment horizontal="center" vertical="center" wrapText="1"/>
      <protection hidden="1"/>
    </xf>
    <xf numFmtId="182" fontId="70" fillId="0" borderId="35" xfId="192" applyFont="1" applyFill="1" applyBorder="1" applyAlignment="1" applyProtection="1">
      <alignment horizontal="center" vertical="center" wrapText="1"/>
      <protection hidden="1"/>
    </xf>
    <xf numFmtId="0" fontId="88" fillId="4" borderId="11" xfId="191" applyFont="1" applyFill="1" applyBorder="1" applyAlignment="1" applyProtection="1">
      <alignment horizontal="center" vertical="center" wrapText="1"/>
      <protection hidden="1"/>
    </xf>
    <xf numFmtId="0" fontId="70" fillId="0" borderId="11" xfId="191" applyFont="1" applyFill="1" applyBorder="1" applyAlignment="1" applyProtection="1">
      <alignment horizontal="center" vertical="center" wrapText="1"/>
      <protection hidden="1"/>
    </xf>
    <xf numFmtId="0" fontId="70" fillId="2" borderId="11" xfId="191" applyNumberFormat="1" applyFont="1" applyFill="1" applyBorder="1" applyAlignment="1" applyProtection="1">
      <alignment horizontal="center" vertical="center" wrapText="1"/>
      <protection hidden="1"/>
    </xf>
    <xf numFmtId="0" fontId="70" fillId="13" borderId="11" xfId="191" applyNumberFormat="1" applyFont="1" applyFill="1" applyBorder="1" applyAlignment="1" applyProtection="1">
      <alignment horizontal="center" vertical="center" wrapText="1"/>
      <protection hidden="1"/>
    </xf>
    <xf numFmtId="0" fontId="62" fillId="2" borderId="17" xfId="191" applyFont="1" applyFill="1" applyBorder="1" applyAlignment="1" applyProtection="1">
      <alignment horizontal="center" vertical="center" wrapText="1"/>
      <protection hidden="1"/>
    </xf>
    <xf numFmtId="0" fontId="62" fillId="2" borderId="15" xfId="191" applyFont="1" applyFill="1" applyBorder="1" applyAlignment="1" applyProtection="1">
      <alignment horizontal="center" vertical="center" wrapText="1"/>
      <protection hidden="1"/>
    </xf>
    <xf numFmtId="0" fontId="62" fillId="13" borderId="17" xfId="191" applyFont="1" applyFill="1" applyBorder="1" applyAlignment="1" applyProtection="1">
      <alignment horizontal="center" vertical="center" wrapText="1"/>
      <protection hidden="1"/>
    </xf>
    <xf numFmtId="0" fontId="62" fillId="13" borderId="15" xfId="191" applyFont="1" applyFill="1" applyBorder="1" applyAlignment="1" applyProtection="1">
      <alignment horizontal="center" vertical="center" wrapText="1"/>
      <protection hidden="1"/>
    </xf>
    <xf numFmtId="0" fontId="88" fillId="4" borderId="34" xfId="191" applyFont="1" applyFill="1" applyBorder="1" applyAlignment="1" applyProtection="1">
      <alignment horizontal="center" vertical="center" wrapText="1"/>
      <protection hidden="1"/>
    </xf>
    <xf numFmtId="0" fontId="88" fillId="4" borderId="0" xfId="191" applyFont="1" applyFill="1" applyBorder="1" applyAlignment="1" applyProtection="1">
      <alignment horizontal="center" vertical="center" wrapText="1"/>
      <protection hidden="1"/>
    </xf>
    <xf numFmtId="0" fontId="100" fillId="0" borderId="11" xfId="82" applyFont="1" applyBorder="1" applyAlignment="1">
      <alignment horizontal="center" vertical="center"/>
    </xf>
    <xf numFmtId="0" fontId="44" fillId="5" borderId="17" xfId="82" applyFont="1" applyFill="1" applyBorder="1" applyAlignment="1">
      <alignment horizontal="center" vertical="center"/>
    </xf>
    <xf numFmtId="0" fontId="44" fillId="5" borderId="15" xfId="82" applyFont="1" applyFill="1" applyBorder="1" applyAlignment="1">
      <alignment horizontal="center" vertical="center"/>
    </xf>
    <xf numFmtId="0" fontId="95" fillId="0" borderId="50" xfId="82" applyFont="1" applyBorder="1" applyAlignment="1">
      <alignment horizontal="center" vertical="center" wrapText="1"/>
    </xf>
    <xf numFmtId="0" fontId="95" fillId="0" borderId="0" xfId="82" applyFont="1" applyBorder="1" applyAlignment="1">
      <alignment horizontal="center" vertical="center" wrapText="1"/>
    </xf>
    <xf numFmtId="0" fontId="95" fillId="0" borderId="13" xfId="82" applyFont="1" applyBorder="1" applyAlignment="1">
      <alignment horizontal="center" vertical="center" wrapText="1"/>
    </xf>
    <xf numFmtId="0" fontId="44" fillId="0" borderId="17" xfId="82" applyFont="1" applyBorder="1" applyAlignment="1">
      <alignment horizontal="center" vertical="center" wrapText="1"/>
    </xf>
    <xf numFmtId="0" fontId="94" fillId="5" borderId="54" xfId="82" applyFont="1" applyFill="1" applyBorder="1" applyAlignment="1">
      <alignment horizontal="center" vertical="center" wrapText="1"/>
    </xf>
    <xf numFmtId="0" fontId="94" fillId="5" borderId="55" xfId="82" applyFont="1" applyFill="1" applyBorder="1" applyAlignment="1">
      <alignment horizontal="center" vertical="center" wrapText="1"/>
    </xf>
    <xf numFmtId="0" fontId="94" fillId="5" borderId="56" xfId="82" applyFont="1" applyFill="1" applyBorder="1" applyAlignment="1">
      <alignment horizontal="center" vertical="center" wrapText="1"/>
    </xf>
    <xf numFmtId="0" fontId="41" fillId="0" borderId="9" xfId="8" applyFont="1" applyBorder="1" applyAlignment="1">
      <alignment horizontal="center" vertical="center" wrapText="1"/>
    </xf>
    <xf numFmtId="0" fontId="41" fillId="0" borderId="8" xfId="8" applyFont="1" applyBorder="1" applyAlignment="1">
      <alignment horizontal="center" vertical="center" wrapText="1"/>
    </xf>
    <xf numFmtId="0" fontId="41" fillId="0" borderId="7" xfId="8" applyFont="1" applyBorder="1" applyAlignment="1">
      <alignment horizontal="center" vertical="center" wrapText="1"/>
    </xf>
    <xf numFmtId="0" fontId="44" fillId="0" borderId="9" xfId="82" applyFont="1" applyBorder="1" applyAlignment="1">
      <alignment horizontal="center" vertical="center"/>
    </xf>
    <xf numFmtId="0" fontId="44" fillId="0" borderId="8" xfId="82" applyFont="1" applyBorder="1" applyAlignment="1">
      <alignment horizontal="center" vertical="center"/>
    </xf>
    <xf numFmtId="0" fontId="44" fillId="0" borderId="7" xfId="82" applyFont="1" applyBorder="1" applyAlignment="1">
      <alignment horizontal="center" vertical="center"/>
    </xf>
    <xf numFmtId="0" fontId="44" fillId="0" borderId="11" xfId="82" applyFont="1" applyBorder="1" applyAlignment="1">
      <alignment horizontal="center" textRotation="90" wrapText="1"/>
    </xf>
    <xf numFmtId="0" fontId="94" fillId="0" borderId="17" xfId="82" applyFont="1" applyBorder="1" applyAlignment="1">
      <alignment horizontal="center" vertical="center"/>
    </xf>
    <xf numFmtId="0" fontId="94" fillId="0" borderId="16" xfId="82" applyFont="1" applyBorder="1" applyAlignment="1">
      <alignment horizontal="center" vertical="center"/>
    </xf>
    <xf numFmtId="0" fontId="94" fillId="0" borderId="15" xfId="82" applyFont="1" applyBorder="1" applyAlignment="1">
      <alignment horizontal="center" vertical="center"/>
    </xf>
    <xf numFmtId="0" fontId="70" fillId="2" borderId="11" xfId="0" applyFont="1" applyFill="1" applyBorder="1" applyAlignment="1">
      <alignment horizontal="center" vertical="center"/>
    </xf>
    <xf numFmtId="0" fontId="91" fillId="9" borderId="10" xfId="193" applyFont="1" applyFill="1" applyBorder="1" applyAlignment="1" applyProtection="1">
      <alignment horizontal="center" vertical="center" wrapText="1"/>
      <protection hidden="1"/>
    </xf>
    <xf numFmtId="0" fontId="91" fillId="9" borderId="17" xfId="193" applyFont="1" applyFill="1" applyBorder="1" applyAlignment="1" applyProtection="1">
      <alignment horizontal="center" vertical="center" wrapText="1"/>
      <protection hidden="1"/>
    </xf>
    <xf numFmtId="0" fontId="91" fillId="9" borderId="16" xfId="193" applyFont="1" applyFill="1" applyBorder="1" applyAlignment="1" applyProtection="1">
      <alignment horizontal="center" vertical="center" wrapText="1"/>
      <protection hidden="1"/>
    </xf>
    <xf numFmtId="0" fontId="91" fillId="9" borderId="15" xfId="193" applyFont="1" applyFill="1" applyBorder="1" applyAlignment="1" applyProtection="1">
      <alignment horizontal="center" vertical="center" wrapText="1"/>
      <protection hidden="1"/>
    </xf>
    <xf numFmtId="0" fontId="64" fillId="3" borderId="17" xfId="193" applyFont="1" applyFill="1" applyBorder="1" applyAlignment="1" applyProtection="1">
      <alignment horizontal="left" vertical="center" wrapText="1"/>
      <protection hidden="1"/>
    </xf>
    <xf numFmtId="0" fontId="64" fillId="3" borderId="16" xfId="193" applyFont="1" applyFill="1" applyBorder="1" applyAlignment="1" applyProtection="1">
      <alignment horizontal="left" vertical="center" wrapText="1"/>
      <protection hidden="1"/>
    </xf>
    <xf numFmtId="0" fontId="64" fillId="3" borderId="15" xfId="193" applyFont="1" applyFill="1" applyBorder="1" applyAlignment="1" applyProtection="1">
      <alignment horizontal="left" vertical="center" wrapText="1"/>
      <protection hidden="1"/>
    </xf>
    <xf numFmtId="0" fontId="91" fillId="5" borderId="17" xfId="193" applyFont="1" applyFill="1" applyBorder="1" applyAlignment="1" applyProtection="1">
      <alignment horizontal="center" vertical="center" wrapText="1"/>
      <protection hidden="1"/>
    </xf>
    <xf numFmtId="0" fontId="91" fillId="5" borderId="16" xfId="193" applyFont="1" applyFill="1" applyBorder="1" applyAlignment="1" applyProtection="1">
      <alignment horizontal="center" vertical="center" wrapText="1"/>
      <protection hidden="1"/>
    </xf>
    <xf numFmtId="0" fontId="91" fillId="5" borderId="15" xfId="193" applyFont="1" applyFill="1" applyBorder="1" applyAlignment="1" applyProtection="1">
      <alignment horizontal="center" vertical="center" wrapText="1"/>
      <protection hidden="1"/>
    </xf>
    <xf numFmtId="0" fontId="70" fillId="4" borderId="46" xfId="191" applyFont="1" applyFill="1" applyBorder="1" applyAlignment="1" applyProtection="1">
      <alignment horizontal="center" vertical="center" wrapText="1"/>
      <protection hidden="1"/>
    </xf>
    <xf numFmtId="0" fontId="70" fillId="4" borderId="50" xfId="191" applyFont="1" applyFill="1" applyBorder="1" applyAlignment="1" applyProtection="1">
      <alignment horizontal="center" vertical="center" wrapText="1"/>
      <protection hidden="1"/>
    </xf>
    <xf numFmtId="0" fontId="70" fillId="4" borderId="47" xfId="191" applyFont="1" applyFill="1" applyBorder="1" applyAlignment="1" applyProtection="1">
      <alignment horizontal="center" vertical="center" wrapText="1"/>
      <protection hidden="1"/>
    </xf>
    <xf numFmtId="0" fontId="70" fillId="4" borderId="34" xfId="191" applyFont="1" applyFill="1" applyBorder="1" applyAlignment="1" applyProtection="1">
      <alignment horizontal="center" vertical="center" wrapText="1"/>
      <protection hidden="1"/>
    </xf>
    <xf numFmtId="0" fontId="70" fillId="4" borderId="0" xfId="191" applyFont="1" applyFill="1" applyBorder="1" applyAlignment="1" applyProtection="1">
      <alignment horizontal="center" vertical="center" wrapText="1"/>
      <protection hidden="1"/>
    </xf>
    <xf numFmtId="0" fontId="70" fillId="4" borderId="35" xfId="191" applyFont="1" applyFill="1" applyBorder="1" applyAlignment="1" applyProtection="1">
      <alignment horizontal="center" vertical="center" wrapText="1"/>
      <protection hidden="1"/>
    </xf>
    <xf numFmtId="0" fontId="70" fillId="4" borderId="48" xfId="191" applyFont="1" applyFill="1" applyBorder="1" applyAlignment="1" applyProtection="1">
      <alignment horizontal="center" vertical="center" wrapText="1"/>
      <protection hidden="1"/>
    </xf>
    <xf numFmtId="0" fontId="70" fillId="4" borderId="51" xfId="191" applyFont="1" applyFill="1" applyBorder="1" applyAlignment="1" applyProtection="1">
      <alignment horizontal="center" vertical="center" wrapText="1"/>
      <protection hidden="1"/>
    </xf>
    <xf numFmtId="0" fontId="70" fillId="4" borderId="49" xfId="191" applyFont="1" applyFill="1" applyBorder="1" applyAlignment="1" applyProtection="1">
      <alignment horizontal="center" vertical="center" wrapText="1"/>
      <protection hidden="1"/>
    </xf>
    <xf numFmtId="0" fontId="91" fillId="9" borderId="10" xfId="193" applyFont="1" applyFill="1" applyBorder="1" applyAlignment="1" applyProtection="1">
      <alignment horizontal="center" vertical="center"/>
      <protection hidden="1"/>
    </xf>
    <xf numFmtId="0" fontId="91" fillId="9" borderId="10" xfId="193" applyFont="1" applyFill="1" applyBorder="1" applyAlignment="1" applyProtection="1">
      <alignment horizontal="center"/>
      <protection hidden="1"/>
    </xf>
    <xf numFmtId="0" fontId="91" fillId="3" borderId="10" xfId="193" applyFont="1" applyFill="1" applyBorder="1" applyAlignment="1" applyProtection="1">
      <alignment horizontal="left" vertical="center"/>
      <protection hidden="1"/>
    </xf>
    <xf numFmtId="0" fontId="91" fillId="5" borderId="10" xfId="193" applyFont="1" applyFill="1" applyBorder="1" applyAlignment="1" applyProtection="1">
      <alignment horizontal="center" vertical="center" wrapText="1"/>
      <protection hidden="1"/>
    </xf>
    <xf numFmtId="191" fontId="91" fillId="2" borderId="10" xfId="193" applyNumberFormat="1" applyFont="1" applyFill="1" applyBorder="1" applyAlignment="1" applyProtection="1">
      <alignment horizontal="center" vertical="center"/>
      <protection hidden="1"/>
    </xf>
    <xf numFmtId="0" fontId="103" fillId="0" borderId="53" xfId="191" applyNumberFormat="1" applyFont="1" applyFill="1" applyBorder="1" applyAlignment="1" applyProtection="1">
      <alignment horizontal="center" vertical="center" wrapText="1"/>
      <protection hidden="1"/>
    </xf>
    <xf numFmtId="4" fontId="68" fillId="0" borderId="53" xfId="191" applyNumberFormat="1" applyFont="1" applyFill="1" applyBorder="1" applyAlignment="1" applyProtection="1">
      <alignment horizontal="center" vertical="center" wrapText="1"/>
      <protection hidden="1"/>
    </xf>
    <xf numFmtId="0" fontId="103" fillId="16" borderId="53" xfId="191" applyNumberFormat="1" applyFont="1" applyFill="1" applyBorder="1" applyAlignment="1" applyProtection="1">
      <alignment horizontal="center" vertical="center" wrapText="1"/>
      <protection hidden="1"/>
    </xf>
    <xf numFmtId="9" fontId="103" fillId="0" borderId="53" xfId="191" applyNumberFormat="1" applyFont="1" applyFill="1" applyBorder="1" applyAlignment="1" applyProtection="1">
      <alignment horizontal="center" vertical="center" wrapText="1"/>
      <protection hidden="1"/>
    </xf>
    <xf numFmtId="9" fontId="68" fillId="16" borderId="11" xfId="191" applyNumberFormat="1" applyFont="1" applyFill="1" applyBorder="1" applyAlignment="1" applyProtection="1">
      <alignment horizontal="center" vertical="center" wrapText="1"/>
      <protection hidden="1"/>
    </xf>
    <xf numFmtId="0" fontId="68" fillId="0" borderId="11" xfId="192" applyNumberFormat="1" applyFont="1" applyFill="1" applyBorder="1" applyAlignment="1" applyProtection="1">
      <alignment horizontal="center" vertical="center" wrapText="1"/>
      <protection hidden="1"/>
    </xf>
    <xf numFmtId="0" fontId="68" fillId="16" borderId="53" xfId="191" applyFont="1" applyFill="1" applyBorder="1" applyAlignment="1" applyProtection="1">
      <alignment horizontal="center" vertical="center" wrapText="1"/>
      <protection hidden="1"/>
    </xf>
    <xf numFmtId="0" fontId="103" fillId="0" borderId="53" xfId="191" applyFont="1" applyFill="1" applyBorder="1" applyAlignment="1" applyProtection="1">
      <alignment horizontal="center" vertical="center" wrapText="1"/>
      <protection hidden="1"/>
    </xf>
    <xf numFmtId="0" fontId="68" fillId="0" borderId="53" xfId="192" applyNumberFormat="1" applyFont="1" applyFill="1" applyBorder="1" applyAlignment="1" applyProtection="1">
      <alignment horizontal="center" vertical="center" wrapText="1"/>
      <protection hidden="1"/>
    </xf>
    <xf numFmtId="182" fontId="68" fillId="0" borderId="53" xfId="192" applyFont="1" applyFill="1" applyBorder="1" applyAlignment="1" applyProtection="1">
      <alignment horizontal="center" vertical="center" wrapText="1"/>
      <protection hidden="1"/>
    </xf>
    <xf numFmtId="0" fontId="103" fillId="0" borderId="5" xfId="191" applyNumberFormat="1" applyFont="1" applyFill="1" applyBorder="1" applyAlignment="1" applyProtection="1">
      <alignment horizontal="center" vertical="center" wrapText="1"/>
      <protection hidden="1"/>
    </xf>
    <xf numFmtId="4" fontId="68" fillId="0" borderId="5" xfId="191" applyNumberFormat="1" applyFont="1" applyFill="1" applyBorder="1" applyAlignment="1" applyProtection="1">
      <alignment horizontal="center" vertical="center" wrapText="1"/>
      <protection hidden="1"/>
    </xf>
    <xf numFmtId="0" fontId="103" fillId="16" borderId="5" xfId="191" applyNumberFormat="1" applyFont="1" applyFill="1" applyBorder="1" applyAlignment="1" applyProtection="1">
      <alignment horizontal="center" vertical="center" wrapText="1"/>
      <protection hidden="1"/>
    </xf>
    <xf numFmtId="9" fontId="103" fillId="0" borderId="5" xfId="191" applyNumberFormat="1" applyFont="1" applyFill="1" applyBorder="1" applyAlignment="1" applyProtection="1">
      <alignment horizontal="center" vertical="center" wrapText="1"/>
      <protection hidden="1"/>
    </xf>
    <xf numFmtId="0" fontId="68" fillId="16" borderId="5" xfId="191" applyFont="1" applyFill="1" applyBorder="1" applyAlignment="1" applyProtection="1">
      <alignment horizontal="center" vertical="center" wrapText="1"/>
      <protection hidden="1"/>
    </xf>
    <xf numFmtId="0" fontId="103" fillId="0" borderId="5" xfId="191" applyFont="1" applyFill="1" applyBorder="1" applyAlignment="1" applyProtection="1">
      <alignment horizontal="center" vertical="center" wrapText="1"/>
      <protection hidden="1"/>
    </xf>
    <xf numFmtId="0" fontId="68" fillId="0" borderId="5" xfId="192" applyNumberFormat="1" applyFont="1" applyFill="1" applyBorder="1" applyAlignment="1" applyProtection="1">
      <alignment horizontal="center" vertical="center" wrapText="1"/>
      <protection hidden="1"/>
    </xf>
    <xf numFmtId="182" fontId="68" fillId="0" borderId="5" xfId="192" applyFont="1" applyFill="1" applyBorder="1" applyAlignment="1" applyProtection="1">
      <alignment horizontal="center" vertical="center" wrapText="1"/>
      <protection hidden="1"/>
    </xf>
    <xf numFmtId="0" fontId="103" fillId="0" borderId="4" xfId="191" applyNumberFormat="1" applyFont="1" applyFill="1" applyBorder="1" applyAlignment="1" applyProtection="1">
      <alignment horizontal="center" vertical="center" wrapText="1"/>
      <protection hidden="1"/>
    </xf>
    <xf numFmtId="4" fontId="68" fillId="0" borderId="4" xfId="191" applyNumberFormat="1" applyFont="1" applyFill="1" applyBorder="1" applyAlignment="1" applyProtection="1">
      <alignment horizontal="center" vertical="center" wrapText="1"/>
      <protection hidden="1"/>
    </xf>
    <xf numFmtId="0" fontId="103" fillId="16" borderId="4" xfId="191" applyNumberFormat="1" applyFont="1" applyFill="1" applyBorder="1" applyAlignment="1" applyProtection="1">
      <alignment horizontal="center" vertical="center" wrapText="1"/>
      <protection hidden="1"/>
    </xf>
    <xf numFmtId="9" fontId="103" fillId="0" borderId="4" xfId="191" applyNumberFormat="1" applyFont="1" applyFill="1" applyBorder="1" applyAlignment="1" applyProtection="1">
      <alignment horizontal="center" vertical="center" wrapText="1"/>
      <protection hidden="1"/>
    </xf>
    <xf numFmtId="0" fontId="68" fillId="16" borderId="4" xfId="191" applyFont="1" applyFill="1" applyBorder="1" applyAlignment="1" applyProtection="1">
      <alignment horizontal="center" vertical="center" wrapText="1"/>
      <protection hidden="1"/>
    </xf>
    <xf numFmtId="0" fontId="103" fillId="0" borderId="4" xfId="191" applyFont="1" applyFill="1" applyBorder="1" applyAlignment="1" applyProtection="1">
      <alignment horizontal="center" vertical="center" wrapText="1"/>
      <protection hidden="1"/>
    </xf>
    <xf numFmtId="0" fontId="68" fillId="0" borderId="4" xfId="192" applyNumberFormat="1" applyFont="1" applyFill="1" applyBorder="1" applyAlignment="1" applyProtection="1">
      <alignment horizontal="center" vertical="center" wrapText="1"/>
      <protection hidden="1"/>
    </xf>
    <xf numFmtId="0" fontId="103" fillId="4" borderId="53" xfId="191" applyNumberFormat="1" applyFont="1" applyFill="1" applyBorder="1" applyAlignment="1" applyProtection="1">
      <alignment horizontal="center" vertical="center" wrapText="1"/>
      <protection hidden="1"/>
    </xf>
    <xf numFmtId="4" fontId="68" fillId="4" borderId="53" xfId="191" applyNumberFormat="1" applyFont="1" applyFill="1" applyBorder="1" applyAlignment="1" applyProtection="1">
      <alignment horizontal="center" vertical="center" wrapText="1"/>
      <protection hidden="1"/>
    </xf>
    <xf numFmtId="9" fontId="103" fillId="4" borderId="53" xfId="191" applyNumberFormat="1" applyFont="1" applyFill="1" applyBorder="1" applyAlignment="1" applyProtection="1">
      <alignment horizontal="center" vertical="center" wrapText="1"/>
      <protection hidden="1"/>
    </xf>
    <xf numFmtId="0" fontId="103" fillId="4" borderId="5" xfId="191" applyNumberFormat="1" applyFont="1" applyFill="1" applyBorder="1" applyAlignment="1" applyProtection="1">
      <alignment horizontal="center" vertical="center" wrapText="1"/>
      <protection hidden="1"/>
    </xf>
    <xf numFmtId="4" fontId="68" fillId="4" borderId="5" xfId="191" applyNumberFormat="1" applyFont="1" applyFill="1" applyBorder="1" applyAlignment="1" applyProtection="1">
      <alignment horizontal="center" vertical="center" wrapText="1"/>
      <protection hidden="1"/>
    </xf>
    <xf numFmtId="9" fontId="103" fillId="4" borderId="5" xfId="191" applyNumberFormat="1" applyFont="1" applyFill="1" applyBorder="1" applyAlignment="1" applyProtection="1">
      <alignment horizontal="center" vertical="center" wrapText="1"/>
      <protection hidden="1"/>
    </xf>
    <xf numFmtId="0" fontId="103" fillId="4" borderId="4" xfId="191" applyNumberFormat="1" applyFont="1" applyFill="1" applyBorder="1" applyAlignment="1" applyProtection="1">
      <alignment horizontal="center" vertical="center" wrapText="1"/>
      <protection hidden="1"/>
    </xf>
    <xf numFmtId="4" fontId="68" fillId="4" borderId="4" xfId="191" applyNumberFormat="1" applyFont="1" applyFill="1" applyBorder="1" applyAlignment="1" applyProtection="1">
      <alignment horizontal="center" vertical="center" wrapText="1"/>
      <protection hidden="1"/>
    </xf>
    <xf numFmtId="9" fontId="103" fillId="4" borderId="4" xfId="191" applyNumberFormat="1" applyFont="1" applyFill="1" applyBorder="1" applyAlignment="1" applyProtection="1">
      <alignment horizontal="center" vertical="center" wrapText="1"/>
      <protection hidden="1"/>
    </xf>
    <xf numFmtId="0" fontId="103" fillId="17" borderId="53" xfId="191" applyFont="1" applyFill="1" applyBorder="1" applyAlignment="1" applyProtection="1">
      <alignment horizontal="center" vertical="center" wrapText="1"/>
      <protection hidden="1"/>
    </xf>
    <xf numFmtId="0" fontId="68" fillId="17" borderId="53" xfId="192" applyNumberFormat="1" applyFont="1" applyFill="1" applyBorder="1" applyAlignment="1" applyProtection="1">
      <alignment horizontal="center" vertical="center" wrapText="1"/>
      <protection hidden="1"/>
    </xf>
    <xf numFmtId="0" fontId="103" fillId="17" borderId="5" xfId="191" applyFont="1" applyFill="1" applyBorder="1" applyAlignment="1" applyProtection="1">
      <alignment horizontal="center" vertical="center" wrapText="1"/>
      <protection hidden="1"/>
    </xf>
    <xf numFmtId="0" fontId="68" fillId="17" borderId="5" xfId="192" applyNumberFormat="1" applyFont="1" applyFill="1" applyBorder="1" applyAlignment="1" applyProtection="1">
      <alignment horizontal="center" vertical="center" wrapText="1"/>
      <protection hidden="1"/>
    </xf>
    <xf numFmtId="0" fontId="68" fillId="20" borderId="11" xfId="192" applyNumberFormat="1" applyFont="1" applyFill="1" applyBorder="1" applyAlignment="1" applyProtection="1">
      <alignment horizontal="center" vertical="center" wrapText="1"/>
      <protection hidden="1"/>
    </xf>
    <xf numFmtId="0" fontId="103" fillId="17" borderId="4" xfId="191" applyFont="1" applyFill="1" applyBorder="1" applyAlignment="1" applyProtection="1">
      <alignment horizontal="center" vertical="center" wrapText="1"/>
      <protection hidden="1"/>
    </xf>
    <xf numFmtId="0" fontId="68" fillId="17" borderId="4" xfId="192" applyNumberFormat="1" applyFont="1" applyFill="1" applyBorder="1" applyAlignment="1" applyProtection="1">
      <alignment horizontal="center" vertical="center" wrapText="1"/>
      <protection hidden="1"/>
    </xf>
    <xf numFmtId="182" fontId="68" fillId="0" borderId="4" xfId="192" applyFont="1" applyFill="1" applyBorder="1" applyAlignment="1" applyProtection="1">
      <alignment horizontal="center" vertical="center" wrapText="1"/>
      <protection hidden="1"/>
    </xf>
    <xf numFmtId="0" fontId="12" fillId="0" borderId="0" xfId="82" applyAlignment="1" applyProtection="1">
      <alignment horizontal="center" vertical="center" wrapText="1"/>
      <protection hidden="1"/>
    </xf>
    <xf numFmtId="0" fontId="12" fillId="0" borderId="0" xfId="82" applyAlignment="1" applyProtection="1">
      <alignment wrapText="1"/>
      <protection hidden="1"/>
    </xf>
    <xf numFmtId="0" fontId="12" fillId="0" borderId="0" xfId="82" applyAlignment="1" applyProtection="1">
      <alignment horizontal="center" wrapText="1"/>
      <protection hidden="1"/>
    </xf>
    <xf numFmtId="0" fontId="12" fillId="3" borderId="0" xfId="82" applyFill="1" applyAlignment="1" applyProtection="1">
      <alignment wrapText="1"/>
      <protection hidden="1"/>
    </xf>
    <xf numFmtId="0" fontId="3" fillId="0" borderId="11" xfId="82" applyFont="1" applyBorder="1" applyAlignment="1" applyProtection="1">
      <alignment horizontal="center" vertical="center" textRotation="90" wrapText="1"/>
      <protection hidden="1"/>
    </xf>
    <xf numFmtId="0" fontId="12" fillId="0" borderId="11" xfId="82" applyBorder="1" applyAlignment="1" applyProtection="1">
      <alignment horizontal="center" vertical="center" textRotation="90" wrapText="1"/>
      <protection hidden="1"/>
    </xf>
    <xf numFmtId="0" fontId="44" fillId="0" borderId="11" xfId="82" applyFont="1" applyBorder="1" applyAlignment="1" applyProtection="1">
      <alignment horizontal="center" vertical="center" wrapText="1"/>
      <protection hidden="1"/>
    </xf>
    <xf numFmtId="0" fontId="94" fillId="5" borderId="11" xfId="82" applyFont="1" applyFill="1" applyBorder="1" applyAlignment="1" applyProtection="1">
      <alignment horizontal="center" vertical="center" wrapText="1"/>
      <protection hidden="1"/>
    </xf>
    <xf numFmtId="0" fontId="95" fillId="0" borderId="11" xfId="82" applyFont="1" applyBorder="1" applyAlignment="1" applyProtection="1">
      <alignment horizontal="center" vertical="center" wrapText="1"/>
      <protection hidden="1"/>
    </xf>
    <xf numFmtId="0" fontId="95" fillId="0" borderId="17" xfId="82" applyFont="1" applyBorder="1" applyAlignment="1" applyProtection="1">
      <alignment horizontal="center" vertical="center" wrapText="1"/>
      <protection hidden="1"/>
    </xf>
    <xf numFmtId="0" fontId="53" fillId="0" borderId="11" xfId="82" applyFont="1" applyBorder="1" applyAlignment="1" applyProtection="1">
      <alignment horizontal="center" vertical="center" wrapText="1"/>
      <protection hidden="1"/>
    </xf>
    <xf numFmtId="0" fontId="53" fillId="0" borderId="17" xfId="82" applyFont="1" applyBorder="1" applyAlignment="1" applyProtection="1">
      <alignment horizontal="center" vertical="center" wrapText="1"/>
      <protection hidden="1"/>
    </xf>
    <xf numFmtId="0" fontId="12" fillId="0" borderId="11" xfId="82" applyBorder="1" applyAlignment="1" applyProtection="1">
      <alignment horizontal="center" vertical="center" wrapText="1"/>
      <protection hidden="1"/>
    </xf>
    <xf numFmtId="0" fontId="49" fillId="2" borderId="15" xfId="82" applyFont="1" applyFill="1" applyBorder="1" applyAlignment="1" applyProtection="1">
      <alignment horizontal="center" vertical="center" wrapText="1"/>
      <protection hidden="1"/>
    </xf>
    <xf numFmtId="0" fontId="50" fillId="2" borderId="11" xfId="82" applyFont="1" applyFill="1" applyBorder="1" applyAlignment="1" applyProtection="1">
      <alignment horizontal="center" vertical="center" wrapText="1"/>
      <protection hidden="1"/>
    </xf>
    <xf numFmtId="0" fontId="50" fillId="7" borderId="11" xfId="82" applyFont="1" applyFill="1" applyBorder="1" applyAlignment="1" applyProtection="1">
      <alignment horizontal="center" vertical="center" wrapText="1"/>
      <protection hidden="1"/>
    </xf>
    <xf numFmtId="0" fontId="49" fillId="7" borderId="11" xfId="82" applyFont="1" applyFill="1" applyBorder="1" applyAlignment="1" applyProtection="1">
      <alignment horizontal="center" vertical="center" wrapText="1"/>
      <protection hidden="1"/>
    </xf>
    <xf numFmtId="0" fontId="49" fillId="2" borderId="11" xfId="82" applyFont="1" applyFill="1" applyBorder="1" applyAlignment="1" applyProtection="1">
      <alignment horizontal="center" vertical="center" wrapText="1"/>
      <protection hidden="1"/>
    </xf>
    <xf numFmtId="0" fontId="49" fillId="7" borderId="17" xfId="82" applyFont="1" applyFill="1" applyBorder="1" applyAlignment="1" applyProtection="1">
      <alignment horizontal="center" vertical="center" wrapText="1"/>
      <protection hidden="1"/>
    </xf>
    <xf numFmtId="194" fontId="12" fillId="0" borderId="11" xfId="82" applyNumberFormat="1" applyBorder="1" applyAlignment="1" applyProtection="1">
      <alignment wrapText="1"/>
      <protection hidden="1"/>
    </xf>
    <xf numFmtId="185" fontId="12" fillId="0" borderId="11" xfId="82" applyNumberFormat="1" applyBorder="1" applyAlignment="1" applyProtection="1">
      <alignment wrapText="1"/>
      <protection hidden="1"/>
    </xf>
    <xf numFmtId="0" fontId="44" fillId="2" borderId="15" xfId="82" applyFont="1" applyFill="1" applyBorder="1" applyAlignment="1" applyProtection="1">
      <alignment horizontal="center" vertical="center" wrapText="1"/>
      <protection hidden="1"/>
    </xf>
    <xf numFmtId="0" fontId="44" fillId="2" borderId="11" xfId="82" applyFont="1" applyFill="1" applyBorder="1" applyAlignment="1" applyProtection="1">
      <alignment horizontal="center" vertical="center" wrapText="1"/>
      <protection hidden="1"/>
    </xf>
    <xf numFmtId="0" fontId="44" fillId="2" borderId="17" xfId="82" applyFont="1" applyFill="1" applyBorder="1" applyAlignment="1" applyProtection="1">
      <alignment horizontal="center" vertical="center" wrapText="1"/>
      <protection hidden="1"/>
    </xf>
    <xf numFmtId="0" fontId="44" fillId="2" borderId="15" xfId="82" applyFont="1" applyFill="1" applyBorder="1" applyAlignment="1" applyProtection="1">
      <alignment horizontal="center" vertical="center" wrapText="1"/>
      <protection hidden="1"/>
    </xf>
    <xf numFmtId="0" fontId="44" fillId="2" borderId="11" xfId="82" applyFont="1" applyFill="1" applyBorder="1" applyAlignment="1" applyProtection="1">
      <alignment horizontal="center" vertical="center" wrapText="1"/>
      <protection hidden="1"/>
    </xf>
    <xf numFmtId="0" fontId="44" fillId="2" borderId="17" xfId="82" applyFont="1" applyFill="1" applyBorder="1" applyAlignment="1" applyProtection="1">
      <alignment horizontal="center" vertical="center" wrapText="1"/>
      <protection hidden="1"/>
    </xf>
    <xf numFmtId="177" fontId="5" fillId="0" borderId="15" xfId="82" applyNumberFormat="1" applyFont="1" applyBorder="1" applyAlignment="1" applyProtection="1">
      <alignment vertical="center" wrapText="1"/>
      <protection hidden="1"/>
    </xf>
    <xf numFmtId="177" fontId="12" fillId="6" borderId="11" xfId="82" applyNumberFormat="1" applyFill="1" applyBorder="1" applyAlignment="1" applyProtection="1">
      <alignment vertical="center" wrapText="1"/>
      <protection hidden="1"/>
    </xf>
    <xf numFmtId="178" fontId="12" fillId="5" borderId="11" xfId="84" applyNumberFormat="1" applyFont="1" applyFill="1" applyBorder="1" applyAlignment="1" applyProtection="1">
      <alignment vertical="center" wrapText="1"/>
      <protection hidden="1"/>
    </xf>
    <xf numFmtId="2" fontId="12" fillId="6" borderId="11" xfId="82" applyNumberFormat="1" applyFill="1" applyBorder="1" applyAlignment="1" applyProtection="1">
      <alignment horizontal="center" vertical="center" wrapText="1"/>
      <protection hidden="1"/>
    </xf>
    <xf numFmtId="178" fontId="12" fillId="0" borderId="11" xfId="84" applyNumberFormat="1" applyFont="1" applyBorder="1" applyAlignment="1" applyProtection="1">
      <alignment vertical="center" wrapText="1"/>
      <protection hidden="1"/>
    </xf>
    <xf numFmtId="10" fontId="12" fillId="5" borderId="11" xfId="83" applyNumberFormat="1" applyFont="1" applyFill="1" applyBorder="1" applyAlignment="1" applyProtection="1">
      <alignment vertical="center" wrapText="1"/>
      <protection hidden="1"/>
    </xf>
    <xf numFmtId="178" fontId="12" fillId="0" borderId="11" xfId="84" applyNumberFormat="1" applyFont="1" applyFill="1" applyBorder="1" applyAlignment="1" applyProtection="1">
      <alignment vertical="center" wrapText="1"/>
      <protection hidden="1"/>
    </xf>
    <xf numFmtId="178" fontId="43" fillId="5" borderId="11" xfId="84" applyNumberFormat="1" applyFont="1" applyFill="1" applyBorder="1" applyAlignment="1" applyProtection="1">
      <alignment vertical="center" wrapText="1"/>
      <protection hidden="1"/>
    </xf>
    <xf numFmtId="178" fontId="12" fillId="4" borderId="11" xfId="82" applyNumberFormat="1" applyFill="1" applyBorder="1" applyAlignment="1" applyProtection="1">
      <alignment vertical="center" wrapText="1"/>
      <protection hidden="1"/>
    </xf>
    <xf numFmtId="177" fontId="3" fillId="0" borderId="11" xfId="82" applyNumberFormat="1" applyFont="1" applyBorder="1" applyAlignment="1" applyProtection="1">
      <alignment vertical="center" wrapText="1"/>
      <protection hidden="1"/>
    </xf>
    <xf numFmtId="178" fontId="3" fillId="5" borderId="11" xfId="84" applyNumberFormat="1" applyFont="1" applyFill="1" applyBorder="1" applyAlignment="1" applyProtection="1">
      <alignment vertical="center" wrapText="1"/>
      <protection hidden="1"/>
    </xf>
    <xf numFmtId="178" fontId="3" fillId="0" borderId="11" xfId="84" applyNumberFormat="1" applyFont="1" applyBorder="1" applyAlignment="1" applyProtection="1">
      <alignment vertical="center" wrapText="1"/>
      <protection hidden="1"/>
    </xf>
    <xf numFmtId="10" fontId="3" fillId="5" borderId="11" xfId="83" applyNumberFormat="1" applyFont="1" applyFill="1" applyBorder="1" applyAlignment="1" applyProtection="1">
      <alignment vertical="center" wrapText="1"/>
      <protection hidden="1"/>
    </xf>
    <xf numFmtId="178" fontId="3" fillId="0" borderId="11" xfId="84" applyNumberFormat="1" applyFont="1" applyFill="1" applyBorder="1" applyAlignment="1" applyProtection="1">
      <alignment vertical="center" wrapText="1"/>
      <protection hidden="1"/>
    </xf>
    <xf numFmtId="178" fontId="12" fillId="4" borderId="17" xfId="82" applyNumberFormat="1" applyFill="1" applyBorder="1" applyAlignment="1" applyProtection="1">
      <alignment vertical="center" wrapText="1"/>
      <protection hidden="1"/>
    </xf>
    <xf numFmtId="177" fontId="11" fillId="0" borderId="15" xfId="82" applyNumberFormat="1" applyFont="1" applyBorder="1" applyAlignment="1" applyProtection="1">
      <alignment vertical="center" wrapText="1"/>
      <protection hidden="1"/>
    </xf>
    <xf numFmtId="177" fontId="48" fillId="9" borderId="15" xfId="82" applyNumberFormat="1" applyFont="1" applyFill="1" applyBorder="1" applyAlignment="1" applyProtection="1">
      <alignment horizontal="center" vertical="center" wrapText="1"/>
      <protection hidden="1"/>
    </xf>
    <xf numFmtId="177" fontId="48" fillId="9" borderId="11" xfId="82" applyNumberFormat="1" applyFont="1" applyFill="1" applyBorder="1" applyAlignment="1" applyProtection="1">
      <alignment horizontal="center" vertical="center" wrapText="1"/>
      <protection hidden="1"/>
    </xf>
    <xf numFmtId="177" fontId="48" fillId="9" borderId="17" xfId="82" applyNumberFormat="1" applyFont="1" applyFill="1" applyBorder="1" applyAlignment="1" applyProtection="1">
      <alignment horizontal="center" vertical="center" wrapText="1"/>
      <protection hidden="1"/>
    </xf>
    <xf numFmtId="177" fontId="7" fillId="0" borderId="15" xfId="82" applyNumberFormat="1" applyFont="1" applyBorder="1" applyAlignment="1" applyProtection="1">
      <alignment horizontal="left" vertical="center" wrapText="1"/>
      <protection hidden="1"/>
    </xf>
    <xf numFmtId="177" fontId="11" fillId="0" borderId="11" xfId="82" applyNumberFormat="1" applyFont="1" applyBorder="1" applyAlignment="1" applyProtection="1">
      <alignment horizontal="left" vertical="center" wrapText="1"/>
      <protection hidden="1"/>
    </xf>
    <xf numFmtId="177" fontId="12" fillId="5" borderId="11" xfId="82" applyNumberFormat="1" applyFill="1" applyBorder="1" applyAlignment="1" applyProtection="1">
      <alignment vertical="center" wrapText="1"/>
      <protection hidden="1"/>
    </xf>
    <xf numFmtId="177" fontId="3" fillId="0" borderId="11" xfId="82" applyNumberFormat="1" applyFont="1" applyBorder="1" applyAlignment="1" applyProtection="1">
      <alignment horizontal="left" vertical="center" wrapText="1"/>
      <protection hidden="1"/>
    </xf>
    <xf numFmtId="177" fontId="12" fillId="5" borderId="17" xfId="82" applyNumberFormat="1" applyFill="1" applyBorder="1" applyAlignment="1" applyProtection="1">
      <alignment vertical="center" wrapText="1"/>
      <protection hidden="1"/>
    </xf>
    <xf numFmtId="177" fontId="5" fillId="0" borderId="15" xfId="82" applyNumberFormat="1" applyFont="1" applyBorder="1" applyAlignment="1" applyProtection="1">
      <alignment horizontal="left" vertical="center" wrapText="1"/>
      <protection hidden="1"/>
    </xf>
    <xf numFmtId="177" fontId="44" fillId="2" borderId="15" xfId="82" applyNumberFormat="1" applyFont="1" applyFill="1" applyBorder="1" applyAlignment="1" applyProtection="1">
      <alignment horizontal="right" vertical="center" wrapText="1"/>
      <protection hidden="1"/>
    </xf>
    <xf numFmtId="177" fontId="44" fillId="2" borderId="11" xfId="82" applyNumberFormat="1" applyFont="1" applyFill="1" applyBorder="1" applyAlignment="1" applyProtection="1">
      <alignment horizontal="right" vertical="center" wrapText="1"/>
      <protection hidden="1"/>
    </xf>
    <xf numFmtId="177" fontId="44" fillId="2" borderId="11" xfId="82" applyNumberFormat="1" applyFont="1" applyFill="1" applyBorder="1" applyAlignment="1" applyProtection="1">
      <alignment horizontal="center" vertical="center" wrapText="1"/>
      <protection hidden="1"/>
    </xf>
    <xf numFmtId="177" fontId="44" fillId="2" borderId="17" xfId="82" applyNumberFormat="1" applyFont="1" applyFill="1" applyBorder="1" applyAlignment="1" applyProtection="1">
      <alignment horizontal="center" vertical="center" wrapText="1"/>
      <protection hidden="1"/>
    </xf>
    <xf numFmtId="177" fontId="44" fillId="8" borderId="15" xfId="82" applyNumberFormat="1" applyFont="1" applyFill="1" applyBorder="1" applyAlignment="1" applyProtection="1">
      <alignment horizontal="center" vertical="center" wrapText="1"/>
      <protection hidden="1"/>
    </xf>
    <xf numFmtId="177" fontId="44" fillId="8" borderId="11" xfId="82" applyNumberFormat="1" applyFont="1" applyFill="1" applyBorder="1" applyAlignment="1" applyProtection="1">
      <alignment horizontal="center" vertical="center" wrapText="1"/>
      <protection hidden="1"/>
    </xf>
    <xf numFmtId="177" fontId="44" fillId="8" borderId="17" xfId="82" applyNumberFormat="1" applyFont="1" applyFill="1" applyBorder="1" applyAlignment="1" applyProtection="1">
      <alignment horizontal="center" vertical="center" wrapText="1"/>
      <protection hidden="1"/>
    </xf>
    <xf numFmtId="177" fontId="44" fillId="2" borderId="15" xfId="82" applyNumberFormat="1" applyFont="1" applyFill="1" applyBorder="1" applyAlignment="1" applyProtection="1">
      <alignment horizontal="center" vertical="center" wrapText="1"/>
      <protection hidden="1"/>
    </xf>
    <xf numFmtId="177" fontId="44" fillId="2" borderId="11" xfId="82" applyNumberFormat="1" applyFont="1" applyFill="1" applyBorder="1" applyAlignment="1" applyProtection="1">
      <alignment horizontal="center" vertical="center" wrapText="1"/>
      <protection hidden="1"/>
    </xf>
    <xf numFmtId="177" fontId="44" fillId="2" borderId="17" xfId="82" applyNumberFormat="1" applyFont="1" applyFill="1" applyBorder="1" applyAlignment="1" applyProtection="1">
      <alignment horizontal="center" vertical="center" wrapText="1"/>
      <protection hidden="1"/>
    </xf>
    <xf numFmtId="0" fontId="51" fillId="7" borderId="11" xfId="82" applyFont="1" applyFill="1" applyBorder="1" applyAlignment="1" applyProtection="1">
      <alignment horizontal="center" vertical="center" wrapText="1"/>
      <protection hidden="1"/>
    </xf>
    <xf numFmtId="177" fontId="44" fillId="2" borderId="15" xfId="82" applyNumberFormat="1" applyFont="1" applyFill="1" applyBorder="1" applyAlignment="1" applyProtection="1">
      <alignment horizontal="center" vertical="center" wrapText="1"/>
      <protection hidden="1"/>
    </xf>
    <xf numFmtId="2" fontId="12" fillId="0" borderId="11" xfId="82" applyNumberFormat="1" applyFill="1" applyBorder="1" applyAlignment="1" applyProtection="1">
      <alignment horizontal="center" vertical="center" wrapText="1"/>
      <protection hidden="1"/>
    </xf>
    <xf numFmtId="10" fontId="12" fillId="5" borderId="11" xfId="83" applyNumberFormat="1" applyFont="1" applyFill="1" applyBorder="1" applyAlignment="1" applyProtection="1">
      <alignment horizontal="center" vertical="center" wrapText="1"/>
      <protection hidden="1"/>
    </xf>
    <xf numFmtId="0" fontId="48" fillId="11" borderId="11" xfId="82" applyNumberFormat="1" applyFont="1" applyFill="1" applyBorder="1" applyAlignment="1" applyProtection="1">
      <alignment horizontal="center" vertical="center" wrapText="1"/>
      <protection hidden="1"/>
    </xf>
    <xf numFmtId="174" fontId="12" fillId="0" borderId="0" xfId="82" applyNumberFormat="1" applyAlignment="1" applyProtection="1">
      <alignment wrapText="1"/>
      <protection hidden="1"/>
    </xf>
    <xf numFmtId="10" fontId="3" fillId="5" borderId="11" xfId="83" applyNumberFormat="1" applyFont="1" applyFill="1" applyBorder="1" applyAlignment="1" applyProtection="1">
      <alignment horizontal="center" vertical="center" wrapText="1"/>
      <protection hidden="1"/>
    </xf>
    <xf numFmtId="177" fontId="12" fillId="0" borderId="15" xfId="82" applyNumberFormat="1" applyBorder="1" applyAlignment="1" applyProtection="1">
      <alignment vertical="center" wrapText="1"/>
      <protection hidden="1"/>
    </xf>
    <xf numFmtId="177" fontId="12" fillId="0" borderId="11" xfId="82" applyNumberFormat="1" applyBorder="1" applyAlignment="1" applyProtection="1">
      <alignment vertical="center" wrapText="1"/>
      <protection hidden="1"/>
    </xf>
    <xf numFmtId="0" fontId="12" fillId="0" borderId="0" xfId="82" applyAlignment="1" applyProtection="1">
      <alignment vertical="center" wrapText="1"/>
      <protection hidden="1"/>
    </xf>
    <xf numFmtId="178" fontId="12" fillId="12" borderId="11" xfId="84" applyNumberFormat="1" applyFont="1" applyFill="1" applyBorder="1" applyAlignment="1" applyProtection="1">
      <alignment vertical="center" wrapText="1"/>
      <protection hidden="1"/>
    </xf>
    <xf numFmtId="178" fontId="3" fillId="12" borderId="11" xfId="84" applyNumberFormat="1" applyFont="1" applyFill="1" applyBorder="1" applyAlignment="1" applyProtection="1">
      <alignment vertical="center" wrapText="1"/>
      <protection hidden="1"/>
    </xf>
    <xf numFmtId="179" fontId="12" fillId="0" borderId="0" xfId="82" applyNumberFormat="1" applyAlignment="1" applyProtection="1">
      <alignment vertical="center" wrapText="1"/>
      <protection hidden="1"/>
    </xf>
    <xf numFmtId="177" fontId="44" fillId="3" borderId="15" xfId="82" applyNumberFormat="1" applyFont="1" applyFill="1" applyBorder="1" applyAlignment="1" applyProtection="1">
      <alignment horizontal="right" vertical="center" wrapText="1"/>
      <protection hidden="1"/>
    </xf>
    <xf numFmtId="177" fontId="44" fillId="3" borderId="11" xfId="82" applyNumberFormat="1" applyFont="1" applyFill="1" applyBorder="1" applyAlignment="1" applyProtection="1">
      <alignment horizontal="right" vertical="center" wrapText="1"/>
      <protection hidden="1"/>
    </xf>
    <xf numFmtId="176" fontId="48" fillId="4" borderId="11" xfId="82" applyNumberFormat="1" applyFont="1" applyFill="1" applyBorder="1" applyAlignment="1" applyProtection="1">
      <alignment vertical="center" wrapText="1"/>
      <protection hidden="1"/>
    </xf>
    <xf numFmtId="176" fontId="48" fillId="4" borderId="17" xfId="82" applyNumberFormat="1" applyFont="1" applyFill="1" applyBorder="1" applyAlignment="1" applyProtection="1">
      <alignment vertical="center" wrapText="1"/>
      <protection hidden="1"/>
    </xf>
    <xf numFmtId="176" fontId="48" fillId="11" borderId="11" xfId="82" applyNumberFormat="1" applyFont="1" applyFill="1" applyBorder="1" applyAlignment="1" applyProtection="1">
      <alignment vertical="center" wrapText="1"/>
      <protection hidden="1"/>
    </xf>
    <xf numFmtId="176" fontId="12" fillId="0" borderId="0" xfId="82" applyNumberFormat="1" applyAlignment="1" applyProtection="1">
      <alignment vertical="center" wrapText="1"/>
      <protection hidden="1"/>
    </xf>
    <xf numFmtId="176" fontId="48" fillId="11" borderId="17" xfId="82" applyNumberFormat="1" applyFont="1" applyFill="1" applyBorder="1" applyAlignment="1" applyProtection="1">
      <alignment vertical="center" wrapText="1"/>
      <protection hidden="1"/>
    </xf>
    <xf numFmtId="0" fontId="44" fillId="0" borderId="15" xfId="82" applyFont="1" applyBorder="1" applyAlignment="1" applyProtection="1">
      <alignment horizontal="right" vertical="center" wrapText="1"/>
      <protection hidden="1"/>
    </xf>
    <xf numFmtId="0" fontId="44" fillId="0" borderId="11" xfId="82" applyFont="1" applyBorder="1" applyAlignment="1" applyProtection="1">
      <alignment horizontal="right" vertical="center" wrapText="1"/>
      <protection hidden="1"/>
    </xf>
    <xf numFmtId="0" fontId="44" fillId="0" borderId="0" xfId="82" applyFont="1" applyBorder="1" applyAlignment="1" applyProtection="1">
      <alignment vertical="center" wrapText="1"/>
      <protection hidden="1"/>
    </xf>
    <xf numFmtId="0" fontId="44" fillId="0" borderId="35" xfId="82" applyFont="1" applyBorder="1" applyAlignment="1" applyProtection="1">
      <alignment vertical="center" wrapText="1"/>
      <protection hidden="1"/>
    </xf>
    <xf numFmtId="0" fontId="44" fillId="0" borderId="34" xfId="82" applyFont="1" applyBorder="1" applyAlignment="1" applyProtection="1">
      <alignment vertical="center" wrapText="1"/>
      <protection hidden="1"/>
    </xf>
    <xf numFmtId="0" fontId="44" fillId="3" borderId="13" xfId="82" applyFont="1" applyFill="1" applyBorder="1" applyAlignment="1" applyProtection="1">
      <alignment horizontal="center" vertical="center" wrapText="1"/>
      <protection hidden="1"/>
    </xf>
    <xf numFmtId="0" fontId="44" fillId="3" borderId="19" xfId="82" applyFont="1" applyFill="1" applyBorder="1" applyAlignment="1" applyProtection="1">
      <alignment horizontal="center" vertical="center" wrapText="1"/>
      <protection hidden="1"/>
    </xf>
    <xf numFmtId="0" fontId="44" fillId="3" borderId="25" xfId="82" applyFont="1" applyFill="1" applyBorder="1" applyAlignment="1" applyProtection="1">
      <alignment horizontal="center" vertical="center" wrapText="1"/>
      <protection hidden="1"/>
    </xf>
    <xf numFmtId="0" fontId="44" fillId="0" borderId="8" xfId="82" applyFont="1" applyBorder="1" applyAlignment="1" applyProtection="1">
      <alignment horizontal="left" vertical="center" wrapText="1"/>
      <protection hidden="1"/>
    </xf>
    <xf numFmtId="0" fontId="44" fillId="3" borderId="7" xfId="82" applyFont="1" applyFill="1" applyBorder="1" applyAlignment="1" applyProtection="1">
      <alignment vertical="center" wrapText="1"/>
      <protection hidden="1"/>
    </xf>
    <xf numFmtId="176" fontId="48" fillId="4" borderId="27" xfId="82" applyNumberFormat="1" applyFont="1" applyFill="1" applyBorder="1" applyAlignment="1" applyProtection="1">
      <alignment vertical="center" wrapText="1"/>
      <protection hidden="1"/>
    </xf>
    <xf numFmtId="0" fontId="44" fillId="0" borderId="9" xfId="82" applyFont="1" applyBorder="1" applyAlignment="1" applyProtection="1">
      <alignment horizontal="left" vertical="center" wrapText="1"/>
      <protection hidden="1"/>
    </xf>
    <xf numFmtId="176" fontId="48" fillId="4" borderId="46" xfId="82" applyNumberFormat="1" applyFont="1" applyFill="1" applyBorder="1" applyAlignment="1" applyProtection="1">
      <alignment vertical="center" wrapText="1"/>
      <protection hidden="1"/>
    </xf>
    <xf numFmtId="0" fontId="44" fillId="0" borderId="18" xfId="82" applyFont="1" applyBorder="1" applyAlignment="1" applyProtection="1">
      <alignment horizontal="left" vertical="center" wrapText="1"/>
      <protection hidden="1"/>
    </xf>
    <xf numFmtId="10" fontId="44" fillId="3" borderId="11" xfId="83" applyNumberFormat="1" applyFont="1" applyFill="1" applyBorder="1" applyAlignment="1" applyProtection="1">
      <alignment horizontal="center" vertical="center" wrapText="1"/>
      <protection hidden="1"/>
    </xf>
    <xf numFmtId="0" fontId="44" fillId="0" borderId="21" xfId="82" applyFont="1" applyBorder="1" applyAlignment="1" applyProtection="1">
      <alignment horizontal="left" vertical="center" wrapText="1"/>
      <protection hidden="1"/>
    </xf>
    <xf numFmtId="2" fontId="44" fillId="3" borderId="11" xfId="82" applyNumberFormat="1" applyFont="1" applyFill="1" applyBorder="1" applyAlignment="1" applyProtection="1">
      <alignment horizontal="center" vertical="center" wrapText="1"/>
      <protection hidden="1"/>
    </xf>
    <xf numFmtId="0" fontId="44" fillId="0" borderId="33" xfId="82" applyFont="1" applyBorder="1" applyAlignment="1" applyProtection="1">
      <alignment horizontal="left" vertical="center" wrapText="1"/>
      <protection hidden="1"/>
    </xf>
    <xf numFmtId="2" fontId="44" fillId="3" borderId="4" xfId="82" applyNumberFormat="1" applyFont="1" applyFill="1" applyBorder="1" applyAlignment="1" applyProtection="1">
      <alignment horizontal="center" vertical="center" wrapText="1"/>
      <protection hidden="1"/>
    </xf>
    <xf numFmtId="0" fontId="44" fillId="0" borderId="32" xfId="82" applyFont="1" applyBorder="1" applyAlignment="1" applyProtection="1">
      <alignment horizontal="left" vertical="center" wrapText="1"/>
      <protection hidden="1"/>
    </xf>
    <xf numFmtId="10" fontId="44" fillId="5" borderId="4" xfId="83" applyNumberFormat="1" applyFont="1" applyFill="1" applyBorder="1" applyAlignment="1" applyProtection="1">
      <alignment horizontal="center" vertical="center" wrapText="1"/>
      <protection hidden="1"/>
    </xf>
    <xf numFmtId="0" fontId="44" fillId="0" borderId="23" xfId="82" applyFont="1" applyBorder="1" applyAlignment="1" applyProtection="1">
      <alignment horizontal="left" vertical="center" wrapText="1"/>
      <protection hidden="1"/>
    </xf>
    <xf numFmtId="0" fontId="44" fillId="0" borderId="22" xfId="82" applyFont="1" applyBorder="1" applyAlignment="1" applyProtection="1">
      <alignment horizontal="left" vertical="center" wrapText="1"/>
      <protection hidden="1"/>
    </xf>
    <xf numFmtId="0" fontId="44" fillId="0" borderId="24" xfId="82" applyFont="1" applyBorder="1" applyAlignment="1" applyProtection="1">
      <alignment horizontal="left" vertical="center" wrapText="1"/>
      <protection hidden="1"/>
    </xf>
    <xf numFmtId="0" fontId="44" fillId="0" borderId="18" xfId="82" applyFont="1" applyBorder="1" applyAlignment="1" applyProtection="1">
      <alignment horizontal="left" vertical="center" wrapText="1"/>
      <protection hidden="1"/>
    </xf>
    <xf numFmtId="0" fontId="44" fillId="0" borderId="18" xfId="82" applyFont="1" applyBorder="1" applyAlignment="1" applyProtection="1">
      <alignment horizontal="center" vertical="center" wrapText="1"/>
      <protection hidden="1"/>
    </xf>
    <xf numFmtId="0" fontId="44" fillId="0" borderId="21" xfId="82" applyFont="1" applyBorder="1" applyAlignment="1" applyProtection="1">
      <alignment horizontal="left" vertical="center" wrapText="1"/>
      <protection hidden="1"/>
    </xf>
    <xf numFmtId="9" fontId="44" fillId="3" borderId="11" xfId="82" applyNumberFormat="1" applyFont="1" applyFill="1" applyBorder="1" applyAlignment="1" applyProtection="1">
      <alignment horizontal="center" vertical="center" wrapText="1"/>
      <protection hidden="1"/>
    </xf>
    <xf numFmtId="0" fontId="44" fillId="0" borderId="13" xfId="82" applyFont="1" applyBorder="1" applyAlignment="1" applyProtection="1">
      <alignment horizontal="center" vertical="center" wrapText="1"/>
      <protection hidden="1"/>
    </xf>
    <xf numFmtId="0" fontId="44" fillId="0" borderId="19" xfId="82" applyFont="1" applyBorder="1" applyAlignment="1" applyProtection="1">
      <alignment horizontal="center" vertical="center" wrapText="1"/>
      <protection hidden="1"/>
    </xf>
    <xf numFmtId="41" fontId="12" fillId="0" borderId="0" xfId="76" applyFont="1" applyFill="1" applyAlignment="1" applyProtection="1">
      <alignment vertical="center" wrapText="1"/>
      <protection hidden="1"/>
    </xf>
    <xf numFmtId="41" fontId="12" fillId="0" borderId="0" xfId="82" applyNumberFormat="1" applyFill="1" applyAlignment="1" applyProtection="1">
      <alignment vertical="center" wrapText="1"/>
      <protection hidden="1"/>
    </xf>
    <xf numFmtId="0" fontId="44" fillId="0" borderId="14" xfId="82" applyFont="1" applyBorder="1" applyAlignment="1" applyProtection="1">
      <alignment horizontal="center" vertical="center" wrapText="1"/>
      <protection hidden="1"/>
    </xf>
    <xf numFmtId="194" fontId="12" fillId="5" borderId="11" xfId="82" applyNumberFormat="1" applyFill="1" applyBorder="1" applyAlignment="1" applyProtection="1">
      <alignment wrapText="1"/>
      <protection hidden="1"/>
    </xf>
    <xf numFmtId="0" fontId="47" fillId="0" borderId="36" xfId="82" applyFont="1" applyBorder="1" applyAlignment="1" applyProtection="1">
      <alignment horizontal="justify" wrapText="1"/>
      <protection hidden="1"/>
    </xf>
    <xf numFmtId="0" fontId="45" fillId="0" borderId="18" xfId="82" applyFont="1" applyBorder="1" applyAlignment="1" applyProtection="1">
      <alignment horizontal="left" vertical="center" wrapText="1"/>
      <protection hidden="1"/>
    </xf>
    <xf numFmtId="0" fontId="45" fillId="0" borderId="37" xfId="82" applyFont="1" applyBorder="1" applyAlignment="1" applyProtection="1">
      <alignment horizontal="left" vertical="center" wrapText="1"/>
      <protection hidden="1"/>
    </xf>
    <xf numFmtId="0" fontId="45" fillId="0" borderId="21" xfId="82" applyFont="1" applyBorder="1" applyAlignment="1" applyProtection="1">
      <alignment horizontal="left" vertical="center" wrapText="1"/>
      <protection hidden="1"/>
    </xf>
    <xf numFmtId="0" fontId="64" fillId="0" borderId="16" xfId="82" applyFont="1" applyBorder="1" applyAlignment="1" applyProtection="1">
      <alignment horizontal="left" vertical="center" wrapText="1"/>
      <protection hidden="1"/>
    </xf>
    <xf numFmtId="0" fontId="64" fillId="0" borderId="39" xfId="82" applyFont="1" applyBorder="1" applyAlignment="1" applyProtection="1">
      <alignment horizontal="left" vertical="center" wrapText="1"/>
      <protection hidden="1"/>
    </xf>
    <xf numFmtId="0" fontId="64" fillId="0" borderId="38" xfId="82" applyFont="1" applyBorder="1" applyAlignment="1" applyProtection="1">
      <alignment horizontal="left" vertical="center" wrapText="1"/>
      <protection hidden="1"/>
    </xf>
    <xf numFmtId="49" fontId="64" fillId="0" borderId="16" xfId="82" applyNumberFormat="1" applyFont="1" applyFill="1" applyBorder="1" applyAlignment="1" applyProtection="1">
      <alignment horizontal="left" vertical="center" wrapText="1"/>
      <protection hidden="1"/>
    </xf>
    <xf numFmtId="49" fontId="64" fillId="0" borderId="39" xfId="82" applyNumberFormat="1" applyFont="1" applyFill="1" applyBorder="1" applyAlignment="1" applyProtection="1">
      <alignment horizontal="left" vertical="center" wrapText="1"/>
      <protection hidden="1"/>
    </xf>
    <xf numFmtId="49" fontId="64" fillId="0" borderId="38" xfId="82" applyNumberFormat="1" applyFont="1" applyFill="1" applyBorder="1" applyAlignment="1" applyProtection="1">
      <alignment horizontal="left" vertical="center" wrapText="1"/>
      <protection hidden="1"/>
    </xf>
    <xf numFmtId="49" fontId="64" fillId="0" borderId="15" xfId="82" applyNumberFormat="1" applyFont="1" applyFill="1" applyBorder="1" applyAlignment="1" applyProtection="1">
      <alignment horizontal="left" vertical="center" wrapText="1"/>
      <protection hidden="1"/>
    </xf>
    <xf numFmtId="0" fontId="45" fillId="0" borderId="16" xfId="82" applyFont="1" applyBorder="1" applyAlignment="1" applyProtection="1">
      <alignment horizontal="left" vertical="center" wrapText="1"/>
      <protection hidden="1"/>
    </xf>
    <xf numFmtId="0" fontId="45" fillId="0" borderId="39" xfId="82" applyFont="1" applyBorder="1" applyAlignment="1" applyProtection="1">
      <alignment horizontal="left" vertical="center" wrapText="1"/>
      <protection hidden="1"/>
    </xf>
    <xf numFmtId="0" fontId="45" fillId="0" borderId="38" xfId="82" applyFont="1" applyBorder="1" applyAlignment="1" applyProtection="1">
      <alignment horizontal="left" vertical="center" wrapText="1"/>
      <protection hidden="1"/>
    </xf>
    <xf numFmtId="0" fontId="45" fillId="0" borderId="23" xfId="82" applyFont="1" applyBorder="1" applyAlignment="1" applyProtection="1">
      <alignment horizontal="left" vertical="center" wrapText="1"/>
      <protection hidden="1"/>
    </xf>
    <xf numFmtId="0" fontId="45" fillId="0" borderId="40" xfId="82" applyFont="1" applyBorder="1" applyAlignment="1" applyProtection="1">
      <alignment horizontal="left" vertical="center" wrapText="1"/>
      <protection hidden="1"/>
    </xf>
    <xf numFmtId="0" fontId="45" fillId="0" borderId="24" xfId="82" applyFont="1" applyBorder="1" applyAlignment="1" applyProtection="1">
      <alignment horizontal="left" vertical="center" wrapText="1"/>
      <protection hidden="1"/>
    </xf>
    <xf numFmtId="0" fontId="12" fillId="0" borderId="0" xfId="82" applyBorder="1" applyAlignment="1" applyProtection="1">
      <protection hidden="1"/>
    </xf>
    <xf numFmtId="0" fontId="12" fillId="0" borderId="0" xfId="82" applyBorder="1" applyAlignment="1" applyProtection="1">
      <alignment horizontal="center"/>
      <protection hidden="1"/>
    </xf>
    <xf numFmtId="0" fontId="12" fillId="3" borderId="0" xfId="82" applyFill="1" applyBorder="1" applyAlignment="1" applyProtection="1">
      <protection hidden="1"/>
    </xf>
    <xf numFmtId="194" fontId="3" fillId="0" borderId="11" xfId="82" applyNumberFormat="1" applyFont="1" applyBorder="1" applyAlignment="1" applyProtection="1">
      <alignment horizontal="center" vertical="center" wrapText="1"/>
      <protection hidden="1"/>
    </xf>
    <xf numFmtId="185" fontId="12" fillId="5" borderId="11" xfId="82" applyNumberFormat="1" applyFill="1" applyBorder="1" applyAlignment="1" applyProtection="1">
      <alignment horizontal="center" vertical="center" wrapText="1"/>
      <protection hidden="1"/>
    </xf>
    <xf numFmtId="0" fontId="12" fillId="0" borderId="0" xfId="82" applyBorder="1" applyAlignment="1" applyProtection="1">
      <alignment wrapText="1"/>
      <protection hidden="1"/>
    </xf>
    <xf numFmtId="0" fontId="12" fillId="0" borderId="0" xfId="82" applyBorder="1" applyAlignment="1" applyProtection="1">
      <alignment horizontal="center" wrapText="1"/>
      <protection hidden="1"/>
    </xf>
    <xf numFmtId="0" fontId="12" fillId="3" borderId="0" xfId="82" applyFill="1" applyBorder="1" applyAlignment="1" applyProtection="1">
      <alignment wrapText="1"/>
      <protection hidden="1"/>
    </xf>
    <xf numFmtId="0" fontId="102" fillId="0" borderId="11" xfId="82" applyFont="1" applyBorder="1" applyAlignment="1" applyProtection="1">
      <alignment horizontal="center" vertical="center" wrapText="1"/>
      <protection hidden="1"/>
    </xf>
    <xf numFmtId="10" fontId="102" fillId="0" borderId="11" xfId="82" applyNumberFormat="1" applyFont="1" applyBorder="1" applyAlignment="1" applyProtection="1">
      <alignment horizontal="center" vertical="center" wrapText="1"/>
      <protection hidden="1"/>
    </xf>
    <xf numFmtId="0" fontId="3" fillId="0" borderId="11" xfId="82" applyFont="1" applyBorder="1" applyAlignment="1" applyProtection="1">
      <alignment horizontal="center" vertical="center" wrapText="1"/>
      <protection hidden="1"/>
    </xf>
    <xf numFmtId="10" fontId="12" fillId="5" borderId="11" xfId="195" applyNumberFormat="1" applyFont="1" applyFill="1" applyBorder="1" applyAlignment="1" applyProtection="1">
      <alignment horizontal="center" vertical="center" wrapText="1"/>
      <protection hidden="1"/>
    </xf>
    <xf numFmtId="0" fontId="99" fillId="0" borderId="11" xfId="82" applyFont="1" applyBorder="1" applyAlignment="1" applyProtection="1">
      <alignment horizontal="center" vertical="center" wrapText="1"/>
      <protection hidden="1"/>
    </xf>
    <xf numFmtId="0" fontId="99" fillId="0" borderId="11" xfId="82" applyFont="1" applyBorder="1" applyAlignment="1" applyProtection="1">
      <alignment horizontal="center" vertical="center" wrapText="1"/>
      <protection hidden="1"/>
    </xf>
    <xf numFmtId="0" fontId="101" fillId="0" borderId="11" xfId="82" applyFont="1" applyFill="1" applyBorder="1" applyAlignment="1" applyProtection="1">
      <alignment horizontal="center" vertical="center" wrapText="1"/>
      <protection hidden="1"/>
    </xf>
    <xf numFmtId="0" fontId="97" fillId="0" borderId="11" xfId="82" applyFont="1" applyBorder="1" applyAlignment="1" applyProtection="1">
      <alignment horizontal="center" vertical="center" wrapText="1"/>
      <protection hidden="1"/>
    </xf>
    <xf numFmtId="0" fontId="44" fillId="9" borderId="11" xfId="82" applyFont="1" applyFill="1" applyBorder="1" applyAlignment="1" applyProtection="1">
      <alignment wrapText="1"/>
      <protection hidden="1"/>
    </xf>
    <xf numFmtId="0" fontId="44" fillId="9" borderId="11" xfId="82" applyFont="1" applyFill="1" applyBorder="1" applyAlignment="1" applyProtection="1">
      <alignment horizontal="center" vertical="center" wrapText="1"/>
      <protection hidden="1"/>
    </xf>
    <xf numFmtId="0" fontId="12" fillId="0" borderId="0" xfId="82" applyProtection="1">
      <protection hidden="1"/>
    </xf>
    <xf numFmtId="0" fontId="3" fillId="0" borderId="11" xfId="82" applyFont="1" applyBorder="1" applyAlignment="1" applyProtection="1">
      <alignment horizontal="center" textRotation="90" wrapText="1"/>
      <protection hidden="1"/>
    </xf>
    <xf numFmtId="0" fontId="12" fillId="0" borderId="11" xfId="82" applyBorder="1" applyAlignment="1" applyProtection="1">
      <alignment horizontal="center" textRotation="90" wrapText="1"/>
      <protection hidden="1"/>
    </xf>
    <xf numFmtId="0" fontId="95" fillId="0" borderId="46" xfId="82" applyFont="1" applyBorder="1" applyAlignment="1" applyProtection="1">
      <alignment horizontal="center" vertical="center" wrapText="1"/>
      <protection hidden="1"/>
    </xf>
    <xf numFmtId="0" fontId="95" fillId="0" borderId="50" xfId="82" applyFont="1" applyBorder="1" applyAlignment="1" applyProtection="1">
      <alignment horizontal="center" vertical="center" wrapText="1"/>
      <protection hidden="1"/>
    </xf>
    <xf numFmtId="0" fontId="95" fillId="0" borderId="34" xfId="82" applyFont="1" applyBorder="1" applyAlignment="1" applyProtection="1">
      <alignment horizontal="center" vertical="center" wrapText="1"/>
      <protection hidden="1"/>
    </xf>
    <xf numFmtId="0" fontId="95" fillId="0" borderId="0" xfId="82" applyFont="1" applyBorder="1" applyAlignment="1" applyProtection="1">
      <alignment horizontal="center" vertical="center" wrapText="1"/>
      <protection hidden="1"/>
    </xf>
    <xf numFmtId="0" fontId="95" fillId="0" borderId="25" xfId="82" applyFont="1" applyBorder="1" applyAlignment="1" applyProtection="1">
      <alignment horizontal="center" vertical="center" wrapText="1"/>
      <protection hidden="1"/>
    </xf>
    <xf numFmtId="0" fontId="95" fillId="0" borderId="13" xfId="82" applyFont="1" applyBorder="1" applyAlignment="1" applyProtection="1">
      <alignment horizontal="center" vertical="center" wrapText="1"/>
      <protection hidden="1"/>
    </xf>
    <xf numFmtId="0" fontId="55" fillId="10" borderId="4" xfId="82" applyFont="1" applyFill="1" applyBorder="1" applyAlignment="1" applyProtection="1">
      <alignment horizontal="center" vertical="center" wrapText="1"/>
      <protection hidden="1"/>
    </xf>
    <xf numFmtId="0" fontId="44" fillId="0" borderId="9" xfId="82" applyFont="1" applyBorder="1" applyAlignment="1" applyProtection="1">
      <alignment horizontal="center"/>
      <protection hidden="1"/>
    </xf>
    <xf numFmtId="0" fontId="44" fillId="0" borderId="8" xfId="82" applyFont="1" applyBorder="1" applyAlignment="1" applyProtection="1">
      <alignment horizontal="center"/>
      <protection hidden="1"/>
    </xf>
    <xf numFmtId="0" fontId="44" fillId="0" borderId="7" xfId="82" applyFont="1" applyBorder="1" applyAlignment="1" applyProtection="1">
      <alignment horizontal="center"/>
      <protection hidden="1"/>
    </xf>
    <xf numFmtId="0" fontId="55" fillId="10" borderId="17" xfId="82" applyFont="1" applyFill="1" applyBorder="1" applyAlignment="1" applyProtection="1">
      <alignment horizontal="center" vertical="center" wrapText="1"/>
      <protection hidden="1"/>
    </xf>
    <xf numFmtId="0" fontId="55" fillId="10" borderId="43" xfId="82" applyFont="1" applyFill="1" applyBorder="1" applyAlignment="1" applyProtection="1">
      <alignment horizontal="center" vertical="center" wrapText="1"/>
      <protection hidden="1"/>
    </xf>
    <xf numFmtId="0" fontId="55" fillId="10" borderId="44" xfId="82" applyFont="1" applyFill="1" applyBorder="1" applyAlignment="1" applyProtection="1">
      <alignment horizontal="center" vertical="center" wrapText="1"/>
      <protection hidden="1"/>
    </xf>
    <xf numFmtId="0" fontId="55" fillId="10" borderId="44" xfId="82" applyFont="1" applyFill="1" applyBorder="1" applyAlignment="1" applyProtection="1">
      <alignment horizontal="center" vertical="center" wrapText="1"/>
      <protection hidden="1"/>
    </xf>
    <xf numFmtId="3" fontId="55" fillId="2" borderId="44" xfId="87" applyNumberFormat="1" applyFont="1" applyFill="1" applyBorder="1" applyAlignment="1" applyProtection="1">
      <alignment horizontal="center" vertical="center" wrapText="1"/>
      <protection hidden="1"/>
    </xf>
    <xf numFmtId="3" fontId="55" fillId="2" borderId="45" xfId="87" applyNumberFormat="1" applyFont="1" applyFill="1" applyBorder="1" applyAlignment="1" applyProtection="1">
      <alignment horizontal="center" vertical="center" wrapText="1"/>
      <protection hidden="1"/>
    </xf>
    <xf numFmtId="3" fontId="55" fillId="2" borderId="57" xfId="87" applyNumberFormat="1" applyFont="1" applyFill="1" applyBorder="1" applyAlignment="1" applyProtection="1">
      <alignment horizontal="center" vertical="center" wrapText="1"/>
      <protection hidden="1"/>
    </xf>
    <xf numFmtId="0" fontId="12" fillId="0" borderId="11" xfId="82" applyBorder="1" applyAlignment="1" applyProtection="1">
      <alignment horizontal="center" vertical="center"/>
      <protection hidden="1"/>
    </xf>
    <xf numFmtId="0" fontId="12" fillId="0" borderId="17" xfId="82" applyBorder="1" applyAlignment="1" applyProtection="1">
      <alignment horizontal="center"/>
      <protection hidden="1"/>
    </xf>
    <xf numFmtId="0" fontId="56" fillId="0" borderId="28" xfId="82" applyFont="1" applyFill="1" applyBorder="1" applyAlignment="1" applyProtection="1">
      <alignment horizontal="center" vertical="center" wrapText="1"/>
      <protection hidden="1"/>
    </xf>
    <xf numFmtId="0" fontId="55" fillId="0" borderId="11" xfId="82" applyFont="1" applyFill="1" applyBorder="1" applyAlignment="1" applyProtection="1">
      <alignment horizontal="center" vertical="center" wrapText="1"/>
      <protection hidden="1"/>
    </xf>
    <xf numFmtId="0" fontId="56" fillId="0" borderId="11" xfId="82" applyFont="1" applyFill="1" applyBorder="1" applyAlignment="1" applyProtection="1">
      <alignment vertical="center" wrapText="1"/>
      <protection hidden="1"/>
    </xf>
    <xf numFmtId="176" fontId="29" fillId="0" borderId="11" xfId="82" applyNumberFormat="1" applyFont="1" applyBorder="1" applyAlignment="1" applyProtection="1">
      <alignment horizontal="left" vertical="center" wrapText="1"/>
      <protection hidden="1"/>
    </xf>
    <xf numFmtId="176" fontId="56" fillId="0" borderId="20" xfId="82" applyNumberFormat="1" applyFont="1" applyFill="1" applyBorder="1" applyAlignment="1" applyProtection="1">
      <alignment vertical="center" wrapText="1"/>
      <protection hidden="1"/>
    </xf>
    <xf numFmtId="0" fontId="12" fillId="0" borderId="0" xfId="82" applyAlignment="1" applyProtection="1">
      <alignment horizontal="center" vertical="center"/>
      <protection hidden="1"/>
    </xf>
    <xf numFmtId="0" fontId="9" fillId="0" borderId="17" xfId="82" applyFont="1" applyBorder="1" applyAlignment="1" applyProtection="1">
      <alignment horizontal="center"/>
      <protection hidden="1"/>
    </xf>
    <xf numFmtId="0" fontId="42" fillId="0" borderId="28" xfId="82" applyFont="1" applyBorder="1" applyAlignment="1" applyProtection="1">
      <alignment horizontal="center" vertical="center" wrapText="1"/>
      <protection hidden="1"/>
    </xf>
    <xf numFmtId="0" fontId="42" fillId="0" borderId="11" xfId="82" applyFont="1" applyBorder="1" applyAlignment="1" applyProtection="1">
      <alignment horizontal="left" vertical="center" wrapText="1"/>
      <protection hidden="1"/>
    </xf>
    <xf numFmtId="0" fontId="42" fillId="0" borderId="11" xfId="82" applyFont="1" applyBorder="1" applyAlignment="1" applyProtection="1">
      <alignment horizontal="center" vertical="center" wrapText="1"/>
      <protection hidden="1"/>
    </xf>
    <xf numFmtId="176" fontId="37" fillId="5" borderId="11" xfId="82" applyNumberFormat="1" applyFont="1" applyFill="1" applyBorder="1" applyAlignment="1" applyProtection="1">
      <alignment horizontal="left" vertical="center" wrapText="1"/>
      <protection hidden="1"/>
    </xf>
    <xf numFmtId="175" fontId="29" fillId="0" borderId="20" xfId="85" applyNumberFormat="1" applyFont="1" applyFill="1" applyBorder="1" applyAlignment="1" applyProtection="1">
      <alignment vertical="center" wrapText="1"/>
      <protection hidden="1"/>
    </xf>
    <xf numFmtId="175" fontId="29" fillId="0" borderId="17" xfId="85" applyNumberFormat="1" applyFont="1" applyFill="1" applyBorder="1" applyAlignment="1" applyProtection="1">
      <alignment vertical="center" wrapText="1"/>
      <protection hidden="1"/>
    </xf>
    <xf numFmtId="0" fontId="29" fillId="0" borderId="11" xfId="86" applyFont="1" applyFill="1" applyBorder="1" applyAlignment="1" applyProtection="1">
      <alignment horizontal="center" vertical="center"/>
      <protection hidden="1"/>
    </xf>
    <xf numFmtId="0" fontId="29" fillId="0" borderId="11" xfId="86" applyFont="1" applyFill="1" applyBorder="1" applyAlignment="1" applyProtection="1">
      <alignment horizontal="left" vertical="center" wrapText="1"/>
      <protection hidden="1"/>
    </xf>
    <xf numFmtId="0" fontId="29" fillId="0" borderId="11" xfId="86" applyFont="1" applyFill="1" applyBorder="1" applyAlignment="1" applyProtection="1">
      <alignment horizontal="center" vertical="center" wrapText="1"/>
      <protection hidden="1"/>
    </xf>
    <xf numFmtId="0" fontId="37" fillId="0" borderId="11" xfId="82" applyFont="1" applyBorder="1" applyAlignment="1" applyProtection="1">
      <alignment horizontal="center" vertical="center" wrapText="1"/>
      <protection hidden="1"/>
    </xf>
    <xf numFmtId="0" fontId="29" fillId="0" borderId="17" xfId="86" applyFont="1" applyFill="1" applyBorder="1" applyAlignment="1" applyProtection="1">
      <alignment horizontal="left" vertical="center" wrapText="1"/>
      <protection hidden="1"/>
    </xf>
    <xf numFmtId="0" fontId="29" fillId="0" borderId="16" xfId="86" applyFont="1" applyFill="1" applyBorder="1" applyAlignment="1" applyProtection="1">
      <alignment horizontal="left" vertical="center" wrapText="1"/>
      <protection hidden="1"/>
    </xf>
    <xf numFmtId="0" fontId="29" fillId="0" borderId="15" xfId="86" applyFont="1" applyFill="1" applyBorder="1" applyAlignment="1" applyProtection="1">
      <alignment horizontal="left" vertical="center" wrapText="1"/>
      <protection hidden="1"/>
    </xf>
    <xf numFmtId="0" fontId="10" fillId="0" borderId="16" xfId="82" applyFont="1" applyBorder="1" applyAlignment="1" applyProtection="1">
      <alignment horizontal="left"/>
      <protection hidden="1"/>
    </xf>
    <xf numFmtId="0" fontId="12" fillId="0" borderId="16" xfId="82" applyBorder="1" applyAlignment="1" applyProtection="1">
      <alignment horizontal="left"/>
      <protection hidden="1"/>
    </xf>
    <xf numFmtId="0" fontId="37" fillId="0" borderId="11" xfId="82" applyFont="1" applyFill="1" applyBorder="1" applyAlignment="1" applyProtection="1">
      <alignment horizontal="center" vertical="center" wrapText="1"/>
      <protection hidden="1"/>
    </xf>
    <xf numFmtId="0" fontId="42" fillId="0" borderId="5" xfId="82" applyFont="1" applyFill="1" applyBorder="1" applyAlignment="1" applyProtection="1">
      <alignment horizontal="center" vertical="center" wrapText="1"/>
      <protection hidden="1"/>
    </xf>
    <xf numFmtId="0" fontId="42" fillId="0" borderId="11" xfId="82" applyFont="1" applyFill="1" applyBorder="1" applyAlignment="1" applyProtection="1">
      <alignment horizontal="center" vertical="center" wrapText="1"/>
      <protection hidden="1"/>
    </xf>
    <xf numFmtId="0" fontId="12" fillId="0" borderId="17" xfId="82" applyBorder="1" applyAlignment="1" applyProtection="1">
      <alignment horizontal="left"/>
      <protection hidden="1"/>
    </xf>
    <xf numFmtId="0" fontId="12" fillId="0" borderId="15" xfId="82" applyBorder="1" applyAlignment="1" applyProtection="1">
      <alignment horizontal="left"/>
      <protection hidden="1"/>
    </xf>
    <xf numFmtId="0" fontId="6" fillId="0" borderId="17" xfId="82" applyFont="1" applyBorder="1" applyAlignment="1" applyProtection="1">
      <alignment horizontal="left"/>
      <protection hidden="1"/>
    </xf>
    <xf numFmtId="0" fontId="54" fillId="0" borderId="28" xfId="82" applyFont="1" applyBorder="1" applyAlignment="1" applyProtection="1">
      <alignment horizontal="center" vertical="center" wrapText="1"/>
      <protection hidden="1"/>
    </xf>
    <xf numFmtId="0" fontId="54" fillId="0" borderId="17" xfId="82" applyFont="1" applyBorder="1" applyAlignment="1" applyProtection="1">
      <alignment horizontal="center" vertical="center" wrapText="1"/>
      <protection hidden="1"/>
    </xf>
    <xf numFmtId="0" fontId="54" fillId="0" borderId="16" xfId="82" applyFont="1" applyBorder="1" applyAlignment="1" applyProtection="1">
      <alignment horizontal="center" vertical="center" wrapText="1"/>
      <protection hidden="1"/>
    </xf>
    <xf numFmtId="0" fontId="54" fillId="0" borderId="15" xfId="82" applyFont="1" applyBorder="1" applyAlignment="1" applyProtection="1">
      <alignment horizontal="center" vertical="center" wrapText="1"/>
      <protection hidden="1"/>
    </xf>
    <xf numFmtId="0" fontId="54" fillId="0" borderId="11" xfId="82" applyFont="1" applyBorder="1" applyAlignment="1" applyProtection="1">
      <alignment horizontal="center" vertical="center" wrapText="1"/>
      <protection hidden="1"/>
    </xf>
    <xf numFmtId="181" fontId="55" fillId="0" borderId="11" xfId="82" applyNumberFormat="1" applyFont="1" applyBorder="1" applyAlignment="1" applyProtection="1">
      <alignment vertical="center" wrapText="1"/>
      <protection hidden="1"/>
    </xf>
    <xf numFmtId="175" fontId="41" fillId="0" borderId="11" xfId="84" applyNumberFormat="1" applyFont="1" applyFill="1" applyBorder="1" applyAlignment="1" applyProtection="1">
      <alignment vertical="center" wrapText="1"/>
      <protection hidden="1"/>
    </xf>
    <xf numFmtId="175" fontId="41" fillId="0" borderId="20" xfId="84" applyNumberFormat="1" applyFont="1" applyFill="1" applyBorder="1" applyAlignment="1" applyProtection="1">
      <alignment vertical="center" wrapText="1"/>
      <protection hidden="1"/>
    </xf>
    <xf numFmtId="0" fontId="54" fillId="0" borderId="11" xfId="82" applyFont="1" applyBorder="1" applyAlignment="1" applyProtection="1">
      <alignment horizontal="center" vertical="center" wrapText="1"/>
      <protection hidden="1"/>
    </xf>
    <xf numFmtId="180" fontId="41" fillId="0" borderId="20" xfId="84" applyNumberFormat="1" applyFont="1" applyFill="1" applyBorder="1" applyAlignment="1" applyProtection="1">
      <alignment vertical="center" wrapText="1"/>
      <protection hidden="1"/>
    </xf>
    <xf numFmtId="0" fontId="12" fillId="0" borderId="31" xfId="82" applyBorder="1" applyProtection="1">
      <protection hidden="1"/>
    </xf>
    <xf numFmtId="0" fontId="54" fillId="0" borderId="30" xfId="82" applyFont="1" applyBorder="1" applyAlignment="1" applyProtection="1">
      <alignment horizontal="center" vertical="center" wrapText="1"/>
      <protection hidden="1"/>
    </xf>
    <xf numFmtId="0" fontId="12" fillId="0" borderId="30" xfId="82" applyBorder="1" applyProtection="1">
      <protection hidden="1"/>
    </xf>
    <xf numFmtId="175" fontId="44" fillId="0" borderId="26" xfId="82" applyNumberFormat="1" applyFont="1" applyBorder="1" applyProtection="1">
      <protection hidden="1"/>
    </xf>
    <xf numFmtId="0" fontId="63" fillId="5" borderId="41" xfId="82" applyFont="1" applyFill="1" applyBorder="1" applyAlignment="1" applyProtection="1">
      <alignment horizontal="left" wrapText="1"/>
      <protection hidden="1"/>
    </xf>
    <xf numFmtId="0" fontId="63" fillId="5" borderId="36" xfId="82" applyFont="1" applyFill="1" applyBorder="1" applyAlignment="1" applyProtection="1">
      <alignment horizontal="left"/>
      <protection hidden="1"/>
    </xf>
    <xf numFmtId="0" fontId="63" fillId="5" borderId="1" xfId="82" applyFont="1" applyFill="1" applyBorder="1" applyAlignment="1" applyProtection="1">
      <alignment horizontal="left"/>
      <protection hidden="1"/>
    </xf>
    <xf numFmtId="0" fontId="94" fillId="0" borderId="11" xfId="82" applyFont="1" applyBorder="1" applyAlignment="1" applyProtection="1">
      <alignment horizontal="center" vertical="center"/>
      <protection hidden="1"/>
    </xf>
    <xf numFmtId="0" fontId="94" fillId="0" borderId="11" xfId="82" applyFont="1" applyBorder="1" applyAlignment="1" applyProtection="1">
      <alignment horizontal="center" vertical="center"/>
      <protection hidden="1"/>
    </xf>
    <xf numFmtId="0" fontId="63" fillId="5" borderId="2" xfId="82" applyFont="1" applyFill="1" applyBorder="1" applyAlignment="1" applyProtection="1">
      <alignment horizontal="left"/>
      <protection hidden="1"/>
    </xf>
    <xf numFmtId="0" fontId="63" fillId="5" borderId="0" xfId="82" applyFont="1" applyFill="1" applyBorder="1" applyAlignment="1" applyProtection="1">
      <alignment horizontal="left"/>
      <protection hidden="1"/>
    </xf>
    <xf numFmtId="0" fontId="63" fillId="5" borderId="42" xfId="82" applyFont="1" applyFill="1" applyBorder="1" applyAlignment="1" applyProtection="1">
      <alignment horizontal="left"/>
      <protection hidden="1"/>
    </xf>
    <xf numFmtId="0" fontId="100" fillId="0" borderId="11" xfId="82" applyFont="1" applyBorder="1" applyAlignment="1" applyProtection="1">
      <alignment horizontal="center" vertical="center"/>
      <protection hidden="1"/>
    </xf>
    <xf numFmtId="0" fontId="98" fillId="0" borderId="11" xfId="82" applyFont="1" applyBorder="1" applyAlignment="1" applyProtection="1">
      <alignment horizontal="center" vertical="center"/>
      <protection hidden="1"/>
    </xf>
    <xf numFmtId="0" fontId="44" fillId="5" borderId="17" xfId="82" applyFont="1" applyFill="1" applyBorder="1" applyAlignment="1" applyProtection="1">
      <alignment horizontal="center" vertical="center"/>
      <protection hidden="1"/>
    </xf>
    <xf numFmtId="0" fontId="44" fillId="5" borderId="15" xfId="82" applyFont="1" applyFill="1" applyBorder="1" applyAlignment="1" applyProtection="1">
      <alignment horizontal="center" vertical="center"/>
      <protection hidden="1"/>
    </xf>
    <xf numFmtId="0" fontId="44" fillId="5" borderId="11" xfId="82" applyFont="1" applyFill="1" applyBorder="1" applyAlignment="1" applyProtection="1">
      <alignment horizontal="center" vertical="center"/>
      <protection hidden="1"/>
    </xf>
    <xf numFmtId="0" fontId="63" fillId="5" borderId="14" xfId="82" applyFont="1" applyFill="1" applyBorder="1" applyAlignment="1" applyProtection="1">
      <alignment horizontal="left"/>
      <protection hidden="1"/>
    </xf>
    <xf numFmtId="0" fontId="63" fillId="5" borderId="13" xfId="82" applyFont="1" applyFill="1" applyBorder="1" applyAlignment="1" applyProtection="1">
      <alignment horizontal="left"/>
      <protection hidden="1"/>
    </xf>
    <xf numFmtId="0" fontId="63" fillId="5" borderId="12" xfId="82" applyFont="1" applyFill="1" applyBorder="1" applyAlignment="1" applyProtection="1">
      <alignment horizontal="left"/>
      <protection hidden="1"/>
    </xf>
    <xf numFmtId="0" fontId="44" fillId="0" borderId="0" xfId="82" applyFont="1" applyProtection="1">
      <protection hidden="1"/>
    </xf>
    <xf numFmtId="0" fontId="5" fillId="5" borderId="41" xfId="82" applyFont="1" applyFill="1" applyBorder="1" applyAlignment="1" applyProtection="1">
      <alignment horizontal="left" vertical="top" wrapText="1"/>
      <protection hidden="1"/>
    </xf>
    <xf numFmtId="0" fontId="6" fillId="5" borderId="36" xfId="82" applyFont="1" applyFill="1" applyBorder="1" applyAlignment="1" applyProtection="1">
      <alignment horizontal="left" vertical="top" wrapText="1"/>
      <protection hidden="1"/>
    </xf>
    <xf numFmtId="0" fontId="6" fillId="5" borderId="1" xfId="82" applyFont="1" applyFill="1" applyBorder="1" applyAlignment="1" applyProtection="1">
      <alignment horizontal="left" vertical="top" wrapText="1"/>
      <protection hidden="1"/>
    </xf>
    <xf numFmtId="0" fontId="6" fillId="5" borderId="2" xfId="82" applyFont="1" applyFill="1" applyBorder="1" applyAlignment="1" applyProtection="1">
      <alignment horizontal="left" vertical="top" wrapText="1"/>
      <protection hidden="1"/>
    </xf>
    <xf numFmtId="0" fontId="6" fillId="5" borderId="0" xfId="82" applyFont="1" applyFill="1" applyBorder="1" applyAlignment="1" applyProtection="1">
      <alignment horizontal="left" vertical="top" wrapText="1"/>
      <protection hidden="1"/>
    </xf>
    <xf numFmtId="0" fontId="6" fillId="5" borderId="42" xfId="82" applyFont="1" applyFill="1" applyBorder="1" applyAlignment="1" applyProtection="1">
      <alignment horizontal="left" vertical="top" wrapText="1"/>
      <protection hidden="1"/>
    </xf>
    <xf numFmtId="0" fontId="6" fillId="5" borderId="14" xfId="82" applyFont="1" applyFill="1" applyBorder="1" applyAlignment="1" applyProtection="1">
      <alignment horizontal="left" vertical="top" wrapText="1"/>
      <protection hidden="1"/>
    </xf>
    <xf numFmtId="0" fontId="6" fillId="5" borderId="13" xfId="82" applyFont="1" applyFill="1" applyBorder="1" applyAlignment="1" applyProtection="1">
      <alignment horizontal="left" vertical="top" wrapText="1"/>
      <protection hidden="1"/>
    </xf>
    <xf numFmtId="0" fontId="6" fillId="5" borderId="12" xfId="82" applyFont="1" applyFill="1" applyBorder="1" applyAlignment="1" applyProtection="1">
      <alignment horizontal="left" vertical="top" wrapText="1"/>
      <protection hidden="1"/>
    </xf>
    <xf numFmtId="0" fontId="2" fillId="0" borderId="11" xfId="82" applyFont="1" applyBorder="1" applyAlignment="1" applyProtection="1">
      <alignment horizontal="center" textRotation="90" wrapText="1"/>
      <protection hidden="1"/>
    </xf>
    <xf numFmtId="0" fontId="44" fillId="0" borderId="17" xfId="82" applyFont="1" applyBorder="1" applyAlignment="1" applyProtection="1">
      <alignment horizontal="center" vertical="center" wrapText="1"/>
      <protection hidden="1"/>
    </xf>
    <xf numFmtId="0" fontId="94" fillId="5" borderId="54" xfId="82" applyFont="1" applyFill="1" applyBorder="1" applyAlignment="1" applyProtection="1">
      <alignment horizontal="center" vertical="center" wrapText="1"/>
      <protection hidden="1"/>
    </xf>
    <xf numFmtId="0" fontId="94" fillId="5" borderId="55" xfId="82" applyFont="1" applyFill="1" applyBorder="1" applyAlignment="1" applyProtection="1">
      <alignment horizontal="center" vertical="center" wrapText="1"/>
      <protection hidden="1"/>
    </xf>
    <xf numFmtId="0" fontId="94" fillId="5" borderId="56" xfId="82" applyFont="1" applyFill="1" applyBorder="1" applyAlignment="1" applyProtection="1">
      <alignment horizontal="center" vertical="center" wrapText="1"/>
      <protection hidden="1"/>
    </xf>
    <xf numFmtId="0" fontId="65" fillId="9" borderId="10" xfId="82" applyFont="1" applyFill="1" applyBorder="1" applyAlignment="1" applyProtection="1">
      <alignment horizontal="center" vertical="center"/>
      <protection hidden="1"/>
    </xf>
    <xf numFmtId="0" fontId="61" fillId="9" borderId="10" xfId="82" applyFont="1" applyFill="1" applyBorder="1" applyAlignment="1" applyProtection="1">
      <alignment vertical="center"/>
      <protection hidden="1"/>
    </xf>
    <xf numFmtId="0" fontId="61" fillId="9" borderId="7" xfId="82" applyFont="1" applyFill="1" applyBorder="1" applyAlignment="1" applyProtection="1">
      <alignment horizontal="center" vertical="center"/>
      <protection hidden="1"/>
    </xf>
    <xf numFmtId="0" fontId="61" fillId="9" borderId="7" xfId="82" applyFont="1" applyFill="1" applyBorder="1" applyAlignment="1" applyProtection="1">
      <alignment vertical="center"/>
      <protection hidden="1"/>
    </xf>
    <xf numFmtId="0" fontId="61" fillId="9" borderId="10" xfId="82" applyFont="1" applyFill="1" applyBorder="1" applyAlignment="1" applyProtection="1">
      <alignment horizontal="center" vertical="center" wrapText="1"/>
      <protection hidden="1"/>
    </xf>
    <xf numFmtId="0" fontId="60" fillId="0" borderId="6" xfId="82" applyFont="1" applyBorder="1" applyAlignment="1" applyProtection="1">
      <alignment horizontal="center" vertical="center"/>
      <protection hidden="1"/>
    </xf>
    <xf numFmtId="0" fontId="59" fillId="0" borderId="12" xfId="82" applyFont="1" applyBorder="1" applyAlignment="1" applyProtection="1">
      <alignment vertical="center" wrapText="1"/>
      <protection hidden="1"/>
    </xf>
    <xf numFmtId="0" fontId="59" fillId="0" borderId="13" xfId="82" applyFont="1" applyBorder="1" applyAlignment="1" applyProtection="1">
      <alignment horizontal="center" vertical="center"/>
      <protection hidden="1"/>
    </xf>
    <xf numFmtId="176" fontId="59" fillId="5" borderId="10" xfId="84" applyNumberFormat="1" applyFont="1" applyFill="1" applyBorder="1" applyAlignment="1" applyProtection="1">
      <alignment horizontal="center" vertical="center"/>
      <protection hidden="1"/>
    </xf>
    <xf numFmtId="176" fontId="59" fillId="0" borderId="10" xfId="84" applyNumberFormat="1" applyFont="1" applyBorder="1" applyAlignment="1" applyProtection="1">
      <alignment horizontal="center" vertical="center"/>
      <protection hidden="1"/>
    </xf>
    <xf numFmtId="0" fontId="60" fillId="0" borderId="12" xfId="82" applyFont="1" applyBorder="1" applyAlignment="1" applyProtection="1">
      <alignment vertical="center" wrapText="1"/>
      <protection hidden="1"/>
    </xf>
    <xf numFmtId="0" fontId="60" fillId="0" borderId="13" xfId="82" applyFont="1" applyBorder="1" applyAlignment="1" applyProtection="1">
      <alignment horizontal="center" vertical="center"/>
      <protection hidden="1"/>
    </xf>
    <xf numFmtId="0" fontId="60" fillId="0" borderId="6" xfId="82" applyFont="1" applyBorder="1" applyAlignment="1" applyProtection="1">
      <alignment horizontal="center" vertical="center" wrapText="1"/>
      <protection hidden="1"/>
    </xf>
    <xf numFmtId="0" fontId="8" fillId="0" borderId="0" xfId="82" applyFont="1" applyProtection="1">
      <protection hidden="1"/>
    </xf>
    <xf numFmtId="0" fontId="58" fillId="0" borderId="9" xfId="82" applyFont="1" applyBorder="1" applyAlignment="1" applyProtection="1">
      <alignment horizontal="center" vertical="center"/>
      <protection hidden="1"/>
    </xf>
    <xf numFmtId="0" fontId="58" fillId="0" borderId="8" xfId="82" applyFont="1" applyBorder="1" applyAlignment="1" applyProtection="1">
      <alignment horizontal="center" vertical="center"/>
      <protection hidden="1"/>
    </xf>
    <xf numFmtId="0" fontId="58" fillId="0" borderId="7" xfId="82" applyFont="1" applyBorder="1" applyAlignment="1" applyProtection="1">
      <alignment horizontal="center" vertical="center"/>
      <protection hidden="1"/>
    </xf>
  </cellXfs>
  <cellStyles count="196">
    <cellStyle name="Comma 2" xfId="1"/>
    <cellStyle name="Hipervínculo 2" xfId="36"/>
    <cellStyle name="Hipervínculo 3" xfId="44"/>
    <cellStyle name="Hipervínculo visitado" xfId="31" builtinId="9" hidden="1"/>
    <cellStyle name="Hipervínculo visitado" xfId="40" builtinId="9" hidden="1"/>
    <cellStyle name="Millares" xfId="190" builtinId="3"/>
    <cellStyle name="Millares [0]" xfId="76" builtinId="6"/>
    <cellStyle name="Millares [0] 2" xfId="194"/>
    <cellStyle name="Millares 2" xfId="2"/>
    <cellStyle name="Millares 2 10" xfId="17"/>
    <cellStyle name="Millares 2 10 2" xfId="97"/>
    <cellStyle name="Millares 2 2" xfId="18"/>
    <cellStyle name="Millares 2 2 2" xfId="19"/>
    <cellStyle name="Millares 2 2 2 2" xfId="99"/>
    <cellStyle name="Millares 2 2 3" xfId="66"/>
    <cellStyle name="Millares 2 2 4" xfId="145"/>
    <cellStyle name="Millares 2 2 5" xfId="98"/>
    <cellStyle name="Millares 2 3" xfId="20"/>
    <cellStyle name="Millares 2 3 2" xfId="100"/>
    <cellStyle name="Millares 2 4" xfId="59"/>
    <cellStyle name="Millares 2 5" xfId="93"/>
    <cellStyle name="Millares 3" xfId="69"/>
    <cellStyle name="Millares 3 2" xfId="168"/>
    <cellStyle name="Millares 3 3" xfId="123"/>
    <cellStyle name="Millares 5" xfId="13"/>
    <cellStyle name="Millares_Formato Evaluacion LP No. 41 Biblioteca Belen" xfId="192"/>
    <cellStyle name="Moneda [0] 2" xfId="50"/>
    <cellStyle name="Moneda [0] 2 2" xfId="158"/>
    <cellStyle name="Moneda [0] 2 3" xfId="113"/>
    <cellStyle name="Moneda [0] 3" xfId="54"/>
    <cellStyle name="Moneda [0] 3 2" xfId="161"/>
    <cellStyle name="Moneda [0] 3 3" xfId="116"/>
    <cellStyle name="Moneda [0] 4" xfId="57"/>
    <cellStyle name="Moneda [0] 4 2" xfId="75"/>
    <cellStyle name="Moneda [0] 4 2 2" xfId="174"/>
    <cellStyle name="Moneda [0] 4 2 3" xfId="129"/>
    <cellStyle name="Moneda [0] 4 3" xfId="163"/>
    <cellStyle name="Moneda [0] 4 4" xfId="118"/>
    <cellStyle name="Moneda [0] 5" xfId="73"/>
    <cellStyle name="Moneda [0] 5 2" xfId="172"/>
    <cellStyle name="Moneda [0] 5 3" xfId="127"/>
    <cellStyle name="Moneda [0] 6" xfId="88"/>
    <cellStyle name="Moneda [0] 6 2" xfId="183"/>
    <cellStyle name="Moneda [0] 6 3" xfId="138"/>
    <cellStyle name="Moneda [0] 7" xfId="187"/>
    <cellStyle name="Moneda 10" xfId="62"/>
    <cellStyle name="Moneda 10 2" xfId="165"/>
    <cellStyle name="Moneda 10 3" xfId="120"/>
    <cellStyle name="Moneda 11" xfId="81"/>
    <cellStyle name="Moneda 12" xfId="84"/>
    <cellStyle name="Moneda 12 2" xfId="181"/>
    <cellStyle name="Moneda 12 3" xfId="136"/>
    <cellStyle name="Moneda 13" xfId="188"/>
    <cellStyle name="Moneda 2" xfId="3"/>
    <cellStyle name="Moneda 2 2" xfId="4"/>
    <cellStyle name="Moneda 2 3" xfId="60"/>
    <cellStyle name="Moneda 2 4" xfId="142"/>
    <cellStyle name="Moneda 2 5" xfId="94"/>
    <cellStyle name="Moneda 3" xfId="5"/>
    <cellStyle name="Moneda 3 2" xfId="21"/>
    <cellStyle name="Moneda 3 2 2" xfId="68"/>
    <cellStyle name="Moneda 3 3" xfId="85"/>
    <cellStyle name="Moneda 3 3 2" xfId="182"/>
    <cellStyle name="Moneda 3 3 3" xfId="137"/>
    <cellStyle name="Moneda 4" xfId="6"/>
    <cellStyle name="Moneda 4 2" xfId="64"/>
    <cellStyle name="Moneda 5" xfId="34"/>
    <cellStyle name="Moneda 5 2" xfId="149"/>
    <cellStyle name="Moneda 5 3" xfId="104"/>
    <cellStyle name="Moneda 6" xfId="15"/>
    <cellStyle name="Moneda 7" xfId="38"/>
    <cellStyle name="Moneda 7 2" xfId="79"/>
    <cellStyle name="Moneda 7 2 2" xfId="177"/>
    <cellStyle name="Moneda 7 2 3" xfId="132"/>
    <cellStyle name="Moneda 7 3" xfId="90"/>
    <cellStyle name="Moneda 7 3 2" xfId="185"/>
    <cellStyle name="Moneda 7 3 3" xfId="140"/>
    <cellStyle name="Moneda 7 4" xfId="152"/>
    <cellStyle name="Moneda 7 5" xfId="107"/>
    <cellStyle name="Moneda 8" xfId="43"/>
    <cellStyle name="Moneda 8 2" xfId="77"/>
    <cellStyle name="Moneda 8 2 2" xfId="175"/>
    <cellStyle name="Moneda 8 2 3" xfId="130"/>
    <cellStyle name="Moneda 8 3" xfId="155"/>
    <cellStyle name="Moneda 8 4" xfId="110"/>
    <cellStyle name="Moneda 9" xfId="48"/>
    <cellStyle name="Moneda 9 2" xfId="92"/>
    <cellStyle name="Moneda 9 3" xfId="157"/>
    <cellStyle name="Moneda 9 4" xfId="112"/>
    <cellStyle name="Normal" xfId="0" builtinId="0"/>
    <cellStyle name="Normal 10" xfId="49"/>
    <cellStyle name="Normal 10 10 2" xfId="22"/>
    <cellStyle name="Normal 11" xfId="52"/>
    <cellStyle name="Normal 11 2" xfId="159"/>
    <cellStyle name="Normal 11 3" xfId="114"/>
    <cellStyle name="Normal 11 45 10" xfId="23"/>
    <cellStyle name="Normal 11 45 10 2" xfId="146"/>
    <cellStyle name="Normal 11 45 10 3" xfId="101"/>
    <cellStyle name="Normal 12" xfId="53"/>
    <cellStyle name="Normal 12 2" xfId="160"/>
    <cellStyle name="Normal 12 3" xfId="115"/>
    <cellStyle name="Normal 13" xfId="56"/>
    <cellStyle name="Normal 13 2" xfId="74"/>
    <cellStyle name="Normal 13 2 2" xfId="173"/>
    <cellStyle name="Normal 13 2 3" xfId="128"/>
    <cellStyle name="Normal 13 3" xfId="162"/>
    <cellStyle name="Normal 13 4" xfId="117"/>
    <cellStyle name="Normal 14" xfId="58"/>
    <cellStyle name="Normal 14 2" xfId="164"/>
    <cellStyle name="Normal 14 2 4" xfId="193"/>
    <cellStyle name="Normal 14 3" xfId="119"/>
    <cellStyle name="Normal 15" xfId="70"/>
    <cellStyle name="Normal 15 2" xfId="169"/>
    <cellStyle name="Normal 15 3" xfId="124"/>
    <cellStyle name="Normal 16" xfId="71"/>
    <cellStyle name="Normal 16 2" xfId="170"/>
    <cellStyle name="Normal 16 3" xfId="125"/>
    <cellStyle name="Normal 17" xfId="72"/>
    <cellStyle name="Normal 17 2" xfId="171"/>
    <cellStyle name="Normal 17 3" xfId="126"/>
    <cellStyle name="Normal 18" xfId="82"/>
    <cellStyle name="Normal 18 2" xfId="179"/>
    <cellStyle name="Normal 18 3" xfId="134"/>
    <cellStyle name="Normal 2" xfId="7"/>
    <cellStyle name="Normal 2 2" xfId="8"/>
    <cellStyle name="Normal 2 2 2 2 2" xfId="46"/>
    <cellStyle name="Normal 2 2 3" xfId="24"/>
    <cellStyle name="Normal 2 2 5 2 2 2" xfId="25"/>
    <cellStyle name="Normal 2 3" xfId="26"/>
    <cellStyle name="Normal 2 3 2" xfId="47"/>
    <cellStyle name="Normal 2 4" xfId="51"/>
    <cellStyle name="Normal 3" xfId="9"/>
    <cellStyle name="Normal 3 2" xfId="16"/>
    <cellStyle name="Normal 3 2 2" xfId="67"/>
    <cellStyle name="Normal 3 2 2 2" xfId="167"/>
    <cellStyle name="Normal 3 2 2 3" xfId="122"/>
    <cellStyle name="Normal 3 3" xfId="29"/>
    <cellStyle name="Normal 3 3 2" xfId="147"/>
    <cellStyle name="Normal 3 3 3" xfId="102"/>
    <cellStyle name="Normal 3 4" xfId="61"/>
    <cellStyle name="Normal 3 5" xfId="143"/>
    <cellStyle name="Normal 3 6" xfId="95"/>
    <cellStyle name="Normal 4" xfId="14"/>
    <cellStyle name="Normal 4 2" xfId="12"/>
    <cellStyle name="Normal 4 3" xfId="144"/>
    <cellStyle name="Normal 4 4" xfId="96"/>
    <cellStyle name="Normal 5" xfId="27"/>
    <cellStyle name="Normal 6" xfId="33"/>
    <cellStyle name="Normal 6 2" xfId="45"/>
    <cellStyle name="Normal 6 2 2" xfId="156"/>
    <cellStyle name="Normal 6 2 3" xfId="111"/>
    <cellStyle name="Normal 6 3" xfId="55"/>
    <cellStyle name="Normal 6 4" xfId="148"/>
    <cellStyle name="Normal 6 5" xfId="103"/>
    <cellStyle name="Normal 7" xfId="28"/>
    <cellStyle name="Normal 8" xfId="37"/>
    <cellStyle name="Normal 8 2" xfId="78"/>
    <cellStyle name="Normal 8 2 2" xfId="176"/>
    <cellStyle name="Normal 8 2 3" xfId="131"/>
    <cellStyle name="Normal 8 3" xfId="89"/>
    <cellStyle name="Normal 8 3 2" xfId="184"/>
    <cellStyle name="Normal 8 3 3" xfId="139"/>
    <cellStyle name="Normal 8 4" xfId="151"/>
    <cellStyle name="Normal 8 5" xfId="106"/>
    <cellStyle name="Normal 9" xfId="42"/>
    <cellStyle name="Normal 9 2" xfId="154"/>
    <cellStyle name="Normal 9 3" xfId="109"/>
    <cellStyle name="Normal_alcatel basica" xfId="87"/>
    <cellStyle name="Normal_CONSOLIDADO  EVALUACIÓN LP 53 OBRA ADECUACIÓN Y MANTENIMIENTO DEL TEATRO LIDO" xfId="191"/>
    <cellStyle name="Normal_LISTADO ITEMS AIRES ACONDICIONADOS ACTUALIZADO" xfId="86"/>
    <cellStyle name="Porcentaje" xfId="195" builtinId="5"/>
    <cellStyle name="Porcentaje 2" xfId="30"/>
    <cellStyle name="Porcentaje 2 2" xfId="189"/>
    <cellStyle name="Porcentaje 3" xfId="35"/>
    <cellStyle name="Porcentaje 3 2" xfId="65"/>
    <cellStyle name="Porcentaje 3 3" xfId="150"/>
    <cellStyle name="Porcentaje 3 4" xfId="105"/>
    <cellStyle name="Porcentaje 4" xfId="39"/>
    <cellStyle name="Porcentaje 4 2" xfId="80"/>
    <cellStyle name="Porcentaje 4 2 2" xfId="178"/>
    <cellStyle name="Porcentaje 4 2 3" xfId="133"/>
    <cellStyle name="Porcentaje 4 3" xfId="91"/>
    <cellStyle name="Porcentaje 4 3 2" xfId="186"/>
    <cellStyle name="Porcentaje 4 3 3" xfId="141"/>
    <cellStyle name="Porcentaje 4 4" xfId="153"/>
    <cellStyle name="Porcentaje 4 5" xfId="108"/>
    <cellStyle name="Porcentaje 5" xfId="63"/>
    <cellStyle name="Porcentaje 5 2" xfId="166"/>
    <cellStyle name="Porcentaje 5 3" xfId="121"/>
    <cellStyle name="Porcentaje 6" xfId="83"/>
    <cellStyle name="Porcentaje 6 2" xfId="180"/>
    <cellStyle name="Porcentaje 6 3" xfId="135"/>
    <cellStyle name="Porcentual 2" xfId="10"/>
    <cellStyle name="Porcentual 2 2" xfId="11"/>
    <cellStyle name="Porcentual 2 2 2" xfId="41"/>
    <cellStyle name="Porcentual 2 3" xfId="32"/>
  </cellStyles>
  <dxfs count="297">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mruColors>
      <color rgb="FF9BE2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1</xdr:col>
      <xdr:colOff>238125</xdr:colOff>
      <xdr:row>3</xdr:row>
      <xdr:rowOff>74572</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0"/>
          <a:ext cx="904875" cy="1188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131357</xdr:colOff>
      <xdr:row>0</xdr:row>
      <xdr:rowOff>79562</xdr:rowOff>
    </xdr:from>
    <xdr:to>
      <xdr:col>0</xdr:col>
      <xdr:colOff>848520</xdr:colOff>
      <xdr:row>2</xdr:row>
      <xdr:rowOff>593912</xdr:rowOff>
    </xdr:to>
    <xdr:pic>
      <xdr:nvPicPr>
        <xdr:cNvPr id="2" name="3 Imagen" descr="log-udea2.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57" y="79562"/>
          <a:ext cx="717163"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238124</xdr:colOff>
      <xdr:row>2</xdr:row>
      <xdr:rowOff>1678589</xdr:rowOff>
    </xdr:from>
    <xdr:to>
      <xdr:col>12</xdr:col>
      <xdr:colOff>1231200</xdr:colOff>
      <xdr:row>2</xdr:row>
      <xdr:rowOff>2492062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549437" y="2440589"/>
          <a:ext cx="4874513" cy="8134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339070</xdr:colOff>
      <xdr:row>1</xdr:row>
      <xdr:rowOff>4439</xdr:rowOff>
    </xdr:from>
    <xdr:ext cx="664715" cy="819993"/>
    <xdr:pic>
      <xdr:nvPicPr>
        <xdr:cNvPr id="2" name="3 Imagen" descr="log-udea2.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345" y="204464"/>
          <a:ext cx="664715" cy="81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uario\Downloads\APU%20Estudiantes%207-13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deA\CIUDADELA%20CENTRAL\Bloque%2011\T&#233;cnicos\Version%20170418\16_04_18_APU%20REDES%20Y%20EQUIPOS%202017%20ILUM%20BL%20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GERONA\CANTIDADES%20REPOSICION\SUBCIRCUITO%207\REDES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CANTIDADES%20GERONA\Documents%20and%20Settings\swilches\Configuraci&#243;n%20local\Archivos%20temporales%20de%20Internet\OLK6\formulario%20b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UNIDAD%20HOSPITALARIA%20CONCEJO%20DE%20MEDELLIN\ppto%20pajarito%20ultimo\ENTREGA%20FINAL\ULTIMO\ENTREGA%2012-11-09\Presupuesto%20Clinica%20Concejo%2013-1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valuacion_%20VA_011_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PAVICOL\MSOFFICE\LICITAR\analisis%20del%20AIU\AI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PU%20CAUCASIA%20DEF.%2023-05-13%20400p.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resupuestosistematranviariodeayacuchoconapus%20(1)\APU%20ELECTRIC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ORTA EST"/>
      <sheetName val="BD"/>
      <sheetName val="MATERIALES Y RECURSOS"/>
      <sheetName val="TARIFAS MATERIALES"/>
      <sheetName val="TARIFAS EQUIPOS "/>
      <sheetName val="TARIFA SALARIOS"/>
      <sheetName val="ó&gt;_x005f_x0000__x005f_x0001__x005f_x0000__x005f_x0000__"/>
      <sheetName val="PRES"/>
      <sheetName val="Tramo 2"/>
      <sheetName val="AMOBLAMINETO"/>
      <sheetName val="LISTA"/>
      <sheetName val="MDC-1 COLOCACION "/>
      <sheetName val="D-20 COLOCACION "/>
      <sheetName val="TRANSPORTE MEZCLA ASFALTICA"/>
      <sheetName val="Fresado"/>
      <sheetName val="EXT microagomerado"/>
      <sheetName val="Hoja5"/>
      <sheetName val="LISTADO_APU"/>
      <sheetName val="Operation"/>
      <sheetName val="Inputs"/>
      <sheetName val="Concesionaria_-_Administrativo1"/>
      <sheetName val="Concesionaria_-_Sistemas1"/>
      <sheetName val="Control"/>
      <sheetName val="Construction"/>
      <sheetName val="Grafico Avance"/>
      <sheetName val="MYE OBRA"/>
      <sheetName val="SNP7 Anclajes pasivos6j_x0000_"/>
      <sheetName val="Hoja3"/>
      <sheetName val="Hoja2"/>
      <sheetName val="Transportes"/>
      <sheetName val="ó&gt;?_x0001_???j0$?#???j.$?#???L_x0012_Óu????"/>
      <sheetName val="BASE DE DATOS DE PRECIOS"/>
      <sheetName val="Indicadores Y Listas"/>
      <sheetName val="ó&gt;????j0$?#???j_$?#???LÓu????"/>
      <sheetName val="Paral. 1"/>
      <sheetName val="Paral. 2"/>
      <sheetName val="Paral. 3"/>
      <sheetName val="Paral.4"/>
      <sheetName val="CORTE DE OBRA N° 1"/>
      <sheetName val="memoria"/>
      <sheetName val="memoria 1"/>
    </sheetNames>
    <sheetDataSet>
      <sheetData sheetId="0">
        <row r="2">
          <cell r="A2">
            <v>0</v>
          </cell>
        </row>
      </sheetData>
      <sheetData sheetId="1">
        <row r="2">
          <cell r="A2">
            <v>0</v>
          </cell>
        </row>
      </sheetData>
      <sheetData sheetId="2">
        <row r="2">
          <cell r="A2">
            <v>0</v>
          </cell>
        </row>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ow r="2">
          <cell r="A2">
            <v>0</v>
          </cell>
        </row>
      </sheetData>
      <sheetData sheetId="18">
        <row r="2">
          <cell r="A2">
            <v>0</v>
          </cell>
        </row>
      </sheetData>
      <sheetData sheetId="19">
        <row r="2">
          <cell r="A2">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efreshError="1"/>
      <sheetData sheetId="71" refreshError="1"/>
      <sheetData sheetId="72"/>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ow r="2">
          <cell r="A2">
            <v>0</v>
          </cell>
        </row>
      </sheetData>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row r="2">
          <cell r="A2">
            <v>0</v>
          </cell>
        </row>
      </sheetData>
      <sheetData sheetId="246">
        <row r="2">
          <cell r="A2">
            <v>0</v>
          </cell>
        </row>
      </sheetData>
      <sheetData sheetId="247">
        <row r="2">
          <cell r="A2">
            <v>0</v>
          </cell>
        </row>
      </sheetData>
      <sheetData sheetId="248">
        <row r="2">
          <cell r="A2">
            <v>0</v>
          </cell>
        </row>
      </sheetData>
      <sheetData sheetId="249">
        <row r="2">
          <cell r="A2">
            <v>0</v>
          </cell>
        </row>
      </sheetData>
      <sheetData sheetId="250">
        <row r="2">
          <cell r="A2">
            <v>0</v>
          </cell>
        </row>
      </sheetData>
      <sheetData sheetId="251">
        <row r="2">
          <cell r="A2">
            <v>0</v>
          </cell>
        </row>
      </sheetData>
      <sheetData sheetId="252">
        <row r="2">
          <cell r="A2">
            <v>0</v>
          </cell>
        </row>
      </sheetData>
      <sheetData sheetId="253">
        <row r="2">
          <cell r="A2">
            <v>0</v>
          </cell>
        </row>
      </sheetData>
      <sheetData sheetId="254">
        <row r="2">
          <cell r="A2">
            <v>0</v>
          </cell>
        </row>
      </sheetData>
      <sheetData sheetId="255">
        <row r="2">
          <cell r="A2">
            <v>0</v>
          </cell>
        </row>
      </sheetData>
      <sheetData sheetId="256">
        <row r="2">
          <cell r="A2">
            <v>0</v>
          </cell>
        </row>
      </sheetData>
      <sheetData sheetId="257">
        <row r="2">
          <cell r="A2">
            <v>0</v>
          </cell>
        </row>
      </sheetData>
      <sheetData sheetId="258">
        <row r="2">
          <cell r="A2">
            <v>0</v>
          </cell>
        </row>
      </sheetData>
      <sheetData sheetId="259">
        <row r="2">
          <cell r="A2">
            <v>0</v>
          </cell>
        </row>
      </sheetData>
      <sheetData sheetId="260">
        <row r="2">
          <cell r="A2">
            <v>0</v>
          </cell>
        </row>
      </sheetData>
      <sheetData sheetId="261">
        <row r="2">
          <cell r="A2">
            <v>0</v>
          </cell>
        </row>
      </sheetData>
      <sheetData sheetId="262">
        <row r="2">
          <cell r="A2">
            <v>0</v>
          </cell>
        </row>
      </sheetData>
      <sheetData sheetId="263">
        <row r="2">
          <cell r="A2">
            <v>0</v>
          </cell>
        </row>
      </sheetData>
      <sheetData sheetId="264">
        <row r="2">
          <cell r="A2">
            <v>0</v>
          </cell>
        </row>
      </sheetData>
      <sheetData sheetId="265">
        <row r="2">
          <cell r="A2">
            <v>0</v>
          </cell>
        </row>
      </sheetData>
      <sheetData sheetId="266">
        <row r="2">
          <cell r="A2">
            <v>0</v>
          </cell>
        </row>
      </sheetData>
      <sheetData sheetId="267">
        <row r="2">
          <cell r="A2">
            <v>0</v>
          </cell>
        </row>
      </sheetData>
      <sheetData sheetId="268">
        <row r="2">
          <cell r="A2">
            <v>0</v>
          </cell>
        </row>
      </sheetData>
      <sheetData sheetId="269">
        <row r="2">
          <cell r="A2">
            <v>0</v>
          </cell>
        </row>
      </sheetData>
      <sheetData sheetId="270">
        <row r="2">
          <cell r="A2">
            <v>0</v>
          </cell>
        </row>
      </sheetData>
      <sheetData sheetId="271">
        <row r="2">
          <cell r="A2">
            <v>0</v>
          </cell>
        </row>
      </sheetData>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ow r="2">
          <cell r="A2">
            <v>0</v>
          </cell>
        </row>
      </sheetData>
      <sheetData sheetId="313" refreshError="1"/>
      <sheetData sheetId="314" refreshError="1"/>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ow r="2">
          <cell r="A2">
            <v>0</v>
          </cell>
        </row>
      </sheetData>
      <sheetData sheetId="450" refreshError="1"/>
      <sheetData sheetId="451" refreshError="1"/>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v>0</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row r="2">
          <cell r="A2">
            <v>0</v>
          </cell>
        </row>
      </sheetData>
      <sheetData sheetId="747">
        <row r="2">
          <cell r="A2">
            <v>0</v>
          </cell>
        </row>
      </sheetData>
      <sheetData sheetId="748">
        <row r="2">
          <cell r="A2">
            <v>0</v>
          </cell>
        </row>
      </sheetData>
      <sheetData sheetId="749">
        <row r="2">
          <cell r="A2">
            <v>0</v>
          </cell>
        </row>
      </sheetData>
      <sheetData sheetId="750"/>
      <sheetData sheetId="751"/>
      <sheetData sheetId="752"/>
      <sheetData sheetId="753"/>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efreshError="1"/>
      <sheetData sheetId="809" refreshError="1"/>
      <sheetData sheetId="810" refreshError="1"/>
      <sheetData sheetId="811" refreshError="1"/>
      <sheetData sheetId="812" refreshError="1"/>
      <sheetData sheetId="813" refreshError="1"/>
      <sheetData sheetId="814" refreshError="1"/>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sheetData sheetId="856"/>
      <sheetData sheetId="857"/>
      <sheetData sheetId="858"/>
      <sheetData sheetId="859"/>
      <sheetData sheetId="860"/>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sheetData sheetId="872"/>
      <sheetData sheetId="873"/>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sheetData sheetId="887"/>
      <sheetData sheetId="888"/>
      <sheetData sheetId="889"/>
      <sheetData sheetId="890"/>
      <sheetData sheetId="891"/>
      <sheetData sheetId="892"/>
      <sheetData sheetId="893"/>
      <sheetData sheetId="894">
        <row r="2">
          <cell r="A2">
            <v>0</v>
          </cell>
        </row>
      </sheetData>
      <sheetData sheetId="895">
        <row r="2">
          <cell r="A2">
            <v>0</v>
          </cell>
        </row>
      </sheetData>
      <sheetData sheetId="896"/>
      <sheetData sheetId="897">
        <row r="2">
          <cell r="A2">
            <v>0</v>
          </cell>
        </row>
      </sheetData>
      <sheetData sheetId="898">
        <row r="2">
          <cell r="A2">
            <v>0</v>
          </cell>
        </row>
      </sheetData>
      <sheetData sheetId="899">
        <row r="2">
          <cell r="A2">
            <v>0</v>
          </cell>
        </row>
      </sheetData>
      <sheetData sheetId="900"/>
      <sheetData sheetId="901"/>
      <sheetData sheetId="902"/>
      <sheetData sheetId="903"/>
      <sheetData sheetId="904"/>
      <sheetData sheetId="905">
        <row r="2">
          <cell r="A2">
            <v>0</v>
          </cell>
        </row>
      </sheetData>
      <sheetData sheetId="906">
        <row r="2">
          <cell r="A2">
            <v>0</v>
          </cell>
        </row>
      </sheetData>
      <sheetData sheetId="907"/>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sheetData sheetId="917"/>
      <sheetData sheetId="918"/>
      <sheetData sheetId="919"/>
      <sheetData sheetId="920"/>
      <sheetData sheetId="921"/>
      <sheetData sheetId="922"/>
      <sheetData sheetId="923"/>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sheetData sheetId="932"/>
      <sheetData sheetId="933"/>
      <sheetData sheetId="934"/>
      <sheetData sheetId="935">
        <row r="2">
          <cell r="A2">
            <v>0</v>
          </cell>
        </row>
      </sheetData>
      <sheetData sheetId="936">
        <row r="2">
          <cell r="A2">
            <v>0</v>
          </cell>
        </row>
      </sheetData>
      <sheetData sheetId="937">
        <row r="2">
          <cell r="A2">
            <v>0</v>
          </cell>
        </row>
      </sheetData>
      <sheetData sheetId="938"/>
      <sheetData sheetId="939">
        <row r="2">
          <cell r="A2">
            <v>0</v>
          </cell>
        </row>
      </sheetData>
      <sheetData sheetId="940">
        <row r="2">
          <cell r="A2">
            <v>0</v>
          </cell>
        </row>
      </sheetData>
      <sheetData sheetId="941">
        <row r="2">
          <cell r="A2">
            <v>0</v>
          </cell>
        </row>
      </sheetData>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ow r="2">
          <cell r="A2">
            <v>0</v>
          </cell>
        </row>
      </sheetData>
      <sheetData sheetId="956">
        <row r="2">
          <cell r="A2">
            <v>0</v>
          </cell>
        </row>
      </sheetData>
      <sheetData sheetId="957"/>
      <sheetData sheetId="958">
        <row r="2">
          <cell r="A2">
            <v>0</v>
          </cell>
        </row>
      </sheetData>
      <sheetData sheetId="959">
        <row r="2">
          <cell r="A2">
            <v>0</v>
          </cell>
        </row>
      </sheetData>
      <sheetData sheetId="960">
        <row r="2">
          <cell r="A2">
            <v>0</v>
          </cell>
        </row>
      </sheetData>
      <sheetData sheetId="961"/>
      <sheetData sheetId="962">
        <row r="2">
          <cell r="A2">
            <v>0</v>
          </cell>
        </row>
      </sheetData>
      <sheetData sheetId="963">
        <row r="2">
          <cell r="A2">
            <v>0</v>
          </cell>
        </row>
      </sheetData>
      <sheetData sheetId="964">
        <row r="2">
          <cell r="A2">
            <v>0</v>
          </cell>
        </row>
      </sheetData>
      <sheetData sheetId="965">
        <row r="2">
          <cell r="A2">
            <v>0</v>
          </cell>
        </row>
      </sheetData>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sheetData sheetId="1037"/>
      <sheetData sheetId="1038"/>
      <sheetData sheetId="1039"/>
      <sheetData sheetId="1040" refreshError="1"/>
      <sheetData sheetId="1041"/>
      <sheetData sheetId="1042"/>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row>
        <row r="4">
          <cell r="D4">
            <v>0</v>
          </cell>
          <cell r="E4">
            <v>0</v>
          </cell>
          <cell r="F4">
            <v>0</v>
          </cell>
          <cell r="G4" t="str">
            <v>VR UNITARIO</v>
          </cell>
          <cell r="H4">
            <v>0</v>
          </cell>
          <cell r="I4">
            <v>0</v>
          </cell>
          <cell r="J4">
            <v>0</v>
          </cell>
          <cell r="K4">
            <v>0</v>
          </cell>
          <cell r="L4">
            <v>0</v>
          </cell>
          <cell r="M4">
            <v>0</v>
          </cell>
          <cell r="N4" t="str">
            <v>CANT TOTAL</v>
          </cell>
          <cell r="O4" t="str">
            <v>SUBTOTAL</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row>
        <row r="12">
          <cell r="D12" t="str">
            <v>02</v>
          </cell>
          <cell r="E12" t="str">
            <v>RETIROS Y DEMOLICIONES</v>
          </cell>
          <cell r="F12">
            <v>0</v>
          </cell>
          <cell r="G12">
            <v>0</v>
          </cell>
          <cell r="H12">
            <v>0</v>
          </cell>
          <cell r="I12">
            <v>0</v>
          </cell>
          <cell r="J12">
            <v>0</v>
          </cell>
          <cell r="K12">
            <v>0</v>
          </cell>
          <cell r="L12">
            <v>0</v>
          </cell>
          <cell r="M12">
            <v>0</v>
          </cell>
          <cell r="N12">
            <v>0</v>
          </cell>
          <cell r="O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row>
        <row r="14">
          <cell r="D14" t="str">
            <v>02-02</v>
          </cell>
          <cell r="E14" t="str">
            <v>DEMOLICIONES</v>
          </cell>
          <cell r="F14">
            <v>0</v>
          </cell>
          <cell r="G14">
            <v>0</v>
          </cell>
          <cell r="H14">
            <v>0</v>
          </cell>
          <cell r="I14">
            <v>0</v>
          </cell>
          <cell r="J14">
            <v>0</v>
          </cell>
          <cell r="K14">
            <v>0</v>
          </cell>
          <cell r="L14">
            <v>0</v>
          </cell>
          <cell r="M14">
            <v>0</v>
          </cell>
          <cell r="N14">
            <v>0</v>
          </cell>
          <cell r="O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row>
        <row r="66">
          <cell r="D66" t="str">
            <v>08-02</v>
          </cell>
          <cell r="E66" t="str">
            <v>CIELO FALSO</v>
          </cell>
          <cell r="F66">
            <v>0</v>
          </cell>
          <cell r="G66">
            <v>0</v>
          </cell>
          <cell r="H66">
            <v>0</v>
          </cell>
          <cell r="I66">
            <v>0</v>
          </cell>
          <cell r="J66">
            <v>0</v>
          </cell>
          <cell r="K66">
            <v>0</v>
          </cell>
          <cell r="L66">
            <v>0</v>
          </cell>
          <cell r="M66">
            <v>0</v>
          </cell>
          <cell r="N66">
            <v>0</v>
          </cell>
          <cell r="O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row>
        <row r="89">
          <cell r="D89" t="str">
            <v>11-01</v>
          </cell>
          <cell r="E89" t="str">
            <v>VENTANAS</v>
          </cell>
          <cell r="F89">
            <v>0</v>
          </cell>
          <cell r="G89">
            <v>0</v>
          </cell>
          <cell r="H89">
            <v>0</v>
          </cell>
          <cell r="I89">
            <v>0</v>
          </cell>
          <cell r="J89">
            <v>0</v>
          </cell>
          <cell r="K89">
            <v>0</v>
          </cell>
          <cell r="L89">
            <v>0</v>
          </cell>
          <cell r="M89">
            <v>0</v>
          </cell>
          <cell r="N89">
            <v>0</v>
          </cell>
          <cell r="O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row>
        <row r="201">
          <cell r="D201">
            <v>0</v>
          </cell>
          <cell r="E201">
            <v>0</v>
          </cell>
          <cell r="F201">
            <v>0</v>
          </cell>
          <cell r="G201">
            <v>0</v>
          </cell>
          <cell r="H201">
            <v>0</v>
          </cell>
          <cell r="I201">
            <v>0</v>
          </cell>
          <cell r="J201">
            <v>0</v>
          </cell>
          <cell r="K201">
            <v>0</v>
          </cell>
          <cell r="L201">
            <v>0</v>
          </cell>
          <cell r="M201">
            <v>0</v>
          </cell>
          <cell r="N201">
            <v>0</v>
          </cell>
          <cell r="O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row>
        <row r="205">
          <cell r="D205">
            <v>0</v>
          </cell>
          <cell r="E205">
            <v>0</v>
          </cell>
          <cell r="F205">
            <v>0</v>
          </cell>
          <cell r="G205">
            <v>0</v>
          </cell>
          <cell r="H205">
            <v>0</v>
          </cell>
          <cell r="I205">
            <v>0</v>
          </cell>
          <cell r="J205">
            <v>0</v>
          </cell>
          <cell r="K205">
            <v>0</v>
          </cell>
          <cell r="L205">
            <v>0</v>
          </cell>
          <cell r="M205">
            <v>0</v>
          </cell>
          <cell r="N205">
            <v>0</v>
          </cell>
          <cell r="O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row>
        <row r="207">
          <cell r="D207">
            <v>0</v>
          </cell>
          <cell r="E207" t="str">
            <v>TUBERÍA</v>
          </cell>
          <cell r="F207">
            <v>0</v>
          </cell>
          <cell r="G207">
            <v>0</v>
          </cell>
          <cell r="H207">
            <v>0</v>
          </cell>
          <cell r="I207">
            <v>0</v>
          </cell>
          <cell r="J207">
            <v>0</v>
          </cell>
          <cell r="K207">
            <v>0</v>
          </cell>
          <cell r="L207">
            <v>0</v>
          </cell>
          <cell r="M207">
            <v>0</v>
          </cell>
          <cell r="N207">
            <v>0</v>
          </cell>
          <cell r="O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row>
        <row r="215">
          <cell r="D215">
            <v>0</v>
          </cell>
          <cell r="E215">
            <v>0</v>
          </cell>
          <cell r="F215">
            <v>0</v>
          </cell>
          <cell r="G215">
            <v>0</v>
          </cell>
          <cell r="H215">
            <v>0</v>
          </cell>
          <cell r="I215">
            <v>0</v>
          </cell>
          <cell r="J215">
            <v>0</v>
          </cell>
          <cell r="K215">
            <v>0</v>
          </cell>
          <cell r="L215">
            <v>0</v>
          </cell>
          <cell r="M215">
            <v>0</v>
          </cell>
          <cell r="N215">
            <v>0</v>
          </cell>
          <cell r="O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row>
        <row r="220">
          <cell r="D220">
            <v>0</v>
          </cell>
          <cell r="E220">
            <v>0</v>
          </cell>
          <cell r="F220">
            <v>0</v>
          </cell>
          <cell r="G220">
            <v>0</v>
          </cell>
          <cell r="H220">
            <v>0</v>
          </cell>
          <cell r="I220">
            <v>0</v>
          </cell>
          <cell r="J220">
            <v>0</v>
          </cell>
          <cell r="K220">
            <v>0</v>
          </cell>
          <cell r="L220">
            <v>0</v>
          </cell>
          <cell r="M220">
            <v>0</v>
          </cell>
          <cell r="N220">
            <v>0</v>
          </cell>
          <cell r="O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row>
        <row r="242">
          <cell r="D242">
            <v>0</v>
          </cell>
          <cell r="E242">
            <v>0</v>
          </cell>
          <cell r="F242">
            <v>0</v>
          </cell>
          <cell r="G242">
            <v>0</v>
          </cell>
          <cell r="H242">
            <v>0</v>
          </cell>
          <cell r="I242">
            <v>0</v>
          </cell>
          <cell r="J242">
            <v>0</v>
          </cell>
          <cell r="K242">
            <v>0</v>
          </cell>
          <cell r="L242">
            <v>0</v>
          </cell>
          <cell r="M242">
            <v>0</v>
          </cell>
          <cell r="N242">
            <v>0</v>
          </cell>
          <cell r="O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row>
        <row r="255">
          <cell r="D255">
            <v>0</v>
          </cell>
          <cell r="E255">
            <v>0</v>
          </cell>
          <cell r="F255">
            <v>0</v>
          </cell>
          <cell r="G255">
            <v>0</v>
          </cell>
          <cell r="H255">
            <v>0</v>
          </cell>
          <cell r="I255">
            <v>0</v>
          </cell>
          <cell r="J255">
            <v>0</v>
          </cell>
          <cell r="K255">
            <v>0</v>
          </cell>
          <cell r="L255">
            <v>0</v>
          </cell>
          <cell r="M255">
            <v>0</v>
          </cell>
          <cell r="N255">
            <v>0</v>
          </cell>
          <cell r="O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row>
        <row r="262">
          <cell r="D262">
            <v>0</v>
          </cell>
          <cell r="E262">
            <v>0</v>
          </cell>
          <cell r="F262">
            <v>0</v>
          </cell>
          <cell r="G262">
            <v>0</v>
          </cell>
          <cell r="H262">
            <v>0</v>
          </cell>
          <cell r="I262">
            <v>0</v>
          </cell>
          <cell r="J262">
            <v>0</v>
          </cell>
          <cell r="K262">
            <v>0</v>
          </cell>
          <cell r="L262">
            <v>0</v>
          </cell>
          <cell r="M262">
            <v>0</v>
          </cell>
          <cell r="N262">
            <v>0</v>
          </cell>
          <cell r="O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row>
        <row r="266">
          <cell r="D266">
            <v>0</v>
          </cell>
          <cell r="E266">
            <v>0</v>
          </cell>
          <cell r="F266">
            <v>0</v>
          </cell>
          <cell r="G266">
            <v>0</v>
          </cell>
          <cell r="H266">
            <v>0</v>
          </cell>
          <cell r="I266">
            <v>0</v>
          </cell>
          <cell r="J266">
            <v>0</v>
          </cell>
          <cell r="K266">
            <v>0</v>
          </cell>
          <cell r="L266">
            <v>0</v>
          </cell>
          <cell r="M266">
            <v>0</v>
          </cell>
          <cell r="N266">
            <v>0</v>
          </cell>
          <cell r="O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row>
        <row r="276">
          <cell r="D276">
            <v>0</v>
          </cell>
          <cell r="E276">
            <v>0</v>
          </cell>
          <cell r="F276">
            <v>0</v>
          </cell>
          <cell r="G276">
            <v>0</v>
          </cell>
          <cell r="H276">
            <v>0</v>
          </cell>
          <cell r="I276">
            <v>0</v>
          </cell>
          <cell r="J276">
            <v>0</v>
          </cell>
          <cell r="K276">
            <v>0</v>
          </cell>
          <cell r="L276">
            <v>0</v>
          </cell>
          <cell r="M276">
            <v>0</v>
          </cell>
          <cell r="N276">
            <v>0</v>
          </cell>
          <cell r="O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row>
        <row r="282">
          <cell r="D282">
            <v>0</v>
          </cell>
          <cell r="E282">
            <v>0</v>
          </cell>
          <cell r="F282">
            <v>0</v>
          </cell>
          <cell r="G282">
            <v>0</v>
          </cell>
          <cell r="H282">
            <v>0</v>
          </cell>
          <cell r="I282">
            <v>0</v>
          </cell>
          <cell r="J282">
            <v>0</v>
          </cell>
          <cell r="K282">
            <v>0</v>
          </cell>
          <cell r="L282">
            <v>0</v>
          </cell>
          <cell r="M282">
            <v>0</v>
          </cell>
          <cell r="N282">
            <v>0</v>
          </cell>
          <cell r="O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row>
        <row r="290">
          <cell r="D290">
            <v>0</v>
          </cell>
          <cell r="E290">
            <v>0</v>
          </cell>
          <cell r="F290">
            <v>0</v>
          </cell>
          <cell r="G290">
            <v>0</v>
          </cell>
          <cell r="H290">
            <v>0</v>
          </cell>
          <cell r="I290">
            <v>0</v>
          </cell>
          <cell r="J290">
            <v>0</v>
          </cell>
          <cell r="K290">
            <v>0</v>
          </cell>
          <cell r="L290">
            <v>0</v>
          </cell>
          <cell r="M290">
            <v>0</v>
          </cell>
          <cell r="N290">
            <v>0</v>
          </cell>
          <cell r="O290">
            <v>0</v>
          </cell>
        </row>
        <row r="291">
          <cell r="D291">
            <v>0</v>
          </cell>
          <cell r="E291">
            <v>0</v>
          </cell>
          <cell r="F291">
            <v>0</v>
          </cell>
          <cell r="G291">
            <v>0</v>
          </cell>
          <cell r="H291">
            <v>0</v>
          </cell>
          <cell r="I291">
            <v>0</v>
          </cell>
          <cell r="J291">
            <v>0</v>
          </cell>
          <cell r="K291">
            <v>0</v>
          </cell>
          <cell r="L291">
            <v>0</v>
          </cell>
          <cell r="M291">
            <v>0</v>
          </cell>
          <cell r="N291">
            <v>0</v>
          </cell>
          <cell r="O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row>
        <row r="303">
          <cell r="D303">
            <v>0</v>
          </cell>
          <cell r="E303">
            <v>0</v>
          </cell>
          <cell r="F303">
            <v>0</v>
          </cell>
          <cell r="G303">
            <v>0</v>
          </cell>
          <cell r="H303">
            <v>0</v>
          </cell>
          <cell r="I303">
            <v>0</v>
          </cell>
          <cell r="J303">
            <v>0</v>
          </cell>
          <cell r="K303">
            <v>0</v>
          </cell>
          <cell r="L303">
            <v>0</v>
          </cell>
          <cell r="M303">
            <v>0</v>
          </cell>
          <cell r="N303">
            <v>0</v>
          </cell>
          <cell r="O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row>
        <row r="324">
          <cell r="D324">
            <v>0</v>
          </cell>
          <cell r="E324">
            <v>0</v>
          </cell>
          <cell r="F324">
            <v>0</v>
          </cell>
          <cell r="G324">
            <v>0</v>
          </cell>
          <cell r="H324">
            <v>0</v>
          </cell>
          <cell r="I324">
            <v>0</v>
          </cell>
          <cell r="J324">
            <v>0</v>
          </cell>
          <cell r="K324">
            <v>0</v>
          </cell>
          <cell r="L324">
            <v>0</v>
          </cell>
          <cell r="M324">
            <v>0</v>
          </cell>
          <cell r="N324">
            <v>0</v>
          </cell>
          <cell r="O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row>
        <row r="335">
          <cell r="H335">
            <v>0</v>
          </cell>
          <cell r="I335">
            <v>0</v>
          </cell>
          <cell r="J335">
            <v>0</v>
          </cell>
          <cell r="K335">
            <v>0</v>
          </cell>
          <cell r="L335">
            <v>0</v>
          </cell>
          <cell r="M335">
            <v>0</v>
          </cell>
          <cell r="N335">
            <v>0</v>
          </cell>
          <cell r="O335">
            <v>0</v>
          </cell>
        </row>
        <row r="339">
          <cell r="M339">
            <v>134714098.63487312</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1">
          <cell r="E1">
            <v>866130091.93409562</v>
          </cell>
        </row>
      </sheetData>
      <sheetData sheetId="17"/>
      <sheetData sheetId="18"/>
      <sheetData sheetId="19">
        <row r="1">
          <cell r="D1" t="str">
            <v>CODIGO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E1">
            <v>866130091.93409562</v>
          </cell>
        </row>
      </sheetData>
      <sheetData sheetId="60"/>
      <sheetData sheetId="61"/>
      <sheetData sheetId="62">
        <row r="1">
          <cell r="D1" t="str">
            <v>CODIGO</v>
          </cell>
        </row>
      </sheetData>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Y RECURSOS"/>
      <sheetName val="FORMULARIO DE PRECIOS UNITARIOS"/>
      <sheetName val="1,01"/>
      <sheetName val="1,02"/>
      <sheetName val="1,03"/>
      <sheetName val="1,04"/>
      <sheetName val="1,05"/>
      <sheetName val="1,06"/>
      <sheetName val="1,07"/>
      <sheetName val="1,08"/>
      <sheetName val="2,01"/>
      <sheetName val="2,02"/>
      <sheetName val="2,03"/>
      <sheetName val="2,04"/>
      <sheetName val="2,05"/>
      <sheetName val="3,01"/>
      <sheetName val="3,02"/>
      <sheetName val="4,01"/>
      <sheetName val="4,03"/>
    </sheetNames>
    <sheetDataSet>
      <sheetData sheetId="0">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0</v>
          </cell>
          <cell r="D6">
            <v>2120</v>
          </cell>
          <cell r="E6">
            <v>402.8</v>
          </cell>
          <cell r="F6">
            <v>2522.8000000000002</v>
          </cell>
          <cell r="G6">
            <v>0</v>
          </cell>
        </row>
        <row r="7">
          <cell r="B7" t="str">
            <v>Accesorios tuberia PVC de 3/4 " y 1"</v>
          </cell>
          <cell r="C7">
            <v>0</v>
          </cell>
          <cell r="D7">
            <v>636</v>
          </cell>
          <cell r="E7">
            <v>120.84</v>
          </cell>
          <cell r="F7">
            <v>756.84</v>
          </cell>
          <cell r="G7">
            <v>0</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v>
          </cell>
          <cell r="D9">
            <v>1060</v>
          </cell>
          <cell r="E9">
            <v>201.4</v>
          </cell>
          <cell r="F9">
            <v>1261.4000000000001</v>
          </cell>
          <cell r="G9">
            <v>0</v>
          </cell>
        </row>
        <row r="10">
          <cell r="B10" t="str">
            <v>ACCESORIOS VARIOS SALIDAS ELECTRICAS (CINTA AISLASTE, AMARRAS PLASTICAS, ANILLOS).</v>
          </cell>
          <cell r="C10" t="str">
            <v>GB</v>
          </cell>
          <cell r="D10">
            <v>474.13793103448302</v>
          </cell>
          <cell r="E10">
            <v>90.086206896551772</v>
          </cell>
          <cell r="F10">
            <v>564.22413793103476</v>
          </cell>
          <cell r="G10">
            <v>0.1</v>
          </cell>
        </row>
        <row r="11">
          <cell r="B11" t="str">
            <v>Accesorios, correillas, conectores y marcaciones para alambres y cables en alimentadores</v>
          </cell>
          <cell r="C11" t="str">
            <v>GB</v>
          </cell>
          <cell r="D11">
            <v>4240</v>
          </cell>
          <cell r="E11">
            <v>805.6</v>
          </cell>
          <cell r="F11">
            <v>5045.6000000000004</v>
          </cell>
          <cell r="G11">
            <v>0</v>
          </cell>
        </row>
        <row r="12">
          <cell r="B12" t="str">
            <v>Arena, cemento, estuco, pintura para efectuar resanes.</v>
          </cell>
          <cell r="C12">
            <v>0</v>
          </cell>
          <cell r="D12">
            <v>24733.333333333332</v>
          </cell>
          <cell r="E12">
            <v>4699.333333333333</v>
          </cell>
          <cell r="F12">
            <v>29432.666666666664</v>
          </cell>
          <cell r="G12">
            <v>0</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0</v>
          </cell>
        </row>
        <row r="15">
          <cell r="B15" t="str">
            <v>Marcación anillos y  cinta adhesiva</v>
          </cell>
          <cell r="C15">
            <v>0</v>
          </cell>
          <cell r="D15">
            <v>1272</v>
          </cell>
          <cell r="E15">
            <v>241.68</v>
          </cell>
          <cell r="F15">
            <v>1513.68</v>
          </cell>
          <cell r="G15">
            <v>0</v>
          </cell>
        </row>
        <row r="16">
          <cell r="B16" t="str">
            <v xml:space="preserve">Marcaciones con cinta color naranja </v>
          </cell>
          <cell r="C16">
            <v>0</v>
          </cell>
          <cell r="D16">
            <v>106</v>
          </cell>
          <cell r="E16">
            <v>20.14</v>
          </cell>
          <cell r="F16">
            <v>126.14</v>
          </cell>
          <cell r="G16">
            <v>0</v>
          </cell>
        </row>
        <row r="17">
          <cell r="B17" t="str">
            <v>Marcaciones en plaquetas PVC de los cables de la acometida</v>
          </cell>
          <cell r="C17">
            <v>0</v>
          </cell>
          <cell r="D17">
            <v>5300</v>
          </cell>
          <cell r="E17">
            <v>1007</v>
          </cell>
          <cell r="F17">
            <v>6307</v>
          </cell>
          <cell r="G17">
            <v>0</v>
          </cell>
        </row>
        <row r="18">
          <cell r="B18" t="str">
            <v>Marcaciones generales en placas PVC, cinta adhesiva con impresora térmica y anillos de marcación.</v>
          </cell>
          <cell r="C18">
            <v>0</v>
          </cell>
          <cell r="D18">
            <v>84800</v>
          </cell>
          <cell r="E18">
            <v>16112</v>
          </cell>
          <cell r="F18">
            <v>100912</v>
          </cell>
          <cell r="G18">
            <v>0</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0</v>
          </cell>
          <cell r="D20">
            <v>21200</v>
          </cell>
          <cell r="E20">
            <v>4028</v>
          </cell>
          <cell r="F20">
            <v>25228</v>
          </cell>
          <cell r="G20">
            <v>0</v>
          </cell>
        </row>
        <row r="21">
          <cell r="B21" t="str">
            <v>Obra civil instalación tablero 36 circuitos.</v>
          </cell>
          <cell r="C21">
            <v>0</v>
          </cell>
          <cell r="D21">
            <v>21200</v>
          </cell>
          <cell r="E21">
            <v>4028</v>
          </cell>
          <cell r="F21">
            <v>25228</v>
          </cell>
          <cell r="G21">
            <v>0.05</v>
          </cell>
        </row>
        <row r="22">
          <cell r="B22" t="str">
            <v>Brecha, llenos, baldosa y acabados.</v>
          </cell>
          <cell r="C22">
            <v>0</v>
          </cell>
          <cell r="D22">
            <v>63600</v>
          </cell>
          <cell r="E22">
            <v>12084</v>
          </cell>
          <cell r="F22">
            <v>75684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0</v>
          </cell>
          <cell r="D74">
            <v>28134.122500000005</v>
          </cell>
          <cell r="E74">
            <v>5345.4832750000014</v>
          </cell>
          <cell r="F74">
            <v>33479.605775000004</v>
          </cell>
          <cell r="G74">
            <v>0</v>
          </cell>
        </row>
        <row r="75">
          <cell r="B75" t="str">
            <v>TAPA P/BANDEJA TBPG10C20I  INFERIOR</v>
          </cell>
          <cell r="C75">
            <v>0</v>
          </cell>
          <cell r="D75">
            <v>28134.122500000005</v>
          </cell>
          <cell r="E75">
            <v>5345.4832750000014</v>
          </cell>
          <cell r="F75">
            <v>33479.605775000004</v>
          </cell>
          <cell r="G75">
            <v>0</v>
          </cell>
        </row>
        <row r="76">
          <cell r="B76" t="str">
            <v>TAPA P/BANDEJA TBPG20C20   SUPERIOR</v>
          </cell>
          <cell r="C76">
            <v>0</v>
          </cell>
          <cell r="D76">
            <v>43816.822500000017</v>
          </cell>
          <cell r="E76">
            <v>8325.1962750000039</v>
          </cell>
          <cell r="F76">
            <v>52142.018775000019</v>
          </cell>
          <cell r="G76">
            <v>0</v>
          </cell>
        </row>
        <row r="77">
          <cell r="B77" t="str">
            <v>TAPA P/BANDEJA TBPG20C20I  INFERIOR</v>
          </cell>
          <cell r="C77">
            <v>0</v>
          </cell>
          <cell r="D77">
            <v>43816.822500000017</v>
          </cell>
          <cell r="E77">
            <v>8325.1962750000039</v>
          </cell>
          <cell r="F77">
            <v>52142.018775000019</v>
          </cell>
          <cell r="G77">
            <v>0</v>
          </cell>
        </row>
        <row r="78">
          <cell r="B78" t="str">
            <v>TAPA P/BANDEJA TBPG30C20   SUPERIOR</v>
          </cell>
          <cell r="C78">
            <v>0</v>
          </cell>
          <cell r="D78">
            <v>63166.592500000013</v>
          </cell>
          <cell r="E78">
            <v>12001.652575000002</v>
          </cell>
          <cell r="F78">
            <v>75168.245075000013</v>
          </cell>
          <cell r="G78">
            <v>0</v>
          </cell>
        </row>
        <row r="79">
          <cell r="B79" t="str">
            <v>TAPA P/BANDEJA TBPG30C20I  INFERIOR</v>
          </cell>
          <cell r="C79">
            <v>0</v>
          </cell>
          <cell r="D79">
            <v>63166.592500000013</v>
          </cell>
          <cell r="E79">
            <v>12001.652575000002</v>
          </cell>
          <cell r="F79">
            <v>75168.245075000013</v>
          </cell>
          <cell r="G79">
            <v>0</v>
          </cell>
        </row>
        <row r="80">
          <cell r="B80" t="str">
            <v>TAPA P/BANDEJA TBPG40C20   SUPERIOR</v>
          </cell>
          <cell r="C80">
            <v>0</v>
          </cell>
          <cell r="D80">
            <v>82226.320000000036</v>
          </cell>
          <cell r="E80">
            <v>15623.000800000007</v>
          </cell>
          <cell r="F80">
            <v>97849.320800000045</v>
          </cell>
          <cell r="G80">
            <v>0</v>
          </cell>
        </row>
        <row r="81">
          <cell r="B81" t="str">
            <v>TAPA P/BANDEJA TBPG40C20I  INFERIOR</v>
          </cell>
          <cell r="C81">
            <v>0</v>
          </cell>
          <cell r="D81">
            <v>82226.320000000036</v>
          </cell>
          <cell r="E81">
            <v>15623.000800000007</v>
          </cell>
          <cell r="F81">
            <v>97849.320800000045</v>
          </cell>
          <cell r="G81">
            <v>0</v>
          </cell>
        </row>
        <row r="82">
          <cell r="B82" t="str">
            <v>TAPA P/BANDEJA TBPG60C20   SUPERIOR</v>
          </cell>
          <cell r="C82">
            <v>0</v>
          </cell>
          <cell r="D82">
            <v>109327.07500000001</v>
          </cell>
          <cell r="E82">
            <v>20772.144250000001</v>
          </cell>
          <cell r="F82">
            <v>130099.21925000001</v>
          </cell>
          <cell r="G82">
            <v>0</v>
          </cell>
        </row>
        <row r="83">
          <cell r="B83" t="str">
            <v>CANALETA 12x5CM x2.4m</v>
          </cell>
          <cell r="C83" t="str">
            <v>ML</v>
          </cell>
          <cell r="D83">
            <v>61842</v>
          </cell>
          <cell r="E83">
            <v>11749.98</v>
          </cell>
          <cell r="F83">
            <v>73591.98</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0</v>
          </cell>
          <cell r="D86">
            <v>21200</v>
          </cell>
          <cell r="E86">
            <v>4028</v>
          </cell>
          <cell r="F86">
            <v>25228</v>
          </cell>
          <cell r="G86">
            <v>0</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4081.6206896551698</v>
          </cell>
          <cell r="E95">
            <v>775.50793103448223</v>
          </cell>
          <cell r="F95">
            <v>4857.1286206896521</v>
          </cell>
          <cell r="G95">
            <v>0.159</v>
          </cell>
        </row>
        <row r="96">
          <cell r="B96" t="str">
            <v>SOPORTE PELDAÑO 20cm</v>
          </cell>
          <cell r="C96" t="str">
            <v>UN</v>
          </cell>
          <cell r="D96">
            <v>4964.3448275862102</v>
          </cell>
          <cell r="E96">
            <v>943.22551724137998</v>
          </cell>
          <cell r="F96">
            <v>5907.5703448275899</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v>
          </cell>
          <cell r="D101">
            <v>12720</v>
          </cell>
          <cell r="E101">
            <v>2416.8000000000002</v>
          </cell>
          <cell r="F101">
            <v>15136.8</v>
          </cell>
          <cell r="G101">
            <v>0.5</v>
          </cell>
        </row>
        <row r="102">
          <cell r="B102" t="str">
            <v>Reducción 20x5cm a 12x5cm</v>
          </cell>
          <cell r="C102" t="str">
            <v>Un</v>
          </cell>
          <cell r="D102">
            <v>37000</v>
          </cell>
          <cell r="E102">
            <v>7030</v>
          </cell>
          <cell r="F102">
            <v>44030</v>
          </cell>
          <cell r="G102">
            <v>0.5</v>
          </cell>
        </row>
        <row r="103">
          <cell r="B103" t="str">
            <v xml:space="preserve">CABLEADO </v>
          </cell>
          <cell r="C103">
            <v>0</v>
          </cell>
          <cell r="D103">
            <v>0</v>
          </cell>
          <cell r="E103">
            <v>0</v>
          </cell>
          <cell r="F103">
            <v>0</v>
          </cell>
          <cell r="G103">
            <v>0</v>
          </cell>
        </row>
        <row r="104">
          <cell r="B104" t="str">
            <v>ALAMBRE THHN-THWN 12</v>
          </cell>
          <cell r="C104" t="str">
            <v>ML</v>
          </cell>
          <cell r="D104">
            <v>798.87657142857142</v>
          </cell>
          <cell r="E104">
            <v>151.78654857142857</v>
          </cell>
          <cell r="F104">
            <v>950.66311999999994</v>
          </cell>
          <cell r="G104">
            <v>3.6999999999999998E-2</v>
          </cell>
        </row>
        <row r="105">
          <cell r="B105" t="str">
            <v>ALAMBRE THHN-THWN 14</v>
          </cell>
          <cell r="C105" t="str">
            <v>ML</v>
          </cell>
          <cell r="D105">
            <v>554.3497142857143</v>
          </cell>
          <cell r="E105">
            <v>105.32644571428571</v>
          </cell>
          <cell r="F105">
            <v>659.67615999999998</v>
          </cell>
          <cell r="G105">
            <v>3.5000000000000003E-2</v>
          </cell>
        </row>
        <row r="106">
          <cell r="B106" t="str">
            <v>ALAMBRE THHN-THWN 10</v>
          </cell>
          <cell r="C106" t="str">
            <v>ML</v>
          </cell>
          <cell r="D106">
            <v>1284.5988571428572</v>
          </cell>
          <cell r="E106">
            <v>244.07378285714287</v>
          </cell>
          <cell r="F106">
            <v>1528.6726400000002</v>
          </cell>
          <cell r="G106">
            <v>5.8999999999999997E-2</v>
          </cell>
        </row>
        <row r="107">
          <cell r="B107" t="str">
            <v>ALAMBRE THHN-THWN 8</v>
          </cell>
          <cell r="C107" t="str">
            <v>ML</v>
          </cell>
          <cell r="D107">
            <v>2045.4971428571432</v>
          </cell>
          <cell r="E107">
            <v>388.64445714285722</v>
          </cell>
          <cell r="F107">
            <v>2434.1416000000004</v>
          </cell>
          <cell r="G107">
            <v>9.5000000000000001E-2</v>
          </cell>
        </row>
        <row r="108">
          <cell r="B108" t="str">
            <v>Alambrón de aluminio de 8mm de diámetro</v>
          </cell>
          <cell r="C108" t="str">
            <v>ML</v>
          </cell>
          <cell r="D108">
            <v>2173.2019047619046</v>
          </cell>
          <cell r="E108">
            <v>412.90836190476188</v>
          </cell>
          <cell r="F108">
            <v>2586.1102666666666</v>
          </cell>
          <cell r="G108">
            <v>3.6999999999999998E-2</v>
          </cell>
        </row>
        <row r="109">
          <cell r="B109" t="str">
            <v>Alambre Guía Galvanizado Cal. 14</v>
          </cell>
          <cell r="C109" t="str">
            <v>ML</v>
          </cell>
          <cell r="D109">
            <v>103.38916256157637</v>
          </cell>
          <cell r="E109">
            <v>19.643940886699511</v>
          </cell>
          <cell r="F109">
            <v>123.03310344827588</v>
          </cell>
          <cell r="G109">
            <v>2.7439999999999999E-2</v>
          </cell>
        </row>
        <row r="110">
          <cell r="B110" t="str">
            <v>ALAMBRE DESNUDO No. 12AWG</v>
          </cell>
          <cell r="C110" t="str">
            <v>ML</v>
          </cell>
          <cell r="D110">
            <v>754.90171428571421</v>
          </cell>
          <cell r="E110">
            <v>143.43132571428569</v>
          </cell>
          <cell r="F110">
            <v>898.33303999999987</v>
          </cell>
          <cell r="G110">
            <v>2.9399999999999999E-2</v>
          </cell>
        </row>
        <row r="111">
          <cell r="B111" t="str">
            <v>CABLE DESNUDO No. 8AWG</v>
          </cell>
          <cell r="C111" t="str">
            <v>ML</v>
          </cell>
          <cell r="D111">
            <v>2171.4251428571433</v>
          </cell>
          <cell r="E111">
            <v>412.57077714285725</v>
          </cell>
          <cell r="F111">
            <v>2583.9959200000008</v>
          </cell>
          <cell r="G111">
            <v>7.5900000000000009E-2</v>
          </cell>
        </row>
        <row r="112">
          <cell r="B112" t="str">
            <v>Cable desnudo cobre N°6 AWG</v>
          </cell>
          <cell r="C112" t="str">
            <v>ML</v>
          </cell>
          <cell r="D112">
            <v>3356.0811428571433</v>
          </cell>
          <cell r="E112">
            <v>637.65541714285723</v>
          </cell>
          <cell r="F112">
            <v>3993.7365600000003</v>
          </cell>
          <cell r="G112">
            <v>0.121</v>
          </cell>
        </row>
        <row r="113">
          <cell r="B113" t="str">
            <v>CABLE DESNUDO No 4</v>
          </cell>
          <cell r="C113" t="str">
            <v>ML</v>
          </cell>
          <cell r="D113">
            <v>5166.3794285714284</v>
          </cell>
          <cell r="E113">
            <v>981.61209142857138</v>
          </cell>
          <cell r="F113">
            <v>6147.9915199999996</v>
          </cell>
          <cell r="G113">
            <v>0.192</v>
          </cell>
        </row>
        <row r="114">
          <cell r="B114" t="str">
            <v>CABLE DESNUDO No 2</v>
          </cell>
          <cell r="C114" t="str">
            <v>ML</v>
          </cell>
          <cell r="D114">
            <v>8312.5805714285707</v>
          </cell>
          <cell r="E114">
            <v>1579.3903085714285</v>
          </cell>
          <cell r="F114">
            <v>9891.9708799999989</v>
          </cell>
          <cell r="G114">
            <v>0.31</v>
          </cell>
        </row>
        <row r="115">
          <cell r="B115" t="str">
            <v>CABLE DESNUDO 1/0</v>
          </cell>
          <cell r="C115" t="str">
            <v>ML</v>
          </cell>
          <cell r="D115">
            <v>13003.898285714286</v>
          </cell>
          <cell r="E115">
            <v>2470.7406742857142</v>
          </cell>
          <cell r="F115">
            <v>15474.63896</v>
          </cell>
          <cell r="G115">
            <v>0.49</v>
          </cell>
        </row>
        <row r="116">
          <cell r="B116" t="str">
            <v>CABLE DESNUDO 2/0</v>
          </cell>
          <cell r="C116" t="str">
            <v>ML</v>
          </cell>
          <cell r="D116">
            <v>16431.938285714288</v>
          </cell>
          <cell r="E116">
            <v>3122.0682742857148</v>
          </cell>
          <cell r="F116">
            <v>19554.006560000002</v>
          </cell>
          <cell r="G116">
            <v>0.62</v>
          </cell>
        </row>
        <row r="117">
          <cell r="B117" t="str">
            <v>CABLE DESNUDO 4/0</v>
          </cell>
          <cell r="C117" t="str">
            <v>ML</v>
          </cell>
          <cell r="D117">
            <v>25749.277714285716</v>
          </cell>
          <cell r="E117">
            <v>4892.3627657142861</v>
          </cell>
          <cell r="F117">
            <v>30641.640480000002</v>
          </cell>
          <cell r="G117">
            <v>0.97</v>
          </cell>
        </row>
        <row r="118">
          <cell r="B118" t="str">
            <v>CABLE ENCAUCHETADO ST-C 2x10</v>
          </cell>
          <cell r="C118" t="str">
            <v>ML</v>
          </cell>
          <cell r="D118">
            <v>4039.6902857142854</v>
          </cell>
          <cell r="E118">
            <v>767.54115428571424</v>
          </cell>
          <cell r="F118">
            <v>4807.2314399999996</v>
          </cell>
          <cell r="G118">
            <v>0.21</v>
          </cell>
        </row>
        <row r="119">
          <cell r="B119" t="str">
            <v>CABLE ENCAUCHETADO ST-C 2x12</v>
          </cell>
          <cell r="C119" t="str">
            <v>ML</v>
          </cell>
          <cell r="D119">
            <v>2994.954285714286</v>
          </cell>
          <cell r="E119">
            <v>569.04131428571429</v>
          </cell>
          <cell r="F119">
            <v>3563.9956000000002</v>
          </cell>
          <cell r="G119">
            <v>0.14299999999999999</v>
          </cell>
        </row>
        <row r="120">
          <cell r="B120" t="str">
            <v>CABLE ENCAUCHETADO ST-C 2x14</v>
          </cell>
          <cell r="C120" t="str">
            <v>ML</v>
          </cell>
          <cell r="D120">
            <v>2202.7405714285715</v>
          </cell>
          <cell r="E120">
            <v>418.5207085714286</v>
          </cell>
          <cell r="F120">
            <v>2621.2612800000002</v>
          </cell>
          <cell r="G120">
            <v>0.105</v>
          </cell>
        </row>
        <row r="121">
          <cell r="B121" t="str">
            <v>CABLE ENCAUCHETADO ST-C 2x16</v>
          </cell>
          <cell r="C121" t="str">
            <v>ML</v>
          </cell>
          <cell r="D121">
            <v>1386.5405714285716</v>
          </cell>
          <cell r="E121">
            <v>263.44270857142862</v>
          </cell>
          <cell r="F121">
            <v>1649.9832800000004</v>
          </cell>
          <cell r="G121">
            <v>0.1</v>
          </cell>
        </row>
        <row r="122">
          <cell r="B122" t="str">
            <v>CABLE ENCAUCHETADO ST-C 2x18</v>
          </cell>
          <cell r="C122" t="str">
            <v>ML</v>
          </cell>
          <cell r="D122">
            <v>1020.0834285714288</v>
          </cell>
          <cell r="E122">
            <v>193.81585142857148</v>
          </cell>
          <cell r="F122">
            <v>1213.8992800000003</v>
          </cell>
          <cell r="G122">
            <v>0.09</v>
          </cell>
        </row>
        <row r="123">
          <cell r="B123" t="str">
            <v>CABLE ENCAUCHETADO ST-C 3x8</v>
          </cell>
          <cell r="C123" t="str">
            <v>ML</v>
          </cell>
          <cell r="D123">
            <v>8426.5154285714289</v>
          </cell>
          <cell r="E123">
            <v>1601.0379314285715</v>
          </cell>
          <cell r="F123">
            <v>10027.55336</v>
          </cell>
          <cell r="G123">
            <v>0.443</v>
          </cell>
        </row>
        <row r="124">
          <cell r="B124" t="str">
            <v>CABLE ENCAUCHETADO ST-C 3x10</v>
          </cell>
          <cell r="C124" t="str">
            <v>ML</v>
          </cell>
          <cell r="D124">
            <v>7944</v>
          </cell>
          <cell r="E124">
            <v>1509.3600000000001</v>
          </cell>
          <cell r="F124">
            <v>9453.36</v>
          </cell>
          <cell r="G124">
            <v>0.26500000000000001</v>
          </cell>
        </row>
        <row r="125">
          <cell r="B125" t="str">
            <v>CABLE ENCAUCHETADO ST-C 3x12</v>
          </cell>
          <cell r="C125" t="str">
            <v>ML</v>
          </cell>
          <cell r="D125">
            <v>4860</v>
          </cell>
          <cell r="E125">
            <v>923.4</v>
          </cell>
          <cell r="F125">
            <v>5783.4</v>
          </cell>
          <cell r="G125">
            <v>0.25</v>
          </cell>
        </row>
        <row r="126">
          <cell r="B126" t="str">
            <v>CABLE ENCAUCHETADO ST-C 3x14</v>
          </cell>
          <cell r="C126" t="str">
            <v>ML</v>
          </cell>
          <cell r="D126">
            <v>2709.1177142857146</v>
          </cell>
          <cell r="E126">
            <v>514.73236571428572</v>
          </cell>
          <cell r="F126">
            <v>3223.8500800000002</v>
          </cell>
          <cell r="G126">
            <v>0.129</v>
          </cell>
        </row>
        <row r="127">
          <cell r="B127" t="str">
            <v>CABLE ENCAUCHETADO ST-C 3x16</v>
          </cell>
          <cell r="C127" t="str">
            <v>ML</v>
          </cell>
          <cell r="D127">
            <v>1804.3017142857143</v>
          </cell>
          <cell r="E127">
            <v>342.81732571428574</v>
          </cell>
          <cell r="F127">
            <v>2147.11904</v>
          </cell>
          <cell r="G127">
            <v>0.12</v>
          </cell>
        </row>
        <row r="128">
          <cell r="B128" t="str">
            <v>CABLE ENCAUCHETADO ST-C 3x18</v>
          </cell>
          <cell r="C128" t="str">
            <v>ML</v>
          </cell>
          <cell r="D128">
            <v>1386.5405714285716</v>
          </cell>
          <cell r="E128">
            <v>263.44270857142862</v>
          </cell>
          <cell r="F128">
            <v>1649.9832800000004</v>
          </cell>
          <cell r="G128">
            <v>0.12</v>
          </cell>
        </row>
        <row r="129">
          <cell r="B129" t="str">
            <v>CABLE ENCAUCHETADO ST-C 4x6</v>
          </cell>
          <cell r="C129" t="str">
            <v>ML</v>
          </cell>
          <cell r="D129">
            <v>17525.313142857143</v>
          </cell>
          <cell r="E129">
            <v>3329.8094971428573</v>
          </cell>
          <cell r="F129">
            <v>20855.122640000001</v>
          </cell>
          <cell r="G129">
            <v>0.78500000000000003</v>
          </cell>
        </row>
        <row r="130">
          <cell r="B130" t="str">
            <v>CABLE ENCAUCHETADO ST-C 4x8</v>
          </cell>
          <cell r="C130" t="str">
            <v>ML</v>
          </cell>
          <cell r="D130">
            <v>11284.214857142857</v>
          </cell>
          <cell r="E130">
            <v>2144.0008228571428</v>
          </cell>
          <cell r="F130">
            <v>13428.215679999999</v>
          </cell>
          <cell r="G130">
            <v>0.54800000000000004</v>
          </cell>
        </row>
        <row r="131">
          <cell r="B131" t="str">
            <v>CABLE ENCAUCHETADO ST-C 4x10</v>
          </cell>
          <cell r="C131" t="str">
            <v>ML</v>
          </cell>
          <cell r="D131">
            <v>6571.5760000000009</v>
          </cell>
          <cell r="E131">
            <v>1248.5994400000002</v>
          </cell>
          <cell r="F131">
            <v>7820.1754400000009</v>
          </cell>
          <cell r="G131">
            <v>0.33</v>
          </cell>
        </row>
        <row r="132">
          <cell r="B132" t="str">
            <v>CABLE ENCAUCHETADO ST-C 4x12</v>
          </cell>
          <cell r="C132" t="str">
            <v>ML</v>
          </cell>
          <cell r="D132">
            <v>4702.6445714285728</v>
          </cell>
          <cell r="E132">
            <v>893.50246857142884</v>
          </cell>
          <cell r="F132">
            <v>5596.1470400000017</v>
          </cell>
          <cell r="G132">
            <v>0.22</v>
          </cell>
        </row>
        <row r="133">
          <cell r="B133" t="str">
            <v>CABLE ENCAUCHETADO ST-C 4x14</v>
          </cell>
          <cell r="C133" t="str">
            <v>ML</v>
          </cell>
          <cell r="D133">
            <v>3254.1394285714287</v>
          </cell>
          <cell r="E133">
            <v>618.28649142857148</v>
          </cell>
          <cell r="F133">
            <v>3872.4259200000001</v>
          </cell>
          <cell r="G133">
            <v>0.157</v>
          </cell>
        </row>
        <row r="134">
          <cell r="B134" t="str">
            <v>CABLE ENCAUCHETADO ST-C 4x16</v>
          </cell>
          <cell r="C134" t="str">
            <v>ML</v>
          </cell>
          <cell r="D134">
            <v>2214.7337142857145</v>
          </cell>
          <cell r="E134">
            <v>420.79940571428574</v>
          </cell>
          <cell r="F134">
            <v>2635.5331200000001</v>
          </cell>
          <cell r="G134">
            <v>9.8000000000000004E-2</v>
          </cell>
        </row>
        <row r="135">
          <cell r="B135" t="str">
            <v>CABLE ENCAUCHETADO ST-C 4x18</v>
          </cell>
          <cell r="C135" t="str">
            <v>ML</v>
          </cell>
          <cell r="D135">
            <v>1762.992</v>
          </cell>
          <cell r="E135">
            <v>334.96848</v>
          </cell>
          <cell r="F135">
            <v>2097.9604799999997</v>
          </cell>
          <cell r="G135">
            <v>0.1</v>
          </cell>
        </row>
        <row r="136">
          <cell r="B136" t="str">
            <v>CABLE ENCAUCHETADO ST-C 5x10</v>
          </cell>
          <cell r="C136" t="str">
            <v>ML</v>
          </cell>
          <cell r="D136">
            <v>20359.137333333332</v>
          </cell>
          <cell r="E136">
            <v>3868.236093333333</v>
          </cell>
          <cell r="F136">
            <v>24227.373426666665</v>
          </cell>
          <cell r="G136">
            <v>0.41299999999999998</v>
          </cell>
        </row>
        <row r="137">
          <cell r="B137" t="str">
            <v>CABLE ENCAUCHETADO ST-C 5x12</v>
          </cell>
          <cell r="C137" t="str">
            <v>ML</v>
          </cell>
          <cell r="D137">
            <v>15084.930666666667</v>
          </cell>
          <cell r="E137">
            <v>2866.1368266666668</v>
          </cell>
          <cell r="F137">
            <v>17951.067493333336</v>
          </cell>
          <cell r="G137">
            <v>0.27500000000000002</v>
          </cell>
        </row>
        <row r="138">
          <cell r="B138" t="str">
            <v>CABLE ENCAUCHETADO ST-C 5x14</v>
          </cell>
          <cell r="C138" t="str">
            <v>ML</v>
          </cell>
          <cell r="D138">
            <v>6499</v>
          </cell>
          <cell r="E138">
            <v>1234.81</v>
          </cell>
          <cell r="F138">
            <v>7733.8099999999995</v>
          </cell>
          <cell r="G138">
            <v>0.27500000000000002</v>
          </cell>
        </row>
        <row r="139">
          <cell r="B139" t="str">
            <v>CABLE SINTOX 10</v>
          </cell>
          <cell r="C139">
            <v>0</v>
          </cell>
          <cell r="D139">
            <v>1670.378285714286</v>
          </cell>
          <cell r="E139">
            <v>317.37187428571434</v>
          </cell>
          <cell r="F139">
            <v>1987.7501600000003</v>
          </cell>
          <cell r="G139">
            <v>0.35599999999999998</v>
          </cell>
        </row>
        <row r="140">
          <cell r="B140" t="str">
            <v>CABLE SINTOX 12</v>
          </cell>
          <cell r="C140">
            <v>0</v>
          </cell>
          <cell r="D140">
            <v>1154.6731428571429</v>
          </cell>
          <cell r="E140">
            <v>219.38789714285716</v>
          </cell>
          <cell r="F140">
            <v>1374.06104</v>
          </cell>
          <cell r="G140">
            <v>0.35599999999999998</v>
          </cell>
        </row>
        <row r="141">
          <cell r="B141" t="str">
            <v>CABLE THHN-THWN 14</v>
          </cell>
          <cell r="C141" t="str">
            <v>ML</v>
          </cell>
          <cell r="D141">
            <v>1039</v>
          </cell>
          <cell r="E141">
            <v>197.41</v>
          </cell>
          <cell r="F141">
            <v>1236.4100000000001</v>
          </cell>
          <cell r="G141">
            <v>0.35599999999999998</v>
          </cell>
        </row>
        <row r="142">
          <cell r="B142" t="str">
            <v>CABLE THHN-THWN 12</v>
          </cell>
          <cell r="C142" t="str">
            <v>ML</v>
          </cell>
          <cell r="D142">
            <v>1350.06628571429</v>
          </cell>
          <cell r="E142">
            <v>256.51259428571507</v>
          </cell>
          <cell r="F142">
            <v>1606.578880000005</v>
          </cell>
          <cell r="G142">
            <v>0.25600000000000001</v>
          </cell>
        </row>
        <row r="143">
          <cell r="B143" t="str">
            <v>CABLE HFFR/LSHF 12</v>
          </cell>
          <cell r="C143" t="str">
            <v>ML</v>
          </cell>
          <cell r="D143">
            <v>1392</v>
          </cell>
          <cell r="E143">
            <v>264.48</v>
          </cell>
          <cell r="F143">
            <v>1656.48</v>
          </cell>
          <cell r="G143">
            <v>0.35599999999999998</v>
          </cell>
        </row>
        <row r="144">
          <cell r="B144" t="str">
            <v>CABLE THHN-THWN 10</v>
          </cell>
          <cell r="C144" t="str">
            <v>ML</v>
          </cell>
          <cell r="D144">
            <v>1918.4651428571401</v>
          </cell>
          <cell r="E144">
            <v>364.5083771428566</v>
          </cell>
          <cell r="F144">
            <v>2282.9735199999968</v>
          </cell>
          <cell r="G144">
            <v>5.8000000000000003E-2</v>
          </cell>
        </row>
        <row r="145">
          <cell r="B145" t="str">
            <v>CABLE HFFR/LSHF 10</v>
          </cell>
          <cell r="C145" t="str">
            <v>ML</v>
          </cell>
          <cell r="D145">
            <v>1392</v>
          </cell>
          <cell r="E145">
            <v>264.48</v>
          </cell>
          <cell r="F145">
            <v>1656.48</v>
          </cell>
          <cell r="G145">
            <v>0.35599999999999998</v>
          </cell>
        </row>
        <row r="146">
          <cell r="B146" t="str">
            <v>CABLE THHN-THWN 8</v>
          </cell>
          <cell r="C146" t="str">
            <v>ML</v>
          </cell>
          <cell r="D146">
            <v>2952.712</v>
          </cell>
          <cell r="E146">
            <v>561.01527999999996</v>
          </cell>
          <cell r="F146">
            <v>3513.7272800000001</v>
          </cell>
          <cell r="G146">
            <v>9.6000000000000002E-2</v>
          </cell>
        </row>
        <row r="147">
          <cell r="B147" t="str">
            <v>CABLE THHN-THWN 6</v>
          </cell>
          <cell r="C147" t="str">
            <v>ML</v>
          </cell>
          <cell r="D147">
            <v>4250</v>
          </cell>
          <cell r="E147">
            <v>807.5</v>
          </cell>
          <cell r="F147">
            <v>5057.5</v>
          </cell>
          <cell r="G147">
            <v>0.14499999999999999</v>
          </cell>
        </row>
        <row r="148">
          <cell r="B148" t="str">
            <v>CABLE THHN-THWN 4</v>
          </cell>
          <cell r="C148" t="str">
            <v>ML</v>
          </cell>
          <cell r="D148">
            <v>6890</v>
          </cell>
          <cell r="E148">
            <v>1309.0999999999999</v>
          </cell>
          <cell r="F148">
            <v>8199.1</v>
          </cell>
          <cell r="G148">
            <v>0.23200000000000001</v>
          </cell>
        </row>
        <row r="149">
          <cell r="B149" t="str">
            <v>CABLE THHN-THWN 2</v>
          </cell>
          <cell r="C149" t="str">
            <v>ML</v>
          </cell>
          <cell r="D149">
            <v>10323.241142857099</v>
          </cell>
          <cell r="E149">
            <v>1961.4158171428489</v>
          </cell>
          <cell r="F149">
            <v>12284.656959999949</v>
          </cell>
          <cell r="G149">
            <v>0.35599999999999998</v>
          </cell>
        </row>
        <row r="150">
          <cell r="B150" t="str">
            <v>CABLE THHN-THWN 1/0</v>
          </cell>
          <cell r="C150" t="str">
            <v>ML</v>
          </cell>
          <cell r="D150">
            <v>16598.2251428571</v>
          </cell>
          <cell r="E150">
            <v>3153.6627771428489</v>
          </cell>
          <cell r="F150">
            <v>19751.88791999995</v>
          </cell>
          <cell r="G150">
            <v>0.55600000000000005</v>
          </cell>
        </row>
        <row r="151">
          <cell r="B151" t="str">
            <v>CABLE THHN-THWN 2/0</v>
          </cell>
          <cell r="C151" t="str">
            <v>ML</v>
          </cell>
          <cell r="D151">
            <v>20993.6171428571</v>
          </cell>
          <cell r="E151">
            <v>3988.7872571428488</v>
          </cell>
          <cell r="F151">
            <v>24982.404399999949</v>
          </cell>
          <cell r="G151">
            <v>0.69099999999999995</v>
          </cell>
        </row>
        <row r="152">
          <cell r="B152" t="str">
            <v>CABLE THHN-THWN 4/0</v>
          </cell>
          <cell r="C152" t="str">
            <v>ML</v>
          </cell>
          <cell r="D152">
            <v>31624.7771428571</v>
          </cell>
          <cell r="E152">
            <v>6008.7076571428488</v>
          </cell>
          <cell r="F152">
            <v>37633.484799999947</v>
          </cell>
          <cell r="G152">
            <v>1.0720000000000001</v>
          </cell>
        </row>
        <row r="153">
          <cell r="B153" t="str">
            <v>CABLE ENCAUCHETADO BAJO CONTENIDO DE HALÓGENO LSHF</v>
          </cell>
          <cell r="C153" t="str">
            <v>ML</v>
          </cell>
          <cell r="D153">
            <v>6510</v>
          </cell>
          <cell r="E153">
            <v>1236.9000000000001</v>
          </cell>
          <cell r="F153">
            <v>7746.9</v>
          </cell>
          <cell r="G153">
            <v>0.1</v>
          </cell>
        </row>
        <row r="154">
          <cell r="B154" t="str">
            <v>TERMINALES, CONECTORES, PRENSAESTOPAS</v>
          </cell>
          <cell r="C154">
            <v>0</v>
          </cell>
          <cell r="D154">
            <v>0</v>
          </cell>
          <cell r="E154">
            <v>0</v>
          </cell>
          <cell r="F154">
            <v>0</v>
          </cell>
          <cell r="G154">
            <v>0</v>
          </cell>
        </row>
        <row r="155">
          <cell r="B155" t="str">
            <v>TERMINAL P/PONCHAR   8 AWG</v>
          </cell>
          <cell r="C155">
            <v>0</v>
          </cell>
          <cell r="D155">
            <v>1272</v>
          </cell>
          <cell r="E155">
            <v>241.68</v>
          </cell>
          <cell r="F155">
            <v>1513.68</v>
          </cell>
          <cell r="G155">
            <v>0.05</v>
          </cell>
        </row>
        <row r="156">
          <cell r="B156" t="str">
            <v>TERMINAL P/PONCHAR 1/0 AWG</v>
          </cell>
          <cell r="C156">
            <v>0</v>
          </cell>
          <cell r="D156">
            <v>5300</v>
          </cell>
          <cell r="E156">
            <v>1007</v>
          </cell>
          <cell r="F156">
            <v>6307</v>
          </cell>
          <cell r="G156">
            <v>0.05</v>
          </cell>
        </row>
        <row r="157">
          <cell r="B157" t="str">
            <v>TERMINAL P/PONCHAR 10  AWG</v>
          </cell>
          <cell r="C157">
            <v>0</v>
          </cell>
          <cell r="D157">
            <v>742</v>
          </cell>
          <cell r="E157">
            <v>140.97999999999999</v>
          </cell>
          <cell r="F157">
            <v>882.98</v>
          </cell>
          <cell r="G157">
            <v>0</v>
          </cell>
        </row>
        <row r="158">
          <cell r="B158" t="str">
            <v>TERMINAL P/PONCHAR 2 AWG</v>
          </cell>
          <cell r="C158">
            <v>0</v>
          </cell>
          <cell r="D158">
            <v>2438</v>
          </cell>
          <cell r="E158">
            <v>463.22</v>
          </cell>
          <cell r="F158">
            <v>2901.2200000000003</v>
          </cell>
          <cell r="G158">
            <v>0.05</v>
          </cell>
        </row>
        <row r="159">
          <cell r="B159" t="str">
            <v>TERMINAL P/PONCHAR 2/0 AWG</v>
          </cell>
          <cell r="C159">
            <v>0</v>
          </cell>
          <cell r="D159">
            <v>6360</v>
          </cell>
          <cell r="E159">
            <v>1208.4000000000001</v>
          </cell>
          <cell r="F159">
            <v>7568.4</v>
          </cell>
          <cell r="G159">
            <v>0</v>
          </cell>
        </row>
        <row r="160">
          <cell r="B160" t="str">
            <v>TERMINAL P/PONCHAR 4 AWG</v>
          </cell>
          <cell r="C160">
            <v>0</v>
          </cell>
          <cell r="D160">
            <v>1537</v>
          </cell>
          <cell r="E160">
            <v>292.03000000000003</v>
          </cell>
          <cell r="F160">
            <v>1829.03</v>
          </cell>
          <cell r="G160">
            <v>0</v>
          </cell>
        </row>
        <row r="161">
          <cell r="B161" t="str">
            <v>TERMINAL P/PONCHAR 4/0 AWG</v>
          </cell>
          <cell r="C161">
            <v>0</v>
          </cell>
          <cell r="D161">
            <v>9540</v>
          </cell>
          <cell r="E161">
            <v>1812.6</v>
          </cell>
          <cell r="F161">
            <v>11352.6</v>
          </cell>
          <cell r="G161">
            <v>0.05</v>
          </cell>
        </row>
        <row r="162">
          <cell r="B162" t="str">
            <v>TERMINAL P/PONCHAR 6 AWG</v>
          </cell>
          <cell r="C162">
            <v>0</v>
          </cell>
          <cell r="D162">
            <v>1378</v>
          </cell>
          <cell r="E162">
            <v>261.82</v>
          </cell>
          <cell r="F162">
            <v>1639.82</v>
          </cell>
          <cell r="G162">
            <v>0.05</v>
          </cell>
        </row>
        <row r="163">
          <cell r="B163" t="str">
            <v>CONECTOR 3M AUTODESFORRE 560 AZUL</v>
          </cell>
          <cell r="C163">
            <v>0</v>
          </cell>
          <cell r="D163">
            <v>463.22</v>
          </cell>
          <cell r="E163">
            <v>88.011800000000008</v>
          </cell>
          <cell r="F163">
            <v>551.23180000000002</v>
          </cell>
          <cell r="G163">
            <v>0</v>
          </cell>
        </row>
        <row r="164">
          <cell r="B164" t="str">
            <v>CONECTOR 3M AUTODESFORRE 562 AMARILL</v>
          </cell>
          <cell r="C164">
            <v>0</v>
          </cell>
          <cell r="D164">
            <v>661.44</v>
          </cell>
          <cell r="E164">
            <v>125.67360000000001</v>
          </cell>
          <cell r="F164">
            <v>787.11360000000002</v>
          </cell>
          <cell r="G164">
            <v>0</v>
          </cell>
        </row>
        <row r="165">
          <cell r="B165" t="str">
            <v>Conector a la bandeja portacables del cable de puesta a tierra..</v>
          </cell>
          <cell r="C165">
            <v>0</v>
          </cell>
          <cell r="D165">
            <v>5300</v>
          </cell>
          <cell r="E165">
            <v>1007</v>
          </cell>
          <cell r="F165">
            <v>6307</v>
          </cell>
          <cell r="G165">
            <v>0</v>
          </cell>
        </row>
        <row r="166">
          <cell r="B166" t="str">
            <v>CONECTOR RECTO 1" USA COOPEX</v>
          </cell>
          <cell r="C166">
            <v>0</v>
          </cell>
          <cell r="D166">
            <v>5027.6388888888896</v>
          </cell>
          <cell r="E166">
            <v>955.25138888888898</v>
          </cell>
          <cell r="F166">
            <v>5982.8902777777785</v>
          </cell>
          <cell r="G166">
            <v>0</v>
          </cell>
        </row>
        <row r="167">
          <cell r="B167" t="str">
            <v>CONECTOR RESORTE AZUL 12-16</v>
          </cell>
          <cell r="C167">
            <v>0</v>
          </cell>
          <cell r="D167">
            <v>2014</v>
          </cell>
          <cell r="E167">
            <v>382.66</v>
          </cell>
          <cell r="F167">
            <v>2396.66</v>
          </cell>
          <cell r="G167">
            <v>0</v>
          </cell>
        </row>
        <row r="168">
          <cell r="B168" t="str">
            <v>CONECTOR RESORTE AZUL/GRIS 14-6 3M</v>
          </cell>
          <cell r="C168">
            <v>0</v>
          </cell>
          <cell r="D168">
            <v>906.30000000000007</v>
          </cell>
          <cell r="E168">
            <v>172.197</v>
          </cell>
          <cell r="F168">
            <v>1078.4970000000001</v>
          </cell>
          <cell r="G168">
            <v>0</v>
          </cell>
        </row>
        <row r="169">
          <cell r="B169" t="str">
            <v>CONECTOR RESORTE NAR/AZUL 22-12 3M</v>
          </cell>
          <cell r="C169">
            <v>0</v>
          </cell>
          <cell r="D169">
            <v>377.36</v>
          </cell>
          <cell r="E169">
            <v>71.698400000000007</v>
          </cell>
          <cell r="F169">
            <v>449.05840000000001</v>
          </cell>
          <cell r="G169">
            <v>0</v>
          </cell>
        </row>
        <row r="170">
          <cell r="B170" t="str">
            <v>CONECTOR RESORTE ROJO/AMA 16-10 3M</v>
          </cell>
          <cell r="C170" t="str">
            <v>UN</v>
          </cell>
          <cell r="D170">
            <v>885.741379310345</v>
          </cell>
          <cell r="E170">
            <v>168.29086206896554</v>
          </cell>
          <cell r="F170">
            <v>1054.0322413793106</v>
          </cell>
          <cell r="G170">
            <v>0.03</v>
          </cell>
        </row>
        <row r="171">
          <cell r="B171" t="str">
            <v>CONECTOR TIERRA GRIFEQUIP  CM585327</v>
          </cell>
          <cell r="C171" t="str">
            <v>UN</v>
          </cell>
          <cell r="D171">
            <v>13186.034482758621</v>
          </cell>
          <cell r="E171">
            <v>2505.346551724138</v>
          </cell>
          <cell r="F171">
            <v>15691.38103448276</v>
          </cell>
          <cell r="G171">
            <v>0.15</v>
          </cell>
        </row>
        <row r="172">
          <cell r="B172" t="str">
            <v>LAMINA UNION ED275 EZ   CM558221</v>
          </cell>
          <cell r="C172" t="str">
            <v>UN</v>
          </cell>
          <cell r="D172">
            <v>4009.2672413793107</v>
          </cell>
          <cell r="E172">
            <v>761.76077586206907</v>
          </cell>
          <cell r="F172">
            <v>4771.0280172413795</v>
          </cell>
          <cell r="G172">
            <v>0.13</v>
          </cell>
        </row>
        <row r="173">
          <cell r="B173" t="str">
            <v>Prensa estopa de 1/2".</v>
          </cell>
          <cell r="C173">
            <v>0</v>
          </cell>
          <cell r="D173">
            <v>2590</v>
          </cell>
          <cell r="E173">
            <v>492.1</v>
          </cell>
          <cell r="F173">
            <v>3082.1</v>
          </cell>
          <cell r="G173">
            <v>0</v>
          </cell>
        </row>
        <row r="174">
          <cell r="B174" t="str">
            <v>PRENSA ESTOPA DEXSON 1 1/8" PG29</v>
          </cell>
          <cell r="C174">
            <v>0</v>
          </cell>
          <cell r="D174">
            <v>2014</v>
          </cell>
          <cell r="E174">
            <v>382.66</v>
          </cell>
          <cell r="F174">
            <v>2396.66</v>
          </cell>
          <cell r="G174">
            <v>0</v>
          </cell>
        </row>
        <row r="175">
          <cell r="B175" t="str">
            <v>PRENSA ESTOPA DEXSON 1/2 PG13.5</v>
          </cell>
          <cell r="C175" t="str">
            <v>UN</v>
          </cell>
          <cell r="D175">
            <v>1468.6206896551701</v>
          </cell>
          <cell r="E175">
            <v>279.03793103448231</v>
          </cell>
          <cell r="F175">
            <v>1747.6586206896523</v>
          </cell>
          <cell r="G175">
            <v>0.1</v>
          </cell>
        </row>
        <row r="176">
          <cell r="B176" t="str">
            <v>PRENSA ESTOPA DEXSON 1/4 PG7</v>
          </cell>
          <cell r="C176">
            <v>0</v>
          </cell>
          <cell r="D176">
            <v>413.40000000000003</v>
          </cell>
          <cell r="E176">
            <v>78.546000000000006</v>
          </cell>
          <cell r="F176">
            <v>491.94600000000003</v>
          </cell>
          <cell r="G176">
            <v>0</v>
          </cell>
        </row>
        <row r="177">
          <cell r="B177" t="str">
            <v>PRENSA ESTOPA DEXSON 3/4 PG21</v>
          </cell>
          <cell r="C177">
            <v>0</v>
          </cell>
          <cell r="D177">
            <v>1791.4</v>
          </cell>
          <cell r="E177">
            <v>340.36600000000004</v>
          </cell>
          <cell r="F177">
            <v>2131.7660000000001</v>
          </cell>
          <cell r="G177">
            <v>0</v>
          </cell>
        </row>
        <row r="178">
          <cell r="B178" t="str">
            <v>PRENSA ESTOPA DEXSON 3/8 PG11</v>
          </cell>
          <cell r="C178">
            <v>0</v>
          </cell>
          <cell r="D178">
            <v>901</v>
          </cell>
          <cell r="E178">
            <v>171.19</v>
          </cell>
          <cell r="F178">
            <v>1072.19</v>
          </cell>
          <cell r="G178">
            <v>0</v>
          </cell>
        </row>
        <row r="179">
          <cell r="B179" t="str">
            <v>PRENSA ESTOPA DEXSON 5/16 PG9</v>
          </cell>
          <cell r="C179">
            <v>0</v>
          </cell>
          <cell r="D179">
            <v>736.7</v>
          </cell>
          <cell r="E179">
            <v>139.97300000000001</v>
          </cell>
          <cell r="F179">
            <v>876.673</v>
          </cell>
          <cell r="G179">
            <v>0</v>
          </cell>
        </row>
        <row r="180">
          <cell r="B180" t="str">
            <v>PRENSA ESTOPA DEXSON 5/8 PG16</v>
          </cell>
          <cell r="C180">
            <v>0</v>
          </cell>
          <cell r="D180">
            <v>1113</v>
          </cell>
          <cell r="E180">
            <v>211.47</v>
          </cell>
          <cell r="F180">
            <v>1324.47</v>
          </cell>
          <cell r="G180">
            <v>0</v>
          </cell>
        </row>
        <row r="181">
          <cell r="B181" t="str">
            <v>CONECTOR TUBULAR COBRE N°2/0</v>
          </cell>
          <cell r="C181" t="str">
            <v>UN</v>
          </cell>
          <cell r="D181">
            <v>9700</v>
          </cell>
          <cell r="E181">
            <v>1843</v>
          </cell>
          <cell r="F181">
            <v>11543</v>
          </cell>
          <cell r="G181">
            <v>0</v>
          </cell>
        </row>
        <row r="182">
          <cell r="B182">
            <v>0</v>
          </cell>
          <cell r="C182">
            <v>0</v>
          </cell>
          <cell r="D182">
            <v>0</v>
          </cell>
          <cell r="E182">
            <v>0</v>
          </cell>
          <cell r="F182">
            <v>0</v>
          </cell>
          <cell r="G182">
            <v>0</v>
          </cell>
        </row>
        <row r="183">
          <cell r="B183" t="str">
            <v>CAJAS METÁLICAS</v>
          </cell>
          <cell r="C183">
            <v>0</v>
          </cell>
          <cell r="D183">
            <v>0</v>
          </cell>
          <cell r="E183">
            <v>0</v>
          </cell>
          <cell r="F183">
            <v>0</v>
          </cell>
          <cell r="G183">
            <v>0</v>
          </cell>
        </row>
        <row r="184">
          <cell r="B184" t="str">
            <v>CAJA EMPALME 13x13x8</v>
          </cell>
          <cell r="C184" t="str">
            <v>UN</v>
          </cell>
          <cell r="D184">
            <v>7897</v>
          </cell>
          <cell r="E184">
            <v>1500.43</v>
          </cell>
          <cell r="F184">
            <v>9397.43</v>
          </cell>
          <cell r="G184">
            <v>0.25</v>
          </cell>
        </row>
        <row r="185">
          <cell r="B185" t="str">
            <v>CAJA EMPALME 15x15x10 C/BISAGRA TROQ</v>
          </cell>
          <cell r="C185" t="str">
            <v>UN</v>
          </cell>
          <cell r="D185">
            <v>9903.8343999999997</v>
          </cell>
          <cell r="E185">
            <v>1881.7285360000001</v>
          </cell>
          <cell r="F185">
            <v>11785.562936</v>
          </cell>
          <cell r="G185">
            <v>0.28999999999999998</v>
          </cell>
        </row>
        <row r="186">
          <cell r="B186" t="str">
            <v>CAJA EMPALME 20x20x10 C/BISAGRA TROQ</v>
          </cell>
          <cell r="C186" t="str">
            <v>UN</v>
          </cell>
          <cell r="D186">
            <v>13785.088</v>
          </cell>
          <cell r="E186">
            <v>2619.1667200000002</v>
          </cell>
          <cell r="F186">
            <v>16404.254720000001</v>
          </cell>
          <cell r="G186">
            <v>0.4</v>
          </cell>
        </row>
        <row r="187">
          <cell r="B187" t="str">
            <v>CAJA EMPALME 20x20x15 C/BISAGRA TROQ</v>
          </cell>
          <cell r="C187" t="str">
            <v>UN</v>
          </cell>
          <cell r="D187">
            <v>19272.326399999998</v>
          </cell>
          <cell r="E187">
            <v>3661.7420159999997</v>
          </cell>
          <cell r="F187">
            <v>22934.068415999998</v>
          </cell>
          <cell r="G187">
            <v>0.5</v>
          </cell>
        </row>
        <row r="188">
          <cell r="B188" t="str">
            <v>CAJA EMPALME 25x25x10 C/BISAGRA TROQ</v>
          </cell>
          <cell r="C188" t="str">
            <v>UN</v>
          </cell>
          <cell r="D188">
            <v>23421.23</v>
          </cell>
          <cell r="E188">
            <v>4450.0337</v>
          </cell>
          <cell r="F188">
            <v>27871.2637</v>
          </cell>
          <cell r="G188">
            <v>0.625</v>
          </cell>
        </row>
        <row r="189">
          <cell r="B189" t="str">
            <v>CAJA EMPALME 25x25x15 C/BISAGRA TROQ</v>
          </cell>
          <cell r="C189" t="str">
            <v>UN</v>
          </cell>
          <cell r="D189">
            <v>367700</v>
          </cell>
          <cell r="E189">
            <v>69863</v>
          </cell>
          <cell r="F189">
            <v>437563</v>
          </cell>
          <cell r="G189">
            <v>0.625</v>
          </cell>
        </row>
        <row r="190">
          <cell r="B190" t="str">
            <v>CAJA EMPALME 30x30x10</v>
          </cell>
          <cell r="C190" t="str">
            <v>UN</v>
          </cell>
          <cell r="D190">
            <v>28373.147199999999</v>
          </cell>
          <cell r="E190">
            <v>5390.8979680000002</v>
          </cell>
          <cell r="F190">
            <v>33764.045167999997</v>
          </cell>
          <cell r="G190">
            <v>0.8</v>
          </cell>
        </row>
        <row r="191">
          <cell r="B191" t="str">
            <v>CAJA EMPALME 30x30x15</v>
          </cell>
          <cell r="C191" t="str">
            <v>UN</v>
          </cell>
          <cell r="D191">
            <v>29979.174400000004</v>
          </cell>
          <cell r="E191">
            <v>5696.0431360000011</v>
          </cell>
          <cell r="F191">
            <v>35675.217536000004</v>
          </cell>
          <cell r="G191">
            <v>0.9</v>
          </cell>
        </row>
        <row r="192">
          <cell r="B192" t="str">
            <v>CAJA EMPALME 40x40x15</v>
          </cell>
          <cell r="C192" t="str">
            <v>UN</v>
          </cell>
          <cell r="D192">
            <v>41756.707200000004</v>
          </cell>
          <cell r="E192">
            <v>7933.7743680000012</v>
          </cell>
          <cell r="F192">
            <v>49690.481568000003</v>
          </cell>
          <cell r="G192">
            <v>1.2</v>
          </cell>
        </row>
        <row r="193">
          <cell r="B193" t="str">
            <v>CAJA METALICA 12x12x5 cm GRIS TEXTURIZADO.</v>
          </cell>
          <cell r="C193" t="str">
            <v>UN</v>
          </cell>
          <cell r="D193">
            <v>13939.655172413701</v>
          </cell>
          <cell r="E193">
            <v>2648.5344827586032</v>
          </cell>
          <cell r="F193">
            <v>16588.189655172304</v>
          </cell>
          <cell r="G193">
            <v>0.35</v>
          </cell>
        </row>
        <row r="194">
          <cell r="B194" t="str">
            <v>CAJA ARRANCADOR 40X30X20 TERCOL CA-40</v>
          </cell>
          <cell r="C194" t="str">
            <v>UN</v>
          </cell>
          <cell r="D194">
            <v>144200</v>
          </cell>
          <cell r="E194">
            <v>27398</v>
          </cell>
          <cell r="F194">
            <v>171598</v>
          </cell>
          <cell r="G194">
            <v>5</v>
          </cell>
        </row>
        <row r="195">
          <cell r="B195" t="str">
            <v>CAJA PVC 2''x4"</v>
          </cell>
          <cell r="C195" t="str">
            <v>UN</v>
          </cell>
          <cell r="D195">
            <v>913.79310344827593</v>
          </cell>
          <cell r="E195">
            <v>173.62068965517244</v>
          </cell>
          <cell r="F195">
            <v>1087.4137931034484</v>
          </cell>
          <cell r="G195">
            <v>0.15</v>
          </cell>
        </row>
        <row r="196">
          <cell r="B196" t="str">
            <v>CAJA PVC 4''x4"</v>
          </cell>
          <cell r="C196" t="str">
            <v>UN</v>
          </cell>
          <cell r="D196">
            <v>1096.5517241379312</v>
          </cell>
          <cell r="E196">
            <v>208.34482758620692</v>
          </cell>
          <cell r="F196">
            <v>1304.8965517241381</v>
          </cell>
          <cell r="G196">
            <v>0.25</v>
          </cell>
        </row>
        <row r="197">
          <cell r="B197" t="str">
            <v>TAPAFLUX PVC</v>
          </cell>
          <cell r="C197" t="str">
            <v>UN</v>
          </cell>
          <cell r="D197">
            <v>548.27586206896558</v>
          </cell>
          <cell r="E197">
            <v>104.17241379310346</v>
          </cell>
          <cell r="F197">
            <v>652.44827586206907</v>
          </cell>
          <cell r="G197">
            <v>0.05</v>
          </cell>
        </row>
        <row r="198">
          <cell r="B198" t="str">
            <v>CAJA RAWELT 2x4 2 SALIDAS DE 1"</v>
          </cell>
          <cell r="C198" t="str">
            <v>UN</v>
          </cell>
          <cell r="D198">
            <v>12386.3968</v>
          </cell>
          <cell r="E198">
            <v>2353.4153920000003</v>
          </cell>
          <cell r="F198">
            <v>14739.812192000001</v>
          </cell>
          <cell r="G198">
            <v>0.15</v>
          </cell>
        </row>
        <row r="199">
          <cell r="B199" t="str">
            <v>CAJA RAWELT 2x4 2 SALIDAS DE 3/4</v>
          </cell>
          <cell r="C199" t="str">
            <v>UN</v>
          </cell>
          <cell r="D199">
            <v>14671.293103448201</v>
          </cell>
          <cell r="E199">
            <v>2787.5456896551582</v>
          </cell>
          <cell r="F199">
            <v>17458.838793103358</v>
          </cell>
          <cell r="G199">
            <v>0.5</v>
          </cell>
        </row>
        <row r="200">
          <cell r="B200" t="str">
            <v>CAJA RAWELT 2x4 3 SALIDAS DE 1"</v>
          </cell>
          <cell r="C200" t="str">
            <v>UN</v>
          </cell>
          <cell r="D200">
            <v>12386.3968</v>
          </cell>
          <cell r="E200">
            <v>2353.4153920000003</v>
          </cell>
          <cell r="F200">
            <v>14739.812192000001</v>
          </cell>
          <cell r="G200">
            <v>0.15</v>
          </cell>
        </row>
        <row r="201">
          <cell r="B201" t="str">
            <v>CAJA RAWELT 2x4 3 SALIDAS DE 1/2</v>
          </cell>
          <cell r="C201">
            <v>0</v>
          </cell>
          <cell r="D201">
            <v>10481.439</v>
          </cell>
          <cell r="E201">
            <v>1991.4734100000001</v>
          </cell>
          <cell r="F201">
            <v>12472.912410000001</v>
          </cell>
          <cell r="G201">
            <v>0.15</v>
          </cell>
        </row>
        <row r="202">
          <cell r="B202" t="str">
            <v>CAJA RAWELT 2x4 3 SALIDAS DE 3/4</v>
          </cell>
          <cell r="C202">
            <v>0</v>
          </cell>
          <cell r="D202">
            <v>15910.955</v>
          </cell>
          <cell r="E202">
            <v>3023.0814500000001</v>
          </cell>
          <cell r="F202">
            <v>18934.03645</v>
          </cell>
          <cell r="G202">
            <v>0.15</v>
          </cell>
        </row>
        <row r="203">
          <cell r="B203" t="str">
            <v>CAJA RAWELT 2x4 4 SALIDAS DE 1"</v>
          </cell>
          <cell r="C203">
            <v>0</v>
          </cell>
          <cell r="D203">
            <v>12386.3968</v>
          </cell>
          <cell r="E203">
            <v>2353.4153920000003</v>
          </cell>
          <cell r="F203">
            <v>14739.812192000001</v>
          </cell>
          <cell r="G203">
            <v>0.15</v>
          </cell>
        </row>
        <row r="204">
          <cell r="B204" t="str">
            <v>CAJA RAWELT 2x4 4 SALIDAS DE 1/2</v>
          </cell>
          <cell r="C204">
            <v>0</v>
          </cell>
          <cell r="D204">
            <v>10825.674000000001</v>
          </cell>
          <cell r="E204">
            <v>2056.87806</v>
          </cell>
          <cell r="F204">
            <v>12882.552060000002</v>
          </cell>
          <cell r="G204">
            <v>0.15</v>
          </cell>
        </row>
        <row r="205">
          <cell r="B205" t="str">
            <v>CAJA RAWELT 2x4 4 SALIDAS DE 3/4</v>
          </cell>
          <cell r="C205">
            <v>0</v>
          </cell>
          <cell r="D205">
            <v>10643.057200000001</v>
          </cell>
          <cell r="E205">
            <v>2022.1808680000001</v>
          </cell>
          <cell r="F205">
            <v>12665.238068000001</v>
          </cell>
          <cell r="G205">
            <v>0.15</v>
          </cell>
        </row>
        <row r="206">
          <cell r="B206" t="str">
            <v>CAJA RAWELT 4x4 2 SALIDAS DE 1/2</v>
          </cell>
          <cell r="C206">
            <v>0</v>
          </cell>
          <cell r="D206">
            <v>20582.613600000004</v>
          </cell>
          <cell r="E206">
            <v>3910.6965840000007</v>
          </cell>
          <cell r="F206">
            <v>24493.310184000005</v>
          </cell>
          <cell r="G206">
            <v>0.3</v>
          </cell>
        </row>
        <row r="207">
          <cell r="B207" t="str">
            <v>CAJA RAWELT 4x4 3 SALIDAS DE 1/2</v>
          </cell>
          <cell r="C207">
            <v>0</v>
          </cell>
          <cell r="D207">
            <v>20582.613600000004</v>
          </cell>
          <cell r="E207">
            <v>3910.6965840000007</v>
          </cell>
          <cell r="F207">
            <v>24493.310184000005</v>
          </cell>
          <cell r="G207">
            <v>0.3</v>
          </cell>
        </row>
        <row r="208">
          <cell r="B208" t="str">
            <v>CAJA RAWELT 4x4 3 SALIDAS DE 3/4</v>
          </cell>
          <cell r="C208">
            <v>0</v>
          </cell>
          <cell r="D208">
            <v>21010.938399999999</v>
          </cell>
          <cell r="E208">
            <v>3992.0782959999997</v>
          </cell>
          <cell r="F208">
            <v>25003.016695999999</v>
          </cell>
          <cell r="G208">
            <v>0.3</v>
          </cell>
        </row>
        <row r="209">
          <cell r="B209" t="str">
            <v>CAJA RAWELT 4x4 4 SALIDAS DE 1/2</v>
          </cell>
          <cell r="C209">
            <v>0</v>
          </cell>
          <cell r="D209">
            <v>20581.914000000004</v>
          </cell>
          <cell r="E209">
            <v>3910.5636600000007</v>
          </cell>
          <cell r="F209">
            <v>24492.477660000004</v>
          </cell>
          <cell r="G209">
            <v>0.3</v>
          </cell>
        </row>
        <row r="210">
          <cell r="B210" t="str">
            <v>CAJA RAWELT 4x4 4 SALIDAS DE 3/4</v>
          </cell>
          <cell r="C210">
            <v>0</v>
          </cell>
          <cell r="D210">
            <v>21010.938399999999</v>
          </cell>
          <cell r="E210">
            <v>3992.0782959999997</v>
          </cell>
          <cell r="F210">
            <v>25003.016695999999</v>
          </cell>
          <cell r="G210">
            <v>0.3</v>
          </cell>
        </row>
        <row r="211">
          <cell r="B211" t="str">
            <v>TAPA RAWELT 2X4 LISA</v>
          </cell>
          <cell r="C211" t="str">
            <v>UN</v>
          </cell>
          <cell r="D211">
            <v>3664.3611111111118</v>
          </cell>
          <cell r="E211">
            <v>696.22861111111126</v>
          </cell>
          <cell r="F211">
            <v>4360.5897222222229</v>
          </cell>
          <cell r="G211">
            <v>0.1</v>
          </cell>
        </row>
        <row r="212">
          <cell r="B212" t="str">
            <v>TAPA RAWELT 4X4 LISA</v>
          </cell>
          <cell r="C212" t="str">
            <v>UN</v>
          </cell>
          <cell r="D212">
            <v>5022.2800000000007</v>
          </cell>
          <cell r="E212">
            <v>954.23320000000012</v>
          </cell>
          <cell r="F212">
            <v>5976.5132000000012</v>
          </cell>
          <cell r="G212">
            <v>0.15</v>
          </cell>
        </row>
        <row r="213">
          <cell r="B213" t="str">
            <v>CAJA ARRANCADOR 30X20X16 TERCOL CA-40</v>
          </cell>
          <cell r="C213" t="str">
            <v>UN</v>
          </cell>
          <cell r="D213">
            <v>96000</v>
          </cell>
          <cell r="E213">
            <v>18240</v>
          </cell>
          <cell r="F213">
            <v>114240</v>
          </cell>
          <cell r="G213">
            <v>0.15</v>
          </cell>
        </row>
        <row r="214">
          <cell r="B214" t="str">
            <v>ILUMINACIÓN</v>
          </cell>
          <cell r="C214">
            <v>0</v>
          </cell>
          <cell r="D214">
            <v>0</v>
          </cell>
          <cell r="E214">
            <v>0</v>
          </cell>
          <cell r="F214">
            <v>0</v>
          </cell>
          <cell r="G214">
            <v>0</v>
          </cell>
        </row>
        <row r="215">
          <cell r="B215" t="str">
            <v>Luminaria de emergencia de 11W, 120V de mínimo 600 lumens por 1 hora.</v>
          </cell>
          <cell r="C215">
            <v>0</v>
          </cell>
          <cell r="D215">
            <v>63600</v>
          </cell>
          <cell r="E215">
            <v>12084</v>
          </cell>
          <cell r="F215">
            <v>75684</v>
          </cell>
          <cell r="G215">
            <v>0</v>
          </cell>
        </row>
        <row r="216">
          <cell r="B216" t="str">
            <v>LUM.ANTIH 4X54 CH IMPORT/BTO ELECTR.UNIV/ALP/IP65/PANT ACR CON TUBOS</v>
          </cell>
          <cell r="C216" t="str">
            <v>UN</v>
          </cell>
          <cell r="D216">
            <v>297605.60000000003</v>
          </cell>
          <cell r="E216">
            <v>56545.064000000006</v>
          </cell>
          <cell r="F216">
            <v>354150.66400000005</v>
          </cell>
          <cell r="G216">
            <v>9</v>
          </cell>
        </row>
        <row r="217">
          <cell r="B217" t="str">
            <v>Luminaria ambientes limpios hermética 30x120cm 2x32W T8.</v>
          </cell>
          <cell r="C217" t="str">
            <v>Un</v>
          </cell>
          <cell r="D217">
            <v>312580</v>
          </cell>
          <cell r="E217">
            <v>59390.2</v>
          </cell>
          <cell r="F217">
            <v>371970.2</v>
          </cell>
          <cell r="G217">
            <v>2</v>
          </cell>
        </row>
        <row r="218">
          <cell r="B218" t="str">
            <v>LUM.ANTIH 6X54 CH IMPORT/BTO ELECTR.UNIV/ALP/IP65/PANT ACR CON TUBOS</v>
          </cell>
          <cell r="C218" t="str">
            <v>UN</v>
          </cell>
          <cell r="D218">
            <v>349285.9</v>
          </cell>
          <cell r="E218">
            <v>66364.321000000011</v>
          </cell>
          <cell r="F218">
            <v>415650.22100000002</v>
          </cell>
          <cell r="G218">
            <v>13</v>
          </cell>
        </row>
        <row r="219">
          <cell r="B219" t="str">
            <v>LUM.ANTIH 2X54 IMPORT/CH ALHAMA/BTO ELECTR.UNIV CON TUBOS</v>
          </cell>
          <cell r="C219" t="str">
            <v>UN</v>
          </cell>
          <cell r="D219">
            <v>91880.98275862071</v>
          </cell>
          <cell r="E219">
            <v>17457.386724137934</v>
          </cell>
          <cell r="F219">
            <v>109338.36948275864</v>
          </cell>
          <cell r="G219">
            <v>5</v>
          </cell>
        </row>
        <row r="220">
          <cell r="B220" t="str">
            <v>LUM.ANTIH 2X28 IMPORT/CH ALHAMA/BTO ELECTR.UNIV CON TUBOS</v>
          </cell>
          <cell r="C220" t="str">
            <v>UN</v>
          </cell>
          <cell r="D220">
            <v>129941.16</v>
          </cell>
          <cell r="E220">
            <v>24688.820400000001</v>
          </cell>
          <cell r="F220">
            <v>154629.9804</v>
          </cell>
          <cell r="G220">
            <v>5</v>
          </cell>
        </row>
        <row r="221">
          <cell r="B221" t="str">
            <v>LUM.ANTIH 2X54 IMPORT/CH ALHAMA/BTO ELECTR.UNIV CON TUBOS BEGUELLI</v>
          </cell>
          <cell r="C221" t="str">
            <v>UN</v>
          </cell>
          <cell r="D221">
            <v>146099.9827586207</v>
          </cell>
          <cell r="E221">
            <v>27758.996724137931</v>
          </cell>
          <cell r="F221">
            <v>173858.97948275862</v>
          </cell>
          <cell r="G221">
            <v>5</v>
          </cell>
        </row>
        <row r="222">
          <cell r="B222" t="str">
            <v>LUM.ANTIH 2X28 IMPORT/CH ALHAMA/BTO ELECTR.UNIV CON TUBOS BEGUELLI</v>
          </cell>
          <cell r="C222" t="str">
            <v>UN</v>
          </cell>
          <cell r="D222">
            <v>126099.982758621</v>
          </cell>
          <cell r="E222">
            <v>23958.996724137989</v>
          </cell>
          <cell r="F222">
            <v>150058.97948275899</v>
          </cell>
          <cell r="G222">
            <v>5</v>
          </cell>
        </row>
        <row r="223">
          <cell r="B223" t="str">
            <v>Luminaria hermética led con 4 regletas de 56cm 7a 17W y disipador de calor</v>
          </cell>
          <cell r="C223" t="str">
            <v>UN</v>
          </cell>
          <cell r="D223">
            <v>195000</v>
          </cell>
          <cell r="E223">
            <v>37050</v>
          </cell>
          <cell r="F223">
            <v>232050</v>
          </cell>
          <cell r="G223">
            <v>5</v>
          </cell>
        </row>
        <row r="224">
          <cell r="B224" t="str">
            <v>LUM.ANTIH 1X14 IMPORT/CH ALHAMA/BTO ELECTR.UNIV CON TUBOS</v>
          </cell>
          <cell r="C224" t="str">
            <v>UN</v>
          </cell>
          <cell r="D224">
            <v>85584.948275862087</v>
          </cell>
          <cell r="E224">
            <v>16261.140172413796</v>
          </cell>
          <cell r="F224">
            <v>101846.08844827588</v>
          </cell>
          <cell r="G224">
            <v>2.5</v>
          </cell>
        </row>
        <row r="225">
          <cell r="B225" t="str">
            <v>LUM.ANTIH 1X28 IMPORT/CH ALHAMA/BTO ELECTR.UNIV CON TUBOS</v>
          </cell>
          <cell r="C225" t="str">
            <v>UN</v>
          </cell>
          <cell r="D225">
            <v>117028.24</v>
          </cell>
          <cell r="E225">
            <v>22235.365600000001</v>
          </cell>
          <cell r="F225">
            <v>139263.60560000001</v>
          </cell>
          <cell r="G225">
            <v>2.5</v>
          </cell>
        </row>
        <row r="226">
          <cell r="B226" t="str">
            <v>LUM.POCKET 60X60/INC 4X14W/MARCO EXTERI./ACRILICO/OPAL/RETIL CON TUBOS</v>
          </cell>
          <cell r="C226" t="str">
            <v>UN</v>
          </cell>
          <cell r="D226">
            <v>161834.58620689658</v>
          </cell>
          <cell r="E226">
            <v>30748.57137931035</v>
          </cell>
          <cell r="F226">
            <v>192583.15758620691</v>
          </cell>
          <cell r="G226">
            <v>5</v>
          </cell>
        </row>
        <row r="227">
          <cell r="B227" t="str">
            <v>LUM.POCKET 60X60/INC 4X24W/MARCO EXTERI./ACRILICO/OPAL/RETIL CON TUBOS</v>
          </cell>
          <cell r="C227" t="str">
            <v>UN</v>
          </cell>
          <cell r="D227">
            <v>183860.65517241383</v>
          </cell>
          <cell r="E227">
            <v>34933.524482758628</v>
          </cell>
          <cell r="F227">
            <v>218794.17965517245</v>
          </cell>
          <cell r="G227">
            <v>5</v>
          </cell>
        </row>
        <row r="228">
          <cell r="B228" t="str">
            <v>LUM.POCKET 30X120/INC 2X28/ACRILICO/OPAL/RETILAP CON TUBOS</v>
          </cell>
          <cell r="C228" t="str">
            <v>UN</v>
          </cell>
          <cell r="D228">
            <v>125935.31034482759</v>
          </cell>
          <cell r="E228">
            <v>23927.708965517242</v>
          </cell>
          <cell r="F228">
            <v>149863.01931034483</v>
          </cell>
          <cell r="G228">
            <v>5</v>
          </cell>
        </row>
        <row r="229">
          <cell r="B229" t="str">
            <v>LUM.POCKET 30X120/INC 2X54/ACRILICO/OPAL/RETILAP CON TUBOS</v>
          </cell>
          <cell r="C229" t="str">
            <v>UN</v>
          </cell>
          <cell r="D229">
            <v>125935.31034482759</v>
          </cell>
          <cell r="E229">
            <v>23927.708965517242</v>
          </cell>
          <cell r="F229">
            <v>149863.01931034483</v>
          </cell>
          <cell r="G229">
            <v>5</v>
          </cell>
        </row>
        <row r="230">
          <cell r="B230" t="str">
            <v>BTO EMERGENCIA BODINE/LP550/T5-T8</v>
          </cell>
          <cell r="C230" t="str">
            <v>UN</v>
          </cell>
          <cell r="D230">
            <v>167565.53448275899</v>
          </cell>
          <cell r="E230">
            <v>31837.451551724207</v>
          </cell>
          <cell r="F230">
            <v>199402.98603448318</v>
          </cell>
          <cell r="G230">
            <v>1.2</v>
          </cell>
        </row>
        <row r="231">
          <cell r="B231" t="str">
            <v>Bateria de emergencia SL-60 para luminaria LED</v>
          </cell>
          <cell r="C231" t="str">
            <v>UN</v>
          </cell>
          <cell r="D231">
            <v>145000</v>
          </cell>
          <cell r="E231">
            <v>27550</v>
          </cell>
          <cell r="F231">
            <v>172550</v>
          </cell>
          <cell r="G231">
            <v>0</v>
          </cell>
        </row>
        <row r="232">
          <cell r="B232" t="str">
            <v>Panel led 30x120cm 120-277V</v>
          </cell>
          <cell r="C232" t="str">
            <v>Un</v>
          </cell>
          <cell r="D232">
            <v>209900</v>
          </cell>
          <cell r="E232">
            <v>39881</v>
          </cell>
          <cell r="F232">
            <v>249781</v>
          </cell>
          <cell r="G232">
            <v>3</v>
          </cell>
        </row>
        <row r="233">
          <cell r="B233" t="str">
            <v>Bala led redonda 24W 120-277V</v>
          </cell>
          <cell r="C233" t="str">
            <v>Un</v>
          </cell>
          <cell r="D233">
            <v>47000</v>
          </cell>
          <cell r="E233">
            <v>8930</v>
          </cell>
          <cell r="F233">
            <v>55930</v>
          </cell>
          <cell r="G233">
            <v>2</v>
          </cell>
        </row>
        <row r="234">
          <cell r="B234" t="str">
            <v>Marco para cielo falso panel 30x120cm</v>
          </cell>
          <cell r="C234" t="str">
            <v>Un</v>
          </cell>
          <cell r="D234">
            <v>12300</v>
          </cell>
          <cell r="E234">
            <v>2337</v>
          </cell>
          <cell r="F234">
            <v>14637</v>
          </cell>
          <cell r="G234">
            <v>0.5</v>
          </cell>
        </row>
        <row r="235">
          <cell r="B235" t="str">
            <v>Batería de emergencia para luminarias LED SL-60</v>
          </cell>
          <cell r="C235" t="str">
            <v>UN</v>
          </cell>
          <cell r="D235">
            <v>155000</v>
          </cell>
          <cell r="E235">
            <v>29450</v>
          </cell>
          <cell r="F235">
            <v>184450</v>
          </cell>
          <cell r="G235">
            <v>1</v>
          </cell>
        </row>
        <row r="236">
          <cell r="B236" t="str">
            <v>HERRAJES</v>
          </cell>
          <cell r="C236">
            <v>0</v>
          </cell>
          <cell r="D236">
            <v>0</v>
          </cell>
          <cell r="E236">
            <v>0</v>
          </cell>
          <cell r="F236">
            <v>0</v>
          </cell>
          <cell r="G236">
            <v>0</v>
          </cell>
        </row>
        <row r="237">
          <cell r="B237" t="str">
            <v>ESPARRAGO ROSCADA DE 3/8" GALV CALIENTE</v>
          </cell>
          <cell r="C237" t="str">
            <v>ML</v>
          </cell>
          <cell r="D237">
            <v>3106.8965517241381</v>
          </cell>
          <cell r="E237">
            <v>590.31034482758628</v>
          </cell>
          <cell r="F237">
            <v>3697.2068965517246</v>
          </cell>
          <cell r="G237">
            <v>0.8</v>
          </cell>
        </row>
        <row r="238">
          <cell r="B238" t="str">
            <v>ESPARRAGO ROSCADA DE 1/2" GALV CALIENTE</v>
          </cell>
          <cell r="C238" t="str">
            <v>ML</v>
          </cell>
          <cell r="D238">
            <v>2300</v>
          </cell>
          <cell r="E238">
            <v>437</v>
          </cell>
          <cell r="F238">
            <v>2737</v>
          </cell>
          <cell r="G238">
            <v>0.8</v>
          </cell>
        </row>
        <row r="239">
          <cell r="B239" t="str">
            <v>ARANDELA 3/8''</v>
          </cell>
          <cell r="C239" t="str">
            <v>UN</v>
          </cell>
          <cell r="D239">
            <v>331.58620689655203</v>
          </cell>
          <cell r="E239">
            <v>63.001379310344888</v>
          </cell>
          <cell r="F239">
            <v>394.5875862068969</v>
          </cell>
          <cell r="G239">
            <v>0.01</v>
          </cell>
        </row>
        <row r="240">
          <cell r="B240" t="str">
            <v>TUERCA HEXAGONAL 3/8''</v>
          </cell>
          <cell r="C240" t="str">
            <v>UN</v>
          </cell>
          <cell r="D240">
            <v>331.58620689655203</v>
          </cell>
          <cell r="E240">
            <v>63.001379310344888</v>
          </cell>
          <cell r="F240">
            <v>394.5875862068969</v>
          </cell>
          <cell r="G240">
            <v>0.01</v>
          </cell>
        </row>
        <row r="241">
          <cell r="B241" t="str">
            <v>RL 3/8''</v>
          </cell>
          <cell r="C241" t="str">
            <v>UN</v>
          </cell>
          <cell r="D241">
            <v>883.63793103448279</v>
          </cell>
          <cell r="E241">
            <v>167.89120689655172</v>
          </cell>
          <cell r="F241">
            <v>1051.5291379310345</v>
          </cell>
          <cell r="G241">
            <v>0.03</v>
          </cell>
        </row>
        <row r="242">
          <cell r="B242" t="str">
            <v>Chazos y/o RL metálicos 3/8"</v>
          </cell>
          <cell r="C242" t="str">
            <v>UN</v>
          </cell>
          <cell r="D242">
            <v>977.51724137931001</v>
          </cell>
          <cell r="E242">
            <v>185.7282758620689</v>
          </cell>
          <cell r="F242">
            <v>1163.2455172413788</v>
          </cell>
          <cell r="G242">
            <v>0.1</v>
          </cell>
        </row>
        <row r="243">
          <cell r="B243" t="str">
            <v>Esparrago 3/8'' Galvanizado en Caliente</v>
          </cell>
          <cell r="C243" t="str">
            <v>ML</v>
          </cell>
          <cell r="D243">
            <v>5618.6206896551703</v>
          </cell>
          <cell r="E243">
            <v>1067.5379310344824</v>
          </cell>
          <cell r="F243">
            <v>6686.1586206896527</v>
          </cell>
          <cell r="G243">
            <v>1</v>
          </cell>
        </row>
        <row r="244">
          <cell r="B244" t="str">
            <v>Tuerca 3/8'' Hexagonal Galvanizada en Caliente</v>
          </cell>
          <cell r="C244" t="str">
            <v>UN</v>
          </cell>
          <cell r="D244">
            <v>144.37931034482762</v>
          </cell>
          <cell r="E244">
            <v>27.432068965517246</v>
          </cell>
          <cell r="F244">
            <v>171.81137931034488</v>
          </cell>
          <cell r="G244">
            <v>0.05</v>
          </cell>
        </row>
        <row r="245">
          <cell r="B245" t="str">
            <v>Arandela 3/8'' Galvanizada en Caliente</v>
          </cell>
          <cell r="C245" t="str">
            <v>UN</v>
          </cell>
          <cell r="D245">
            <v>145.29310344827587</v>
          </cell>
          <cell r="E245">
            <v>27.605689655172416</v>
          </cell>
          <cell r="F245">
            <v>172.8987931034483</v>
          </cell>
          <cell r="G245">
            <v>0.05</v>
          </cell>
        </row>
        <row r="246">
          <cell r="B246" t="str">
            <v>ARANDELA CE30mm EZ   CM558041+TUERCA</v>
          </cell>
          <cell r="C246" t="str">
            <v>Un</v>
          </cell>
          <cell r="D246">
            <v>822.41379310344837</v>
          </cell>
          <cell r="E246">
            <v>156.2586206896552</v>
          </cell>
          <cell r="F246">
            <v>978.6724137931036</v>
          </cell>
          <cell r="G246">
            <v>2.8000000000000001E-2</v>
          </cell>
        </row>
        <row r="247">
          <cell r="B247" t="str">
            <v>CLIP FASLOCK S DC   CM558347</v>
          </cell>
          <cell r="C247" t="str">
            <v>UN</v>
          </cell>
          <cell r="D247">
            <v>2562.3672413793106</v>
          </cell>
          <cell r="E247">
            <v>486.84977586206901</v>
          </cell>
          <cell r="F247">
            <v>3049.2170172413798</v>
          </cell>
          <cell r="G247">
            <v>1.2E-2</v>
          </cell>
        </row>
        <row r="248">
          <cell r="B248" t="str">
            <v>CLIP FASLOCK S GS   CM558340</v>
          </cell>
          <cell r="C248" t="str">
            <v>UN</v>
          </cell>
          <cell r="D248">
            <v>2020.6706896551727</v>
          </cell>
          <cell r="E248">
            <v>383.92743103448282</v>
          </cell>
          <cell r="F248">
            <v>2404.5981206896554</v>
          </cell>
          <cell r="G248">
            <v>1.2E-2</v>
          </cell>
        </row>
        <row r="249">
          <cell r="B249" t="str">
            <v>PERFIL FIJACION RCSN 3m GC  CM013033</v>
          </cell>
          <cell r="C249">
            <v>0</v>
          </cell>
          <cell r="D249">
            <v>82059.900000000009</v>
          </cell>
          <cell r="E249">
            <v>15591.381000000001</v>
          </cell>
          <cell r="F249">
            <v>97651.281000000017</v>
          </cell>
          <cell r="G249">
            <v>0</v>
          </cell>
        </row>
        <row r="250">
          <cell r="B250" t="str">
            <v>PERFIL FIJACION RCSN 3m GS  CM013030</v>
          </cell>
          <cell r="C250">
            <v>0</v>
          </cell>
          <cell r="D250">
            <v>73998.600000000006</v>
          </cell>
          <cell r="E250">
            <v>14059.734</v>
          </cell>
          <cell r="F250">
            <v>88058.334000000003</v>
          </cell>
          <cell r="G250">
            <v>0</v>
          </cell>
        </row>
        <row r="251">
          <cell r="B251" t="str">
            <v>ESPACIADOR E12100AG 1/2x100</v>
          </cell>
          <cell r="C251">
            <v>0</v>
          </cell>
          <cell r="D251">
            <v>11701.976000000001</v>
          </cell>
          <cell r="E251">
            <v>2223.3754400000003</v>
          </cell>
          <cell r="F251">
            <v>13925.35144</v>
          </cell>
          <cell r="G251">
            <v>0</v>
          </cell>
        </row>
        <row r="252">
          <cell r="B252" t="str">
            <v>ESPACIADOR E38100AG 3/8x100</v>
          </cell>
          <cell r="C252">
            <v>0</v>
          </cell>
          <cell r="D252">
            <v>6833.5020000000004</v>
          </cell>
          <cell r="E252">
            <v>1298.3653800000002</v>
          </cell>
          <cell r="F252">
            <v>8131.8673800000006</v>
          </cell>
          <cell r="G252">
            <v>0</v>
          </cell>
        </row>
        <row r="253">
          <cell r="B253" t="str">
            <v xml:space="preserve">Grapas universales ref 390051 </v>
          </cell>
          <cell r="C253">
            <v>0</v>
          </cell>
          <cell r="D253">
            <v>11660</v>
          </cell>
          <cell r="E253">
            <v>2215.4</v>
          </cell>
          <cell r="F253">
            <v>13875.4</v>
          </cell>
          <cell r="G253">
            <v>0</v>
          </cell>
        </row>
        <row r="254">
          <cell r="B254" t="str">
            <v>APARATOS Y ACCESORIOS</v>
          </cell>
          <cell r="C254">
            <v>0</v>
          </cell>
          <cell r="D254">
            <v>0</v>
          </cell>
          <cell r="E254">
            <v>0</v>
          </cell>
          <cell r="F254">
            <v>0</v>
          </cell>
          <cell r="G254">
            <v>0</v>
          </cell>
        </row>
        <row r="255">
          <cell r="B255" t="str">
            <v>TOMA DE INCRUSTAR NORMA L6-30R 220V, 30A</v>
          </cell>
          <cell r="C255" t="str">
            <v>UN</v>
          </cell>
          <cell r="D255">
            <v>77200</v>
          </cell>
          <cell r="E255">
            <v>14668</v>
          </cell>
          <cell r="F255">
            <v>91868</v>
          </cell>
          <cell r="G255">
            <v>0</v>
          </cell>
        </row>
        <row r="256">
          <cell r="B256" t="str">
            <v>CLAVIJA NORMA NEMA L6-30P, 220V, 30A</v>
          </cell>
          <cell r="C256" t="str">
            <v>UN</v>
          </cell>
          <cell r="D256">
            <v>55800</v>
          </cell>
          <cell r="E256">
            <v>10602</v>
          </cell>
          <cell r="F256">
            <v>66402</v>
          </cell>
          <cell r="G256">
            <v>0</v>
          </cell>
        </row>
        <row r="257">
          <cell r="B257" t="str">
            <v xml:space="preserve">LV-1451-W SUICHE SENCILLO 15A BLANCO </v>
          </cell>
          <cell r="C257" t="str">
            <v>UN</v>
          </cell>
          <cell r="D257">
            <v>7700</v>
          </cell>
          <cell r="E257">
            <v>1463</v>
          </cell>
          <cell r="F257">
            <v>9163</v>
          </cell>
          <cell r="G257">
            <v>0.25</v>
          </cell>
        </row>
        <row r="258">
          <cell r="B258" t="str">
            <v>LV-1453-W SUICHE SENCILLO CONMUTABLE 15A BLANCO</v>
          </cell>
          <cell r="C258" t="str">
            <v>UN</v>
          </cell>
          <cell r="D258">
            <v>13300</v>
          </cell>
          <cell r="E258">
            <v>2527</v>
          </cell>
          <cell r="F258">
            <v>15827</v>
          </cell>
          <cell r="G258">
            <v>0.25</v>
          </cell>
        </row>
        <row r="259">
          <cell r="B259" t="str">
            <v>LV-5224-W SUICHE DOBLE 15A BLANCO</v>
          </cell>
          <cell r="C259" t="str">
            <v>UN</v>
          </cell>
          <cell r="D259">
            <v>15900</v>
          </cell>
          <cell r="E259">
            <v>3021</v>
          </cell>
          <cell r="F259">
            <v>18921</v>
          </cell>
          <cell r="G259">
            <v>0.3</v>
          </cell>
        </row>
        <row r="260">
          <cell r="B260" t="str">
            <v>INTERRUPTOR TRIPLE (1755-W) CON TAPA</v>
          </cell>
          <cell r="C260" t="str">
            <v>UN</v>
          </cell>
          <cell r="D260">
            <v>27729.600000000002</v>
          </cell>
          <cell r="E260">
            <v>5268.6240000000007</v>
          </cell>
          <cell r="F260">
            <v>32998.224000000002</v>
          </cell>
          <cell r="G260">
            <v>0.3</v>
          </cell>
        </row>
        <row r="261">
          <cell r="B261" t="str">
            <v xml:space="preserve">INTERRUPTOR DOBLE CONMUTABLE </v>
          </cell>
          <cell r="C261" t="str">
            <v>UN</v>
          </cell>
          <cell r="D261">
            <v>27876.16</v>
          </cell>
          <cell r="E261">
            <v>5296.4704000000002</v>
          </cell>
          <cell r="F261">
            <v>33172.630400000002</v>
          </cell>
          <cell r="G261">
            <v>0.3</v>
          </cell>
        </row>
        <row r="262">
          <cell r="B262" t="str">
            <v>LV-5262-OIG     TOMA DOBLE  T/AIS 15A NARANJA</v>
          </cell>
          <cell r="C262" t="str">
            <v>UN</v>
          </cell>
          <cell r="D262">
            <v>15518.400000000001</v>
          </cell>
          <cell r="E262">
            <v>2948.4960000000001</v>
          </cell>
          <cell r="F262">
            <v>18466.896000000001</v>
          </cell>
          <cell r="G262">
            <v>0.3</v>
          </cell>
        </row>
        <row r="263">
          <cell r="B263" t="str">
            <v>LV-8300-OIG     TOMA DOBLE  T/AIS 20A NARANJA</v>
          </cell>
          <cell r="C263" t="str">
            <v>UN</v>
          </cell>
          <cell r="D263">
            <v>30273.600000000002</v>
          </cell>
          <cell r="E263">
            <v>5751.9840000000004</v>
          </cell>
          <cell r="F263">
            <v>36025.584000000003</v>
          </cell>
          <cell r="G263">
            <v>0.3</v>
          </cell>
        </row>
        <row r="264">
          <cell r="B264" t="str">
            <v>LV-5320-W      TOMA DOBLE 15A BLANCO C/PLACA</v>
          </cell>
          <cell r="C264" t="str">
            <v>UN</v>
          </cell>
          <cell r="D264">
            <v>3498</v>
          </cell>
          <cell r="E264">
            <v>664.62</v>
          </cell>
          <cell r="F264">
            <v>4162.62</v>
          </cell>
          <cell r="G264">
            <v>0.3</v>
          </cell>
        </row>
        <row r="265">
          <cell r="B265" t="str">
            <v xml:space="preserve">CR20-W Toma doble, polo a tierra, 20A,125V. blanco. Nema 5-20R </v>
          </cell>
          <cell r="C265" t="str">
            <v>un</v>
          </cell>
          <cell r="D265">
            <v>7314</v>
          </cell>
          <cell r="E265">
            <v>1389.66</v>
          </cell>
          <cell r="F265">
            <v>8703.66</v>
          </cell>
          <cell r="G265">
            <v>1.3</v>
          </cell>
        </row>
        <row r="266">
          <cell r="B266" t="str">
            <v>LV-GFNT1-W TOMA DOBLE GFCI 15A 125V NEMA 5-15 CON TAPA.</v>
          </cell>
          <cell r="C266" t="str">
            <v>UN</v>
          </cell>
          <cell r="D266">
            <v>43248</v>
          </cell>
          <cell r="E266">
            <v>8217.1200000000008</v>
          </cell>
          <cell r="F266">
            <v>51465.120000000003</v>
          </cell>
          <cell r="G266">
            <v>0.3</v>
          </cell>
        </row>
        <row r="267">
          <cell r="B267" t="str">
            <v>LV-GFNT2-W TOMA DOBLE GFCI 20A 125V NEMA 5-20R CON TAPA.</v>
          </cell>
          <cell r="C267" t="str">
            <v>UN</v>
          </cell>
          <cell r="D267">
            <v>63536.4</v>
          </cell>
          <cell r="E267">
            <v>12071.916000000001</v>
          </cell>
          <cell r="F267">
            <v>75608.316000000006</v>
          </cell>
          <cell r="G267">
            <v>0.3</v>
          </cell>
        </row>
        <row r="268">
          <cell r="B268" t="str">
            <v>LV-80703-IG  PLACA DOBLE NARANJA</v>
          </cell>
          <cell r="C268" t="str">
            <v>UN</v>
          </cell>
          <cell r="D268">
            <v>4770</v>
          </cell>
          <cell r="E268">
            <v>906.3</v>
          </cell>
          <cell r="F268">
            <v>5676.3</v>
          </cell>
          <cell r="G268">
            <v>0.05</v>
          </cell>
        </row>
        <row r="269">
          <cell r="B269" t="str">
            <v>LV-88003-W  TAPA TOMA BLANCA</v>
          </cell>
          <cell r="C269" t="str">
            <v>UN</v>
          </cell>
          <cell r="D269">
            <v>1335.6000000000001</v>
          </cell>
          <cell r="E269">
            <v>253.76400000000004</v>
          </cell>
          <cell r="F269">
            <v>1589.3640000000003</v>
          </cell>
          <cell r="G269">
            <v>0.05</v>
          </cell>
        </row>
        <row r="270">
          <cell r="B270" t="str">
            <v>TAPA PARA INTERRUPTOR LEVITON</v>
          </cell>
          <cell r="C270" t="str">
            <v>UN</v>
          </cell>
          <cell r="D270">
            <v>1935.6</v>
          </cell>
          <cell r="E270">
            <v>367.76400000000001</v>
          </cell>
          <cell r="F270">
            <v>2303.364</v>
          </cell>
          <cell r="G270">
            <v>0.05</v>
          </cell>
        </row>
        <row r="271">
          <cell r="B271" t="str">
            <v>TAPA PARA INTERRUPTOR TRIPLE (80401-W)</v>
          </cell>
          <cell r="C271" t="str">
            <v>UN</v>
          </cell>
          <cell r="D271">
            <v>1526.4</v>
          </cell>
          <cell r="E271">
            <v>290.01600000000002</v>
          </cell>
          <cell r="F271">
            <v>1816.4160000000002</v>
          </cell>
          <cell r="G271">
            <v>0.05</v>
          </cell>
        </row>
        <row r="272">
          <cell r="B272" t="str">
            <v>LV-2320 TOMA 20 AMP, 250V, 2 POLOS +TIERRA, 3 HILOS NEMA 6-20R de incrustar</v>
          </cell>
          <cell r="C272" t="str">
            <v>UN</v>
          </cell>
          <cell r="D272">
            <v>19500</v>
          </cell>
          <cell r="E272">
            <v>3705</v>
          </cell>
          <cell r="F272">
            <v>23205</v>
          </cell>
          <cell r="G272">
            <v>0.3</v>
          </cell>
        </row>
        <row r="273">
          <cell r="B273" t="str">
            <v>LV-2321 Clavija 20 AMP, 250V, 2 POLOS +TIERRA, 3 HILOS NEMA 6-20P de incrustar</v>
          </cell>
          <cell r="C273" t="str">
            <v>un</v>
          </cell>
          <cell r="D273">
            <v>34026</v>
          </cell>
          <cell r="E273">
            <v>6464.9400000000005</v>
          </cell>
          <cell r="F273">
            <v>40490.94</v>
          </cell>
          <cell r="G273">
            <v>0.3</v>
          </cell>
        </row>
        <row r="274">
          <cell r="B274" t="str">
            <v>LV-2620 TOMA 30 AMP, 250V, 2 POLOS +TIERRA, 3 HILOS NEMA 6-30R de incrustar</v>
          </cell>
          <cell r="C274" t="str">
            <v>un</v>
          </cell>
          <cell r="D274">
            <v>36633.599999999999</v>
          </cell>
          <cell r="E274">
            <v>6960.384</v>
          </cell>
          <cell r="F274">
            <v>43593.983999999997</v>
          </cell>
          <cell r="G274">
            <v>0.3</v>
          </cell>
        </row>
        <row r="275">
          <cell r="B275" t="str">
            <v>LV-2621 Clavija 30 AMP, 250V, 2 POLOS +TIERRA, 3 HILOS NEMA 6-30P de incrustar</v>
          </cell>
          <cell r="C275" t="str">
            <v>un</v>
          </cell>
          <cell r="D275">
            <v>35679.599999999999</v>
          </cell>
          <cell r="E275">
            <v>6779.1239999999998</v>
          </cell>
          <cell r="F275">
            <v>42458.724000000002</v>
          </cell>
          <cell r="G275">
            <v>0.3</v>
          </cell>
        </row>
        <row r="276">
          <cell r="B276" t="str">
            <v>LV-2410 TOMA 20 AMP, 125/250V, 3 POLOS +TIERRA, 4 HILOS NEMA 14-20R de incrustar</v>
          </cell>
          <cell r="C276" t="str">
            <v>un</v>
          </cell>
          <cell r="D276">
            <v>31482</v>
          </cell>
          <cell r="E276">
            <v>5981.58</v>
          </cell>
          <cell r="F276">
            <v>37463.58</v>
          </cell>
          <cell r="G276">
            <v>0.4</v>
          </cell>
        </row>
        <row r="277">
          <cell r="B277" t="str">
            <v>LV-2411 Clavija 20 AMP, 125/250V, 3 POLOS +TIERRA, 4 HILOS NEMA 14-20P de incrustar</v>
          </cell>
          <cell r="C277" t="str">
            <v>un</v>
          </cell>
          <cell r="D277">
            <v>30210</v>
          </cell>
          <cell r="E277">
            <v>5739.9</v>
          </cell>
          <cell r="F277">
            <v>35949.9</v>
          </cell>
          <cell r="G277">
            <v>0.4</v>
          </cell>
        </row>
        <row r="278">
          <cell r="B278" t="str">
            <v>LV-2710 TOMA 30 AMP, 125/250V, 3 POLOS +TIERRA, 4 HILOS NEMA 14-30R de incrustar</v>
          </cell>
          <cell r="C278" t="str">
            <v>un</v>
          </cell>
          <cell r="D278">
            <v>31990.800000000003</v>
          </cell>
          <cell r="E278">
            <v>6078.2520000000004</v>
          </cell>
          <cell r="F278">
            <v>38069.052000000003</v>
          </cell>
          <cell r="G278">
            <v>0.5</v>
          </cell>
        </row>
        <row r="279">
          <cell r="B279" t="str">
            <v>LV-2711 Clavija 30 AMP, 125/250V, 3 POLOS +TIERRA, 4 HILOS NEMA 14-30P de incrustar</v>
          </cell>
          <cell r="C279" t="str">
            <v>un</v>
          </cell>
          <cell r="D279">
            <v>33644.400000000001</v>
          </cell>
          <cell r="E279">
            <v>6392.4360000000006</v>
          </cell>
          <cell r="F279">
            <v>40036.836000000003</v>
          </cell>
          <cell r="G279">
            <v>0.5</v>
          </cell>
        </row>
        <row r="280">
          <cell r="B280" t="str">
            <v>LV-4980-GY Tapa termoplástica tipo intemperie para tomas de incrustar locking de 20 y 30 A</v>
          </cell>
          <cell r="C280" t="str">
            <v>un</v>
          </cell>
          <cell r="D280">
            <v>16981.2</v>
          </cell>
          <cell r="E280">
            <v>3226.4280000000003</v>
          </cell>
          <cell r="F280">
            <v>20207.628000000001</v>
          </cell>
          <cell r="G280">
            <v>0.2</v>
          </cell>
        </row>
        <row r="281">
          <cell r="B281" t="str">
            <v>INTERRUPTORES AUITOMÁTICOS, CONTROL INDUSTRIAL</v>
          </cell>
          <cell r="C281">
            <v>0</v>
          </cell>
          <cell r="D281">
            <v>0</v>
          </cell>
          <cell r="E281">
            <v>0</v>
          </cell>
          <cell r="F281">
            <v>0</v>
          </cell>
          <cell r="G281">
            <v>0</v>
          </cell>
        </row>
        <row r="282">
          <cell r="B282" t="str">
            <v xml:space="preserve">BREAKER TIPO CAJA MOLDEADA 3x63A, 25kA, 220V, </v>
          </cell>
          <cell r="C282" t="str">
            <v>UN</v>
          </cell>
          <cell r="D282">
            <v>286600</v>
          </cell>
          <cell r="E282">
            <v>54454</v>
          </cell>
          <cell r="F282">
            <v>341054</v>
          </cell>
          <cell r="G282">
            <v>0.5</v>
          </cell>
        </row>
        <row r="283">
          <cell r="B283" t="str">
            <v>BREAKER 3X100A  220 V,  25 KA INDUSTRIAL ABB, SIEMENS, EATON O MERLIN GERIN</v>
          </cell>
          <cell r="C283" t="str">
            <v>UN</v>
          </cell>
          <cell r="D283">
            <v>189496.98275862099</v>
          </cell>
          <cell r="E283">
            <v>36004.426724137986</v>
          </cell>
          <cell r="F283">
            <v>225501.40948275896</v>
          </cell>
          <cell r="G283">
            <v>1.5</v>
          </cell>
        </row>
        <row r="284">
          <cell r="B284" t="str">
            <v>BREAKER 3X125A  220 V, 50 KA INDUSTRIAL ABB, SIEMENS, EATON O MERLIN GERIN</v>
          </cell>
          <cell r="C284" t="str">
            <v>UN</v>
          </cell>
          <cell r="D284">
            <v>387578.03448275867</v>
          </cell>
          <cell r="E284">
            <v>73639.826551724153</v>
          </cell>
          <cell r="F284">
            <v>461217.86103448283</v>
          </cell>
          <cell r="G284">
            <v>2</v>
          </cell>
        </row>
        <row r="285">
          <cell r="B285" t="str">
            <v>BREAKER 3X150A  220 V,  25 KA, Ics=100%Icu INDUSTRIAL SCHNEIDER, ABB, SIEMENS, EATON O MERLIN GERIN</v>
          </cell>
          <cell r="C285" t="str">
            <v>UN</v>
          </cell>
          <cell r="D285">
            <v>470250</v>
          </cell>
          <cell r="E285">
            <v>89347.5</v>
          </cell>
          <cell r="F285">
            <v>559597.5</v>
          </cell>
          <cell r="G285">
            <v>2</v>
          </cell>
        </row>
        <row r="286">
          <cell r="B286" t="str">
            <v>BREAKER 3X160A  220 V,  50 KA INDUSTRIAL ABB, SIEMENS, EATON O MERLIN GERIN</v>
          </cell>
          <cell r="C286" t="str">
            <v>UN</v>
          </cell>
          <cell r="D286">
            <v>387578.03448275867</v>
          </cell>
          <cell r="E286">
            <v>73639.826551724153</v>
          </cell>
          <cell r="F286">
            <v>461217.86103448283</v>
          </cell>
          <cell r="G286">
            <v>2</v>
          </cell>
        </row>
        <row r="287">
          <cell r="B287" t="str">
            <v>BREAKER 3X175A  220 V,  50 KA INDUSTRIAL ABB, SIEMENS, EATON O MERLIN GERIN</v>
          </cell>
          <cell r="C287" t="str">
            <v>UN</v>
          </cell>
          <cell r="D287">
            <v>387578.03448275867</v>
          </cell>
          <cell r="E287">
            <v>73639.826551724153</v>
          </cell>
          <cell r="F287">
            <v>461217.86103448283</v>
          </cell>
          <cell r="G287">
            <v>2</v>
          </cell>
        </row>
        <row r="288">
          <cell r="B288" t="str">
            <v>BREAKER 3X200A  220 V, 50 KA INDUSTRIAL ABB, SIEMENS, EATON O MERLIN GERIN</v>
          </cell>
          <cell r="C288" t="str">
            <v>UN</v>
          </cell>
          <cell r="D288">
            <v>387578.03448275867</v>
          </cell>
          <cell r="E288">
            <v>73639.826551724153</v>
          </cell>
          <cell r="F288">
            <v>461217.86103448283</v>
          </cell>
          <cell r="G288">
            <v>2</v>
          </cell>
        </row>
        <row r="289">
          <cell r="B289" t="str">
            <v>BREAKER 3X15A 220 V, 25 KA INDUSTRIAL ABB, SIEMENS, EATON O MERLIN GERIN</v>
          </cell>
          <cell r="C289" t="str">
            <v>UN</v>
          </cell>
          <cell r="D289">
            <v>140619.96551724139</v>
          </cell>
          <cell r="E289">
            <v>26717.793448275865</v>
          </cell>
          <cell r="F289">
            <v>167337.75896551725</v>
          </cell>
          <cell r="G289">
            <v>1.2</v>
          </cell>
        </row>
        <row r="290">
          <cell r="B290" t="str">
            <v>BREAKER 3X20A 220 V, 25 KA INDUSTRIAL ABB, SIEMENS, EATON O MERLIN GERIN</v>
          </cell>
          <cell r="C290" t="str">
            <v>UN</v>
          </cell>
          <cell r="D290">
            <v>140619.96551724139</v>
          </cell>
          <cell r="E290">
            <v>26717.793448275865</v>
          </cell>
          <cell r="F290">
            <v>167337.75896551725</v>
          </cell>
          <cell r="G290">
            <v>1.2</v>
          </cell>
        </row>
        <row r="291">
          <cell r="B291" t="str">
            <v>BREAKER 3X225A  220 V, 50 KA INDUSTRIAL ABB, SIEMENS, EATON O MERLIN GERIN</v>
          </cell>
          <cell r="C291" t="str">
            <v>UN</v>
          </cell>
          <cell r="D291">
            <v>387578.03448275867</v>
          </cell>
          <cell r="E291">
            <v>73639.826551724153</v>
          </cell>
          <cell r="F291">
            <v>461217.86103448283</v>
          </cell>
          <cell r="G291">
            <v>2</v>
          </cell>
        </row>
        <row r="292">
          <cell r="B292" t="str">
            <v>BREAKER 3X250A  220 V, 50 KA INDUSTRIAL ABB, SIEMENS, EATON O MERLIN GERIN</v>
          </cell>
          <cell r="C292" t="str">
            <v>UN</v>
          </cell>
          <cell r="D292">
            <v>484822.98275862075</v>
          </cell>
          <cell r="E292">
            <v>92116.366724137944</v>
          </cell>
          <cell r="F292">
            <v>576939.34948275867</v>
          </cell>
          <cell r="G292">
            <v>2.2999999999999998</v>
          </cell>
        </row>
        <row r="293">
          <cell r="B293" t="str">
            <v>BREAKER 3X300A  220 V,  85 KA INDUSTRIAL ABB, SIEMENS, EATON O MERLIN GERIN</v>
          </cell>
          <cell r="C293" t="str">
            <v>UN</v>
          </cell>
          <cell r="D293">
            <v>642232.98275862075</v>
          </cell>
          <cell r="E293">
            <v>122024.26672413794</v>
          </cell>
          <cell r="F293">
            <v>764257.24948275869</v>
          </cell>
          <cell r="G293">
            <v>2.5</v>
          </cell>
        </row>
        <row r="294">
          <cell r="B294" t="str">
            <v>BREAKER 3X30A   220 V, 25 KA INDUSTRIAL ABB, SIEMENS, EATON O MERLIN GERIN</v>
          </cell>
          <cell r="C294" t="str">
            <v>UN</v>
          </cell>
          <cell r="D294">
            <v>140619.96551724139</v>
          </cell>
          <cell r="E294">
            <v>26717.793448275865</v>
          </cell>
          <cell r="F294">
            <v>167337.75896551725</v>
          </cell>
          <cell r="G294">
            <v>1.2</v>
          </cell>
        </row>
        <row r="295">
          <cell r="B295" t="str">
            <v>BREAKER 3X400A regulable  220 V, Ics=100%Icu, 25KA INDUSTRIAL SCHNEIDER, ABB, SIEMENS, EATON O MERLIN GERIN</v>
          </cell>
          <cell r="C295" t="str">
            <v>UN</v>
          </cell>
          <cell r="D295">
            <v>1172475</v>
          </cell>
          <cell r="E295">
            <v>222770.25</v>
          </cell>
          <cell r="F295">
            <v>1395245.25</v>
          </cell>
          <cell r="G295">
            <v>2.5</v>
          </cell>
        </row>
        <row r="296">
          <cell r="B296" t="str">
            <v>BREAKER 3X400A  220 V, 85 KA INDUSTRIAL ABB, SIEMENS, EATON O MERLIN GERIN</v>
          </cell>
          <cell r="C296" t="str">
            <v>UN</v>
          </cell>
          <cell r="D296">
            <v>642232.98275862075</v>
          </cell>
          <cell r="E296">
            <v>122024.26672413794</v>
          </cell>
          <cell r="F296">
            <v>764257.24948275869</v>
          </cell>
          <cell r="G296">
            <v>2.5</v>
          </cell>
        </row>
        <row r="297">
          <cell r="B297" t="str">
            <v>BREAKER 3X40A  220 V, 25 KA INDUSTRIAL ABB, SIEMENS, EATON O MERLIN GERIN</v>
          </cell>
          <cell r="C297" t="str">
            <v>UN</v>
          </cell>
          <cell r="D297">
            <v>166619.96551724101</v>
          </cell>
          <cell r="E297">
            <v>31657.793448275792</v>
          </cell>
          <cell r="F297">
            <v>198277.75896551681</v>
          </cell>
          <cell r="G297">
            <v>1.2</v>
          </cell>
        </row>
        <row r="298">
          <cell r="B298" t="str">
            <v>BREAKER 3X500A  220 V, 85 KA INDUSTRIAL ABB, SIEMENS, EATON O MERLIN GERIN</v>
          </cell>
          <cell r="C298" t="str">
            <v>UN</v>
          </cell>
          <cell r="D298">
            <v>1818960.0000000002</v>
          </cell>
          <cell r="E298">
            <v>345602.4</v>
          </cell>
          <cell r="F298">
            <v>2164562.4000000004</v>
          </cell>
          <cell r="G298">
            <v>3</v>
          </cell>
        </row>
        <row r="299">
          <cell r="B299" t="str">
            <v>BREAKER 3X50A  220 V, 25 KA INDUSTRIAL ABB, SIEMENS, EATON O MERLIN GERIN</v>
          </cell>
          <cell r="C299" t="str">
            <v>UN</v>
          </cell>
          <cell r="D299">
            <v>140619.96551724139</v>
          </cell>
          <cell r="E299">
            <v>26717.793448275865</v>
          </cell>
          <cell r="F299">
            <v>167337.75896551725</v>
          </cell>
          <cell r="G299">
            <v>1.2</v>
          </cell>
        </row>
        <row r="300">
          <cell r="B300" t="str">
            <v>BREAKER 3X60A 220 V,  25 KA INDUSTRIAL ABB, SIEMENS, EATON O MERLIN GERIN</v>
          </cell>
          <cell r="C300" t="str">
            <v>UN</v>
          </cell>
          <cell r="D300">
            <v>140619.96551724139</v>
          </cell>
          <cell r="E300">
            <v>26717.793448275865</v>
          </cell>
          <cell r="F300">
            <v>167337.75896551725</v>
          </cell>
          <cell r="G300">
            <v>1.2</v>
          </cell>
        </row>
        <row r="301">
          <cell r="B301" t="str">
            <v>BREAKER 3X630A  220 V, 85 KA INDUSTRIAL ABB, SIEMENS, EATON O MERLIN GERIN</v>
          </cell>
          <cell r="C301" t="str">
            <v>UN</v>
          </cell>
          <cell r="D301">
            <v>1818960.0000000002</v>
          </cell>
          <cell r="E301">
            <v>345602.4</v>
          </cell>
          <cell r="F301">
            <v>2164562.4000000004</v>
          </cell>
          <cell r="G301">
            <v>3</v>
          </cell>
        </row>
        <row r="302">
          <cell r="B302" t="str">
            <v>BREAKER 3X70A  220 V, 25 KA INDUSTRIAL ABB, SIEMENS, EATON O MERLIN GERIN</v>
          </cell>
          <cell r="C302" t="str">
            <v>UN</v>
          </cell>
          <cell r="D302">
            <v>180496.9827586207</v>
          </cell>
          <cell r="E302">
            <v>34294.426724137935</v>
          </cell>
          <cell r="F302">
            <v>214791.40948275864</v>
          </cell>
          <cell r="G302">
            <v>1.5</v>
          </cell>
        </row>
        <row r="303">
          <cell r="B303" t="str">
            <v>BREAKER 3X80A  220 V, 25 KA INDUSTRIAL ABB, SIEMENS, EATON O MERLIN GERIN</v>
          </cell>
          <cell r="C303" t="str">
            <v>UN</v>
          </cell>
          <cell r="D303">
            <v>180496.9827586207</v>
          </cell>
          <cell r="E303">
            <v>34294.426724137935</v>
          </cell>
          <cell r="F303">
            <v>214791.40948275864</v>
          </cell>
          <cell r="G303">
            <v>1.5</v>
          </cell>
        </row>
        <row r="304">
          <cell r="B304" t="str">
            <v>BREAKER TIPO RIEL(MINIBREAKER) MONOPOLAR 1X0,5 A; 1A; 1,6A;2A;3A;4A;6A; 120V. ICC=20KA</v>
          </cell>
          <cell r="C304" t="str">
            <v>Un</v>
          </cell>
          <cell r="D304">
            <v>24804</v>
          </cell>
          <cell r="E304">
            <v>4712.76</v>
          </cell>
          <cell r="F304">
            <v>29516.760000000002</v>
          </cell>
          <cell r="G304">
            <v>0.15</v>
          </cell>
        </row>
        <row r="305">
          <cell r="B305" t="str">
            <v>BREAKER TIPO RIEL(MINIBREAKER) MONOPOLAR 1X10A; 16A; 20A;25A;32A; 120V.ICC=10KA</v>
          </cell>
          <cell r="C305" t="str">
            <v>Un</v>
          </cell>
          <cell r="D305">
            <v>25536</v>
          </cell>
          <cell r="E305">
            <v>4851.84</v>
          </cell>
          <cell r="F305">
            <v>30387.84</v>
          </cell>
          <cell r="G305">
            <v>0.15</v>
          </cell>
        </row>
        <row r="306">
          <cell r="B306" t="str">
            <v>BREAKER TIPO RIEL(MINIBREAKER) MONOPOLAR 1X40A;  120V.ICC=20KA</v>
          </cell>
          <cell r="C306" t="str">
            <v>Un</v>
          </cell>
          <cell r="D306">
            <v>26330.400000000001</v>
          </cell>
          <cell r="E306">
            <v>5002.7760000000007</v>
          </cell>
          <cell r="F306">
            <v>31333.176000000003</v>
          </cell>
          <cell r="G306">
            <v>0.2</v>
          </cell>
        </row>
        <row r="307">
          <cell r="B307" t="str">
            <v>BREAKER TIPO RIEL(MINIBREAKER) MONOPOLAR 1X50A;  120V.ICC=20KA</v>
          </cell>
          <cell r="C307" t="str">
            <v>Un</v>
          </cell>
          <cell r="D307">
            <v>29701.200000000001</v>
          </cell>
          <cell r="E307">
            <v>5643.2280000000001</v>
          </cell>
          <cell r="F307">
            <v>35344.428</v>
          </cell>
          <cell r="G307">
            <v>0.2</v>
          </cell>
        </row>
        <row r="308">
          <cell r="B308" t="str">
            <v>BREAKER TIPO RIEL(MINIBREAKER) MONOPOLAR 1X63A;  120V.ICC=20KA</v>
          </cell>
          <cell r="C308" t="str">
            <v>Un</v>
          </cell>
          <cell r="D308">
            <v>32944.800000000003</v>
          </cell>
          <cell r="E308">
            <v>6259.5120000000006</v>
          </cell>
          <cell r="F308">
            <v>39204.312000000005</v>
          </cell>
          <cell r="G308">
            <v>0.2</v>
          </cell>
        </row>
        <row r="309">
          <cell r="B309" t="str">
            <v>BREAKER TIPO RIEL(MINIBREAKER) BIPOLAR 2X0,5 A; 1A; 1,6A;2A;3A;4A;6A; 220V. ICC=20KA</v>
          </cell>
          <cell r="C309" t="str">
            <v>Un</v>
          </cell>
          <cell r="D309">
            <v>81344.400000000009</v>
          </cell>
          <cell r="E309">
            <v>15455.436000000002</v>
          </cell>
          <cell r="F309">
            <v>96799.83600000001</v>
          </cell>
          <cell r="G309">
            <v>0.3</v>
          </cell>
        </row>
        <row r="310">
          <cell r="B310" t="str">
            <v>BREAKER TIPO RIEL(MINIBREAKER) BIPOLAR 2X10A; 16A; 20A;25A;32A; 220V.ICC=20KA</v>
          </cell>
          <cell r="C310" t="str">
            <v>Un</v>
          </cell>
          <cell r="D310">
            <v>38732.400000000001</v>
          </cell>
          <cell r="E310">
            <v>7359.1559999999999</v>
          </cell>
          <cell r="F310">
            <v>46091.556000000004</v>
          </cell>
          <cell r="G310">
            <v>0.3</v>
          </cell>
        </row>
        <row r="311">
          <cell r="B311" t="str">
            <v>BREAKER TIPO RIEL(MINIBREAKER) BIPOLAR 2X40A;  220V.ICC=20KA</v>
          </cell>
          <cell r="C311" t="str">
            <v>Un</v>
          </cell>
          <cell r="D311">
            <v>61628.4</v>
          </cell>
          <cell r="E311">
            <v>11709.396000000001</v>
          </cell>
          <cell r="F311">
            <v>73337.796000000002</v>
          </cell>
          <cell r="G311">
            <v>0.3</v>
          </cell>
        </row>
        <row r="312">
          <cell r="B312" t="str">
            <v>BREAKER TIPO RIEL(MINIBREAKER) BIPOLAR 2X50A;  220V.ICC=20KA</v>
          </cell>
          <cell r="C312" t="str">
            <v>Un</v>
          </cell>
          <cell r="D312">
            <v>69896.400000000009</v>
          </cell>
          <cell r="E312">
            <v>13280.316000000003</v>
          </cell>
          <cell r="F312">
            <v>83176.716000000015</v>
          </cell>
          <cell r="G312">
            <v>0.3</v>
          </cell>
        </row>
        <row r="313">
          <cell r="B313" t="str">
            <v>BREAKER TIPO RIEL(MINIBREAKER) BIPOLAR 2X63A;  220V.ICC=20KA</v>
          </cell>
          <cell r="C313" t="str">
            <v>Un</v>
          </cell>
          <cell r="D313">
            <v>77464.800000000003</v>
          </cell>
          <cell r="E313">
            <v>14718.312</v>
          </cell>
          <cell r="F313">
            <v>92183.112000000008</v>
          </cell>
          <cell r="G313">
            <v>0.3</v>
          </cell>
        </row>
        <row r="314">
          <cell r="B314" t="str">
            <v>BREAKER TIPO RIEL(MINIBREAKER) TRIPOLAR 3X1A; 2A;3A;4A; 220V. ICC=20KA</v>
          </cell>
          <cell r="C314" t="str">
            <v>Un</v>
          </cell>
          <cell r="D314">
            <v>97117.200000000012</v>
          </cell>
          <cell r="E314">
            <v>18452.268000000004</v>
          </cell>
          <cell r="F314">
            <v>115569.46800000002</v>
          </cell>
          <cell r="G314">
            <v>0.4</v>
          </cell>
        </row>
        <row r="315">
          <cell r="B315" t="str">
            <v>BREAKER TIPO RIEL(MINIBREAKER) TRIPOLAR 3X6A; 10A;16A;20A; 25A; 32A.220V. ICC=20KA</v>
          </cell>
          <cell r="C315" t="str">
            <v>Un</v>
          </cell>
          <cell r="D315">
            <v>72313.2</v>
          </cell>
          <cell r="E315">
            <v>13739.508</v>
          </cell>
          <cell r="F315">
            <v>86052.707999999999</v>
          </cell>
          <cell r="G315">
            <v>0.4</v>
          </cell>
        </row>
        <row r="316">
          <cell r="B316" t="str">
            <v>BREAKER TIPO RIEL(MINIBREAKER) TRIPOLAR 3X40A;  220V.ICC=20KA</v>
          </cell>
          <cell r="C316" t="str">
            <v>Un</v>
          </cell>
          <cell r="D316">
            <v>115879.20000000001</v>
          </cell>
          <cell r="E316">
            <v>22017.048000000003</v>
          </cell>
          <cell r="F316">
            <v>137896.24800000002</v>
          </cell>
          <cell r="G316">
            <v>0.4</v>
          </cell>
        </row>
        <row r="317">
          <cell r="B317" t="str">
            <v>BREAKER TIPO RIEL(MINIBREAKER) TRIPOLAR 3X50A;  220V.ICC=20KA</v>
          </cell>
          <cell r="C317" t="str">
            <v>Un</v>
          </cell>
          <cell r="D317">
            <v>131016</v>
          </cell>
          <cell r="E317">
            <v>24893.040000000001</v>
          </cell>
          <cell r="F317">
            <v>155909.04</v>
          </cell>
          <cell r="G317">
            <v>0.4</v>
          </cell>
        </row>
        <row r="318">
          <cell r="B318" t="str">
            <v>BREAKER TIPO RIEL(MINIBREAKER) TRIPOLAR 3X63A;  220V.ICC=20KA</v>
          </cell>
          <cell r="C318" t="str">
            <v>Un</v>
          </cell>
          <cell r="D318">
            <v>146280</v>
          </cell>
          <cell r="E318">
            <v>27793.200000000001</v>
          </cell>
          <cell r="F318">
            <v>174073.2</v>
          </cell>
          <cell r="G318">
            <v>0.4</v>
          </cell>
        </row>
        <row r="319">
          <cell r="B319" t="str">
            <v>BREAKER TIPO RIEL(MINIBREAKER) TRIPOLAR 3X80A;  220V.ICC=20KA</v>
          </cell>
          <cell r="C319" t="str">
            <v>Un</v>
          </cell>
          <cell r="D319">
            <v>647448</v>
          </cell>
          <cell r="E319">
            <v>123015.12</v>
          </cell>
          <cell r="F319">
            <v>770463.12</v>
          </cell>
          <cell r="G319">
            <v>0.5</v>
          </cell>
        </row>
        <row r="320">
          <cell r="B320" t="str">
            <v>BREAKER TIPO RIEL(MINIBREAKER) TRIPOLAR 3X100A;  220V.ICC=20KA</v>
          </cell>
          <cell r="C320" t="str">
            <v>Un</v>
          </cell>
          <cell r="D320">
            <v>647448</v>
          </cell>
          <cell r="E320">
            <v>123015.12</v>
          </cell>
          <cell r="F320">
            <v>770463.12</v>
          </cell>
          <cell r="G320">
            <v>1</v>
          </cell>
        </row>
        <row r="321">
          <cell r="B321" t="str">
            <v>BREAKER TIPO RIEL(MINIBREAKER) TRIPOLAR 3X125A;  220V.ICC=20KA</v>
          </cell>
          <cell r="C321" t="str">
            <v>Un</v>
          </cell>
          <cell r="D321">
            <v>696420</v>
          </cell>
          <cell r="E321">
            <v>132319.79999999999</v>
          </cell>
          <cell r="F321">
            <v>828739.8</v>
          </cell>
          <cell r="G321">
            <v>1</v>
          </cell>
        </row>
        <row r="322">
          <cell r="B322" t="str">
            <v>BREAKER TIPO RIEL(MINIBREAKER) TETRAPOLAR 4X1A; 2A;3A;4A; 220V. ICC=20KA</v>
          </cell>
          <cell r="C322" t="str">
            <v>Un</v>
          </cell>
          <cell r="D322">
            <v>160208.4</v>
          </cell>
          <cell r="E322">
            <v>30439.595999999998</v>
          </cell>
          <cell r="F322">
            <v>190647.99599999998</v>
          </cell>
          <cell r="G322">
            <v>0.5</v>
          </cell>
        </row>
        <row r="323">
          <cell r="B323" t="str">
            <v>BREAKER TIPO RIEL(MINIBREAKER) TETRAPOLAR 4X6A; 10A;16A;20A; 25A; 32A.220V. ICC=20KA</v>
          </cell>
          <cell r="C323" t="str">
            <v>Un</v>
          </cell>
          <cell r="D323">
            <v>110664</v>
          </cell>
          <cell r="E323">
            <v>21026.16</v>
          </cell>
          <cell r="F323">
            <v>131690.16</v>
          </cell>
          <cell r="G323">
            <v>0.5</v>
          </cell>
        </row>
        <row r="324">
          <cell r="B324" t="str">
            <v>BREAKER TIPO RIEL(MINIBREAKER) TETRAPOLAR 4X40A;  220V.ICC=20KA</v>
          </cell>
          <cell r="C324" t="str">
            <v>Un</v>
          </cell>
          <cell r="D324">
            <v>160208.4</v>
          </cell>
          <cell r="E324">
            <v>30439.595999999998</v>
          </cell>
          <cell r="F324">
            <v>190647.99599999998</v>
          </cell>
          <cell r="G324">
            <v>0.5</v>
          </cell>
        </row>
        <row r="325">
          <cell r="B325" t="str">
            <v>BREAKER TIPO RIEL(MINIBREAKER) TETRAPOLAR 4X50A;  220V.ICC=20KA</v>
          </cell>
          <cell r="C325" t="str">
            <v>Un</v>
          </cell>
          <cell r="D325">
            <v>160208.4</v>
          </cell>
          <cell r="E325">
            <v>30439.595999999998</v>
          </cell>
          <cell r="F325">
            <v>190647.99599999998</v>
          </cell>
          <cell r="G325">
            <v>0.5</v>
          </cell>
        </row>
        <row r="326">
          <cell r="B326" t="str">
            <v>BREAKER TIPO RIEL(MINIBREAKER) TETRAPOLAR 4X63A;  220V.ICC=20KA</v>
          </cell>
          <cell r="C326" t="str">
            <v>Un</v>
          </cell>
          <cell r="D326">
            <v>160208.4</v>
          </cell>
          <cell r="E326">
            <v>30439.595999999998</v>
          </cell>
          <cell r="F326">
            <v>190647.99599999998</v>
          </cell>
          <cell r="G326">
            <v>0.5</v>
          </cell>
        </row>
        <row r="327">
          <cell r="B327" t="str">
            <v>BREAKER - SOR RELE DE APERTURA PARA USO CON INTERRUPTOR T4,T5,T6. 220-240Vac/220-250Vdc</v>
          </cell>
          <cell r="C327" t="str">
            <v>Un</v>
          </cell>
          <cell r="D327">
            <v>144690</v>
          </cell>
          <cell r="E327">
            <v>27491.1</v>
          </cell>
          <cell r="F327">
            <v>172181.1</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513718.4</v>
          </cell>
          <cell r="E328">
            <v>97606.495999999999</v>
          </cell>
          <cell r="F328">
            <v>611324.89600000007</v>
          </cell>
          <cell r="G328">
            <v>0.5</v>
          </cell>
        </row>
        <row r="329">
          <cell r="B329" t="str">
            <v>Platinas de cobre 800 A para fijación de cable   al breaker totalizador.</v>
          </cell>
          <cell r="C329">
            <v>0</v>
          </cell>
          <cell r="D329">
            <v>530000</v>
          </cell>
          <cell r="E329">
            <v>100700</v>
          </cell>
          <cell r="F329">
            <v>630700</v>
          </cell>
          <cell r="G329">
            <v>0</v>
          </cell>
        </row>
        <row r="330">
          <cell r="B330" t="str">
            <v>BREAKER-BARRAS DE COBRE 3X1000 A.CONEXION DE CABLES AL BREAKER.</v>
          </cell>
          <cell r="C330" t="str">
            <v>Un</v>
          </cell>
          <cell r="D330">
            <v>212000</v>
          </cell>
          <cell r="E330">
            <v>40280</v>
          </cell>
          <cell r="F330">
            <v>252280</v>
          </cell>
          <cell r="G330">
            <v>1</v>
          </cell>
        </row>
        <row r="331">
          <cell r="B331" t="str">
            <v>BREAKER-BARRAS DE COBRE 3X800 A.CONEXION DE CABLES AL BREAKER.</v>
          </cell>
          <cell r="C331" t="str">
            <v>Un</v>
          </cell>
          <cell r="D331">
            <v>159000</v>
          </cell>
          <cell r="E331">
            <v>30210</v>
          </cell>
          <cell r="F331">
            <v>189210</v>
          </cell>
          <cell r="G331">
            <v>1</v>
          </cell>
        </row>
        <row r="332">
          <cell r="B332" t="str">
            <v>BREAKER-BARRAS DE COBRE 3X500 A.CONEXION DE CABLES AL BREAKER.</v>
          </cell>
          <cell r="C332" t="str">
            <v>Un</v>
          </cell>
          <cell r="D332">
            <v>127200</v>
          </cell>
          <cell r="E332">
            <v>24168</v>
          </cell>
          <cell r="F332">
            <v>151368</v>
          </cell>
          <cell r="G332">
            <v>1</v>
          </cell>
        </row>
        <row r="333">
          <cell r="B333" t="str">
            <v>BREAKER-BARRAS DE COBRE 3X300 A.CONEXION DE CABLES AL BREAKER.</v>
          </cell>
          <cell r="C333" t="str">
            <v>Un</v>
          </cell>
          <cell r="D333">
            <v>106000</v>
          </cell>
          <cell r="E333">
            <v>20140</v>
          </cell>
          <cell r="F333">
            <v>126140</v>
          </cell>
          <cell r="G333">
            <v>1</v>
          </cell>
        </row>
        <row r="334">
          <cell r="B334" t="str">
            <v>BREAKER ELEMENTOS DE FIJACIÒN. TORNILLOS Y DEMÀS.</v>
          </cell>
          <cell r="C334" t="str">
            <v>Un</v>
          </cell>
          <cell r="D334">
            <v>15900</v>
          </cell>
          <cell r="E334">
            <v>3021</v>
          </cell>
          <cell r="F334">
            <v>18921</v>
          </cell>
          <cell r="G334">
            <v>0</v>
          </cell>
        </row>
        <row r="335">
          <cell r="B335" t="str">
            <v>BREAKER TOTALIZADOR  INDUSTRIAL 3X800A  220 V. AJUSTABLE TÈRMICA Y MAGNÈTICAMENTE (560-800A),  Icu=70 KA. Ics=100%Icu.MARCA ABB (REFERENCIA T6N  800 TMA 800-8000 3P FF), SIEMENS, EATON O MERLIN GERIN.</v>
          </cell>
          <cell r="C335" t="str">
            <v>Un</v>
          </cell>
          <cell r="D335">
            <v>3720600</v>
          </cell>
          <cell r="E335">
            <v>706914</v>
          </cell>
          <cell r="F335">
            <v>4427514</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4754100</v>
          </cell>
          <cell r="E336">
            <v>903279</v>
          </cell>
          <cell r="F336">
            <v>5657379</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5029700</v>
          </cell>
          <cell r="E337">
            <v>955643</v>
          </cell>
          <cell r="F337">
            <v>5985343</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2886910</v>
          </cell>
          <cell r="E338">
            <v>548512.9</v>
          </cell>
          <cell r="F338">
            <v>3435422.9</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3603470</v>
          </cell>
          <cell r="E339">
            <v>684659.3</v>
          </cell>
          <cell r="F339">
            <v>4288129.3</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3603470</v>
          </cell>
          <cell r="E340">
            <v>684659.3</v>
          </cell>
          <cell r="F340">
            <v>4288129.3</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2218580</v>
          </cell>
          <cell r="E341">
            <v>421530.2</v>
          </cell>
          <cell r="F341">
            <v>2640110.2000000002</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2514850</v>
          </cell>
          <cell r="E342">
            <v>477821.5</v>
          </cell>
          <cell r="F342">
            <v>2992671.5</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2645760</v>
          </cell>
          <cell r="E343">
            <v>502694.40000000002</v>
          </cell>
          <cell r="F343">
            <v>3148454.4</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916370</v>
          </cell>
          <cell r="E344">
            <v>174110.3</v>
          </cell>
          <cell r="F344">
            <v>1090480.3</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1488240</v>
          </cell>
          <cell r="E345">
            <v>282765.59999999998</v>
          </cell>
          <cell r="F345">
            <v>1771005.6</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1626040</v>
          </cell>
          <cell r="E346">
            <v>308947.59999999998</v>
          </cell>
          <cell r="F346">
            <v>1934987.6</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1626040</v>
          </cell>
          <cell r="E347">
            <v>308947.59999999998</v>
          </cell>
          <cell r="F347">
            <v>1934987.6</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1467570</v>
          </cell>
          <cell r="E348">
            <v>278838.3</v>
          </cell>
          <cell r="F348">
            <v>1746408.3</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1309100</v>
          </cell>
          <cell r="E349">
            <v>248729</v>
          </cell>
          <cell r="F349">
            <v>1557829</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813020</v>
          </cell>
          <cell r="E350">
            <v>154473.79999999999</v>
          </cell>
          <cell r="F350">
            <v>967493.8</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778570</v>
          </cell>
          <cell r="E351">
            <v>147928.29999999999</v>
          </cell>
          <cell r="F351">
            <v>926498.3</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661440</v>
          </cell>
          <cell r="E352">
            <v>125673.60000000001</v>
          </cell>
          <cell r="F352">
            <v>787113.6</v>
          </cell>
          <cell r="G352">
            <v>2</v>
          </cell>
        </row>
        <row r="353">
          <cell r="B353" t="str">
            <v>BREAKER 3X15A  220 V,  25 KA INDUSTRIAL ABB(A1B 125 TMF 15-300 3P FF), SIEMENS, EATON O MERLIN GERIN</v>
          </cell>
          <cell r="C353" t="str">
            <v>Un</v>
          </cell>
          <cell r="D353">
            <v>127200</v>
          </cell>
          <cell r="E353">
            <v>24168</v>
          </cell>
          <cell r="F353">
            <v>151368</v>
          </cell>
          <cell r="G353">
            <v>1</v>
          </cell>
        </row>
        <row r="354">
          <cell r="B354" t="str">
            <v>BREAKER 3X15A  220 V,  100 KA INDUSTRIAL ABB(A1N 125 TMF 15-300 3P FF), SIEMENS, EATON O MERLIN GERIN</v>
          </cell>
          <cell r="C354" t="str">
            <v>Un</v>
          </cell>
          <cell r="D354">
            <v>197160</v>
          </cell>
          <cell r="E354">
            <v>37460.400000000001</v>
          </cell>
          <cell r="F354">
            <v>234620.4</v>
          </cell>
          <cell r="G354">
            <v>1</v>
          </cell>
        </row>
        <row r="355">
          <cell r="B355" t="str">
            <v>BREAKER 3X20A  220 V,  25 KA INDUSTRIAL ABB(A1B 125 TMF 20-300 3P FF), SIEMENS, EATON O MERLIN GERIN</v>
          </cell>
          <cell r="C355" t="str">
            <v>Un</v>
          </cell>
          <cell r="D355">
            <v>127200</v>
          </cell>
          <cell r="E355">
            <v>24168</v>
          </cell>
          <cell r="F355">
            <v>151368</v>
          </cell>
          <cell r="G355">
            <v>1</v>
          </cell>
        </row>
        <row r="356">
          <cell r="B356" t="str">
            <v>BREAKER 3X20A  220 V,  100 KA INDUSTRIAL ABB(A1N 125 TMF 20-300 3P FF), SIEMENS, EATON O MERLIN GERIN</v>
          </cell>
          <cell r="C356" t="str">
            <v>Un</v>
          </cell>
          <cell r="D356">
            <v>197160</v>
          </cell>
          <cell r="E356">
            <v>37460.400000000001</v>
          </cell>
          <cell r="F356">
            <v>234620.4</v>
          </cell>
          <cell r="G356">
            <v>1</v>
          </cell>
        </row>
        <row r="357">
          <cell r="B357" t="str">
            <v>BREAKER 3X30A  220 V,  25 KA INDUSTRIAL ABB(A1B 125 TMF 30-300 3P FF), SIEMENS, EATON O MERLIN GERIN</v>
          </cell>
          <cell r="C357" t="str">
            <v>Un</v>
          </cell>
          <cell r="D357">
            <v>136740</v>
          </cell>
          <cell r="E357">
            <v>25980.6</v>
          </cell>
          <cell r="F357">
            <v>162720.6</v>
          </cell>
          <cell r="G357">
            <v>1</v>
          </cell>
        </row>
        <row r="358">
          <cell r="B358" t="str">
            <v>BREAKER 3X30A  220 V,  100 KA INDUSTRIAL ABB(A1N 125 TMF 30-300 3P FF), SIEMENS, EATON O MERLIN GERIN</v>
          </cell>
          <cell r="C358">
            <v>0</v>
          </cell>
          <cell r="D358">
            <v>216240</v>
          </cell>
          <cell r="E358">
            <v>41085.599999999999</v>
          </cell>
          <cell r="F358">
            <v>257325.6</v>
          </cell>
          <cell r="G358">
            <v>1</v>
          </cell>
        </row>
        <row r="359">
          <cell r="B359" t="str">
            <v>BREAKER 3X40A  220 V,  25 KA INDUSTRIAL ABB(A1B 125 TMF 40-400 3P FF), SIEMENS, EATON O MERLIN GERIN</v>
          </cell>
          <cell r="C359" t="str">
            <v>Un</v>
          </cell>
          <cell r="D359">
            <v>136740</v>
          </cell>
          <cell r="E359">
            <v>25980.6</v>
          </cell>
          <cell r="F359">
            <v>162720.6</v>
          </cell>
          <cell r="G359">
            <v>1</v>
          </cell>
        </row>
        <row r="360">
          <cell r="B360" t="str">
            <v>BREAKER 3X40A  220 V,  100 KA INDUSTRIAL ABB(A1N 125 TMF 40-400 3P FF), SIEMENS, EATON O MERLIN GERIN</v>
          </cell>
          <cell r="C360" t="str">
            <v>Un</v>
          </cell>
          <cell r="D360">
            <v>216240</v>
          </cell>
          <cell r="E360">
            <v>41085.599999999999</v>
          </cell>
          <cell r="F360">
            <v>257325.6</v>
          </cell>
          <cell r="G360">
            <v>1</v>
          </cell>
        </row>
        <row r="361">
          <cell r="B361" t="str">
            <v>BREAKER 3X50A  220 V,  25 KA INDUSTRIAL ABB(A1B 125 TMF 50-500 3P FF), SIEMENS, EATON O MERLIN GERIN</v>
          </cell>
          <cell r="C361" t="str">
            <v>Un</v>
          </cell>
          <cell r="D361">
            <v>136740</v>
          </cell>
          <cell r="E361">
            <v>25980.6</v>
          </cell>
          <cell r="F361">
            <v>162720.6</v>
          </cell>
          <cell r="G361">
            <v>1</v>
          </cell>
        </row>
        <row r="362">
          <cell r="B362" t="str">
            <v>BREAKER 3X50A  220 V,  100 KA INDUSTRIAL ABB(A1N 125 TMF 50-500 3P FF), SIEMENS, EATON O MERLIN GERIN</v>
          </cell>
          <cell r="C362" t="str">
            <v>Un</v>
          </cell>
          <cell r="D362">
            <v>216240</v>
          </cell>
          <cell r="E362">
            <v>41085.599999999999</v>
          </cell>
          <cell r="F362">
            <v>257325.6</v>
          </cell>
          <cell r="G362">
            <v>1</v>
          </cell>
        </row>
        <row r="363">
          <cell r="B363" t="str">
            <v>BREAKER 3X60A  220 V,  25 KA INDUSTRIAL ABB(A1B 125 TMF 60-600 3P FF), SIEMENS, EATON O MERLIN GERIN</v>
          </cell>
          <cell r="C363" t="str">
            <v>Un</v>
          </cell>
          <cell r="D363">
            <v>136740</v>
          </cell>
          <cell r="E363">
            <v>25980.6</v>
          </cell>
          <cell r="F363">
            <v>162720.6</v>
          </cell>
          <cell r="G363">
            <v>1</v>
          </cell>
        </row>
        <row r="364">
          <cell r="B364" t="str">
            <v>BREAKER 3X60A  220 V,  100 KA INDUSTRIAL ABB(A1N 125 TMF 60-600 3P FF), SIEMENS, EATON O MERLIN GERIN</v>
          </cell>
          <cell r="C364" t="str">
            <v>Un</v>
          </cell>
          <cell r="D364">
            <v>256240</v>
          </cell>
          <cell r="E364">
            <v>48685.599999999999</v>
          </cell>
          <cell r="F364">
            <v>304925.59999999998</v>
          </cell>
          <cell r="G364">
            <v>1</v>
          </cell>
        </row>
        <row r="365">
          <cell r="B365" t="str">
            <v>BREAKER 3X70A  220 V,  25 KA INDUSTRIAL ABB(A1B 125 TMF 70-700 3P FF), SIEMENS, EATON O MERLIN GERIN</v>
          </cell>
          <cell r="C365" t="str">
            <v>Un</v>
          </cell>
          <cell r="D365">
            <v>139920</v>
          </cell>
          <cell r="E365">
            <v>26584.799999999999</v>
          </cell>
          <cell r="F365">
            <v>166504.79999999999</v>
          </cell>
          <cell r="G365">
            <v>1</v>
          </cell>
        </row>
        <row r="366">
          <cell r="B366" t="str">
            <v>BREAKER 3X70A  220 V,  100 KA INDUSTRIAL ABB(A1N 125 TMF 70-700 3P FF), SIEMENS, EATON O MERLIN GERIN</v>
          </cell>
          <cell r="C366" t="str">
            <v>Un</v>
          </cell>
          <cell r="D366">
            <v>222600</v>
          </cell>
          <cell r="E366">
            <v>42294</v>
          </cell>
          <cell r="F366">
            <v>264894</v>
          </cell>
          <cell r="G366">
            <v>1</v>
          </cell>
        </row>
        <row r="367">
          <cell r="B367" t="str">
            <v>BREAKER 3X80A  220 V,  25 KA INDUSTRIAL ABB(A1B 125 TMF 80-800 3P FF), SIEMENS, EATON O MERLIN GERIN</v>
          </cell>
          <cell r="C367" t="str">
            <v>Un</v>
          </cell>
          <cell r="D367">
            <v>139920</v>
          </cell>
          <cell r="E367">
            <v>26584.799999999999</v>
          </cell>
          <cell r="F367">
            <v>166504.79999999999</v>
          </cell>
          <cell r="G367">
            <v>1</v>
          </cell>
        </row>
        <row r="368">
          <cell r="B368" t="str">
            <v>BREAKER 3X80A  220 V,  100 KA INDUSTRIAL ABB(A1N 125 TMF 80-800 3P FF), SIEMENS, EATON O MERLIN GERIN</v>
          </cell>
          <cell r="C368" t="str">
            <v>Un</v>
          </cell>
          <cell r="D368">
            <v>228960</v>
          </cell>
          <cell r="E368">
            <v>43502.400000000001</v>
          </cell>
          <cell r="F368">
            <v>272462.40000000002</v>
          </cell>
          <cell r="G368">
            <v>1</v>
          </cell>
        </row>
        <row r="369">
          <cell r="B369" t="str">
            <v>BREAKER 3X100A  220 V,  25 KA INDUSTRIAL ABB(A1B 125 TMF 100-1000 3P FF), SIEMENS, EATON O MERLIN GERIN</v>
          </cell>
          <cell r="C369" t="str">
            <v>Un</v>
          </cell>
          <cell r="D369">
            <v>139920</v>
          </cell>
          <cell r="E369">
            <v>26584.799999999999</v>
          </cell>
          <cell r="F369">
            <v>166504.79999999999</v>
          </cell>
          <cell r="G369">
            <v>2</v>
          </cell>
        </row>
        <row r="370">
          <cell r="B370" t="str">
            <v>BREAKER 3X100A  220 V,  100 KA INDUSTRIAL ABB(A1N 125 TMF 100-1000 3P FF), SIEMENS, EATON O MERLIN GERIN</v>
          </cell>
          <cell r="C370" t="str">
            <v>Un</v>
          </cell>
          <cell r="D370">
            <v>228960</v>
          </cell>
          <cell r="E370">
            <v>43502.400000000001</v>
          </cell>
          <cell r="F370">
            <v>272462.40000000002</v>
          </cell>
          <cell r="G370">
            <v>2</v>
          </cell>
        </row>
        <row r="371">
          <cell r="B371" t="str">
            <v>BREAKER 3X125A  220 V,  25 KA INDUSTRIAL ABB(A1B 125 TMF 125-1250 3P FF), SIEMENS, EATON O MERLIN GERIN</v>
          </cell>
          <cell r="C371" t="str">
            <v>Un</v>
          </cell>
          <cell r="D371">
            <v>330720</v>
          </cell>
          <cell r="E371">
            <v>62836.800000000003</v>
          </cell>
          <cell r="F371">
            <v>393556.8</v>
          </cell>
          <cell r="G371">
            <v>2</v>
          </cell>
        </row>
        <row r="372">
          <cell r="B372" t="str">
            <v>BREAKER 3X125A  220 V,  100 KA INDUSTRIAL ABB(A1N 125 TMF 125-1250 3P FF), SIEMENS, EATON O MERLIN GERIN</v>
          </cell>
          <cell r="C372" t="str">
            <v>Un</v>
          </cell>
          <cell r="D372">
            <v>375240</v>
          </cell>
          <cell r="E372">
            <v>71295.600000000006</v>
          </cell>
          <cell r="F372">
            <v>446535.6</v>
          </cell>
          <cell r="G372">
            <v>2</v>
          </cell>
        </row>
        <row r="373">
          <cell r="B373" t="str">
            <v>BREAKER 3X150A  220 V,  85 KA INDUSTRIAL ABB(A2N 250 TMF 150-1500 3P FF), SIEMENS, EATON O MERLIN GERIN</v>
          </cell>
          <cell r="C373" t="str">
            <v>Un</v>
          </cell>
          <cell r="D373">
            <v>381600</v>
          </cell>
          <cell r="E373">
            <v>72504</v>
          </cell>
          <cell r="F373">
            <v>454104</v>
          </cell>
          <cell r="G373">
            <v>4</v>
          </cell>
        </row>
        <row r="374">
          <cell r="B374" t="str">
            <v>BREAKER 3X160A  220 V,  85 KA INDUSTRIAL ABB(A2N 250 TMF 160-1600 3P FF), SIEMENS, EATON O MERLIN GERIN</v>
          </cell>
          <cell r="C374" t="str">
            <v>Un</v>
          </cell>
          <cell r="D374">
            <v>381600</v>
          </cell>
          <cell r="E374">
            <v>72504</v>
          </cell>
          <cell r="F374">
            <v>454104</v>
          </cell>
          <cell r="G374">
            <v>4</v>
          </cell>
        </row>
        <row r="375">
          <cell r="B375" t="str">
            <v>BREAKER 3X175A  220 V,  85 KA INDUSTRIAL ABB(A2N 250 TMF 150-1750 3P FF), SIEMENS, EATON O MERLIN GERIN</v>
          </cell>
          <cell r="C375" t="str">
            <v>Un</v>
          </cell>
          <cell r="D375">
            <v>381600</v>
          </cell>
          <cell r="E375">
            <v>72504</v>
          </cell>
          <cell r="F375">
            <v>454104</v>
          </cell>
          <cell r="G375">
            <v>4</v>
          </cell>
        </row>
        <row r="376">
          <cell r="B376" t="str">
            <v>BREAKER 3X200A  220 V,  85 KA INDUSTRIAL ABB(A2N 250 TMF 200-2000 3P FF), SIEMENS, EATON O MERLIN GERIN</v>
          </cell>
          <cell r="C376" t="str">
            <v>Un</v>
          </cell>
          <cell r="D376">
            <v>381600</v>
          </cell>
          <cell r="E376">
            <v>72504</v>
          </cell>
          <cell r="F376">
            <v>454104</v>
          </cell>
          <cell r="G376">
            <v>4</v>
          </cell>
        </row>
        <row r="377">
          <cell r="B377" t="str">
            <v>BREAKER 3X225A  220 V,  85 KA INDUSTRIAL ABB(A2N 250 TMF 225-2250 3P FF), SIEMENS, EATON O MERLIN GERIN</v>
          </cell>
          <cell r="C377" t="str">
            <v>Un</v>
          </cell>
          <cell r="D377">
            <v>381600</v>
          </cell>
          <cell r="E377">
            <v>72504</v>
          </cell>
          <cell r="F377">
            <v>454104</v>
          </cell>
          <cell r="G377">
            <v>4</v>
          </cell>
        </row>
        <row r="378">
          <cell r="B378" t="str">
            <v>BREAKER 3X250A  220 V,  85 KA INDUSTRIAL ABB(A2N 250 TMF 250-2500 3P FF), SIEMENS, EATON O MERLIN GERIN</v>
          </cell>
          <cell r="C378" t="str">
            <v>Un</v>
          </cell>
          <cell r="D378">
            <v>483360</v>
          </cell>
          <cell r="E378">
            <v>91838.399999999994</v>
          </cell>
          <cell r="F378">
            <v>575198.4</v>
          </cell>
          <cell r="G378">
            <v>4</v>
          </cell>
        </row>
        <row r="379">
          <cell r="B379" t="str">
            <v>BREAKER 3X320A  220 V,  85 KA INDUSTRIAL ABB(A3N 400 TMF 320-3200 3P FF), SIEMENS, EATON O MERLIN GERIN</v>
          </cell>
          <cell r="C379" t="str">
            <v>Un</v>
          </cell>
          <cell r="D379">
            <v>731400</v>
          </cell>
          <cell r="E379">
            <v>138966</v>
          </cell>
          <cell r="F379">
            <v>870366</v>
          </cell>
          <cell r="G379">
            <v>4</v>
          </cell>
        </row>
        <row r="380">
          <cell r="B380" t="str">
            <v>BREAKER 3X400A  220 V,  85 KA INDUSTRIAL ABB(A3N 400 TMF 400-4000 3P FF), SIEMENS, EATON O MERLIN GERIN</v>
          </cell>
          <cell r="C380" t="str">
            <v>Un</v>
          </cell>
          <cell r="D380">
            <v>731400</v>
          </cell>
          <cell r="E380">
            <v>138966</v>
          </cell>
          <cell r="F380">
            <v>870366</v>
          </cell>
          <cell r="G380">
            <v>6</v>
          </cell>
        </row>
        <row r="381">
          <cell r="B381" t="str">
            <v>BREAKER 3X500A  220 V,  85 KA INDUSTRIAL ABB(A3N 630 TMF 500-5000 3P FF), SIEMENS, EATON O MERLIN GERIN</v>
          </cell>
          <cell r="C381" t="str">
            <v>Un</v>
          </cell>
          <cell r="D381">
            <v>1844400</v>
          </cell>
          <cell r="E381">
            <v>350436</v>
          </cell>
          <cell r="F381">
            <v>2194836</v>
          </cell>
          <cell r="G381">
            <v>6</v>
          </cell>
        </row>
        <row r="382">
          <cell r="B382" t="str">
            <v>BREAKER 3X630A  220 V,  85 KA INDUSTRIAL ABB(A3N 630 ELT-LI In=630  3P FF-CON RELÈ ELECTRÒNICO CON PROTECCIÒN DE SOBRECARGA), SIEMENS, EATON O MERLIN GERIN</v>
          </cell>
          <cell r="C382" t="str">
            <v>Un</v>
          </cell>
          <cell r="D382">
            <v>2098800</v>
          </cell>
          <cell r="E382">
            <v>398772</v>
          </cell>
          <cell r="F382">
            <v>2497572</v>
          </cell>
          <cell r="G382">
            <v>6</v>
          </cell>
        </row>
        <row r="383">
          <cell r="B383" t="str">
            <v>BREAKER TOTALIZADOR  INDUSTRIAL 3X600A  220 V. TERMOMAGNÉTICO, Icu=85KA. Ics=50%Icu.MARCA SCHNEIDER ELECTRIC (REFERENCIA EZC630N3600), SIEMENS, EATON O ABB.</v>
          </cell>
          <cell r="C383" t="str">
            <v>Un</v>
          </cell>
          <cell r="D383">
            <v>1011240</v>
          </cell>
          <cell r="E383">
            <v>192135.6</v>
          </cell>
          <cell r="F383">
            <v>1203375.6000000001</v>
          </cell>
          <cell r="G383">
            <v>2</v>
          </cell>
        </row>
        <row r="384">
          <cell r="B384" t="str">
            <v>BREAKER TOTALIZADOR  INDUSTRIAL 3X500A  220 V. TERMOMAGNÉTICO, Icu=85KA. Ics=50%Icu.MARCA SCHNEIDER ELECTRIC (REFERENCIA EZC630N3500), SIEMENS, EATON O ABB.</v>
          </cell>
          <cell r="C384" t="str">
            <v>Un</v>
          </cell>
          <cell r="D384">
            <v>1011240</v>
          </cell>
          <cell r="E384">
            <v>192135.6</v>
          </cell>
          <cell r="F384">
            <v>1203375.6000000001</v>
          </cell>
          <cell r="G384">
            <v>2</v>
          </cell>
        </row>
        <row r="385">
          <cell r="B385" t="str">
            <v>BREAKER TOTALIZADOR  INDUSTRIAL 3X400A  220 V. TERMOMAGNÉTICO, Icu=85KA. Ics=50%Icu.MARCA SCHNEIDER ELECTRIC (REFERENCIA EZC400N3400), SIEMENS, EATON O ABB.</v>
          </cell>
          <cell r="C385" t="str">
            <v>Un</v>
          </cell>
          <cell r="D385">
            <v>471912</v>
          </cell>
          <cell r="E385">
            <v>89663.28</v>
          </cell>
          <cell r="F385">
            <v>561575.28</v>
          </cell>
          <cell r="G385">
            <v>2</v>
          </cell>
        </row>
        <row r="386">
          <cell r="B386" t="str">
            <v>BREAKER TOTALIZADOR  INDUSTRIAL 3X350A  220 V. TERMOMAGNÉTICO, Icu=85KA. Ics=50%Icu.MARCA SCHNEIDER ELECTRIC (REFERENCIA EZC400N3350), SIEMENS, EATON O ABB.</v>
          </cell>
          <cell r="C386" t="str">
            <v>Un</v>
          </cell>
          <cell r="D386">
            <v>471912</v>
          </cell>
          <cell r="E386">
            <v>89663.28</v>
          </cell>
          <cell r="F386">
            <v>561575.28</v>
          </cell>
          <cell r="G386">
            <v>2</v>
          </cell>
        </row>
        <row r="387">
          <cell r="B387" t="str">
            <v>BREAKER TOTALIZADOR  INDUSTRIAL 3X300A  220 V. TERMOMAGNÉTICO, Icu=85KA. Ics=50%Icu.MARCA SCHNEIDER ELECTRIC (REFERENCIA EZC400N3300), SIEMENS, EATON O ABB.</v>
          </cell>
          <cell r="C387" t="str">
            <v>Un</v>
          </cell>
          <cell r="D387">
            <v>471912</v>
          </cell>
          <cell r="E387">
            <v>89663.28</v>
          </cell>
          <cell r="F387">
            <v>561575.28</v>
          </cell>
          <cell r="G387">
            <v>2</v>
          </cell>
        </row>
        <row r="388">
          <cell r="B388" t="str">
            <v>BREAKER TOTALIZADOR  INDUSTRIAL 3X250A  220 V. TERMOMAGNÉTICO, Icu=50KA. Ics=50%Icu.MARCA SCHNEIDER ELECTRIC (REFERENCIA EZC250N3250), SIEMENS, EATON O ABB.</v>
          </cell>
          <cell r="C388" t="str">
            <v>Un</v>
          </cell>
          <cell r="D388">
            <v>300700.79999999999</v>
          </cell>
          <cell r="E388">
            <v>57133.152000000002</v>
          </cell>
          <cell r="F388">
            <v>357833.95199999999</v>
          </cell>
          <cell r="G388">
            <v>2</v>
          </cell>
        </row>
        <row r="389">
          <cell r="B389" t="str">
            <v>BREAKER TOTALIZADOR  INDUSTRIAL 3X225A  220 V. TERMOMAGNÉTICO, Icu=50KA. Ics=50%Icu.MARCA SCHNEIDER ELECTRIC (REFERENCIA EZC250N3225), SIEMENS, EATON O ABB.</v>
          </cell>
          <cell r="C389" t="str">
            <v>Un</v>
          </cell>
          <cell r="D389">
            <v>300700.79999999999</v>
          </cell>
          <cell r="E389">
            <v>57133.152000000002</v>
          </cell>
          <cell r="F389">
            <v>357833.95199999999</v>
          </cell>
          <cell r="G389">
            <v>2</v>
          </cell>
        </row>
        <row r="390">
          <cell r="B390" t="str">
            <v>BREAKER TOTALIZADOR  INDUSTRIAL 3X200A  220 V. TERMOMAGNÉTICO, Icu=50KA. Ics=50%Icu.MARCA SCHNEIDER ELECTRIC (REFERENCIA EZC250N3200), SIEMENS, EATON O ABB.</v>
          </cell>
          <cell r="C390" t="str">
            <v>Un</v>
          </cell>
          <cell r="D390">
            <v>300700.79999999999</v>
          </cell>
          <cell r="E390">
            <v>57133.152000000002</v>
          </cell>
          <cell r="F390">
            <v>357833.95199999999</v>
          </cell>
          <cell r="G390">
            <v>2</v>
          </cell>
        </row>
        <row r="391">
          <cell r="B391" t="str">
            <v>BREAKER TOTALIZADOR  INDUSTRIAL 3X175A  220 V. TERMOMAGNÉTICO, Icu=50KA. Ics=50%Icu.MARCA SCHNEIDER ELECTRIC (REFERENCIA EZC250N3175), SIEMENS, EATON O ABB.</v>
          </cell>
          <cell r="C391" t="str">
            <v>Un</v>
          </cell>
          <cell r="D391">
            <v>300700.79999999999</v>
          </cell>
          <cell r="E391">
            <v>57133.152000000002</v>
          </cell>
          <cell r="F391">
            <v>357833.95199999999</v>
          </cell>
          <cell r="G391">
            <v>2</v>
          </cell>
        </row>
        <row r="392">
          <cell r="B392" t="str">
            <v>BREAKER TOTALIZADOR  INDUSTRIAL 3X160A  220 V. TERMOMAGNÉTICO, Icu=50KA. Ics=50%Icu.MARCA SCHNEIDER ELECTRIC (REFERENCIA EZC250N3160), SIEMENS, EATON O ABB.</v>
          </cell>
          <cell r="C392" t="str">
            <v>Un</v>
          </cell>
          <cell r="D392">
            <v>300700.79999999999</v>
          </cell>
          <cell r="E392">
            <v>57133.152000000002</v>
          </cell>
          <cell r="F392">
            <v>357833.95199999999</v>
          </cell>
          <cell r="G392">
            <v>2</v>
          </cell>
        </row>
        <row r="393">
          <cell r="B393" t="str">
            <v>BREAKER TOTALIZADOR  INDUSTRIAL 3X150A  220 V. TERMOMAGNÉTICO, Icu=50KA. Ics=50%Icu.MARCA SCHNEIDER ELECTRIC (REFERENCIA EZC250N3150), SIEMENS, EATON O ABB.</v>
          </cell>
          <cell r="C393" t="str">
            <v>Un</v>
          </cell>
          <cell r="D393">
            <v>300700.79999999999</v>
          </cell>
          <cell r="E393">
            <v>57133.152000000002</v>
          </cell>
          <cell r="F393">
            <v>357833.95199999999</v>
          </cell>
          <cell r="G393">
            <v>2</v>
          </cell>
        </row>
        <row r="394">
          <cell r="B394" t="str">
            <v>BREAKER TOTALIZADOR  INDUSTRIAL 3X125A  220 V. TERMOMAGNÉTICO, Icu=50KA. Ics=50%Icu.MARCA SCHNEIDER ELECTRIC (REFERENCIA EZC250N3125), SIEMENS, EATON O ABB.</v>
          </cell>
          <cell r="C394" t="str">
            <v>Un</v>
          </cell>
          <cell r="D394">
            <v>266992.8</v>
          </cell>
          <cell r="E394">
            <v>50728.631999999998</v>
          </cell>
          <cell r="F394">
            <v>317721.43199999997</v>
          </cell>
          <cell r="G394">
            <v>2</v>
          </cell>
        </row>
        <row r="395">
          <cell r="B395" t="str">
            <v>BREAKER TOTALIZADOR  INDUSTRIAL 3X100A  220 V. TERMOMAGNÉTICO, Icu=25KA. Ics=50%Icu.MARCA SCHNEIDER ELECTRIC (REFERENCIA EZC100N3100), SIEMENS, EATON O ABB.</v>
          </cell>
          <cell r="C395" t="str">
            <v>Un</v>
          </cell>
          <cell r="D395">
            <v>120013.20000000001</v>
          </cell>
          <cell r="E395">
            <v>22802.508000000002</v>
          </cell>
          <cell r="F395">
            <v>142815.70800000001</v>
          </cell>
          <cell r="G395">
            <v>2</v>
          </cell>
        </row>
        <row r="396">
          <cell r="B396" t="str">
            <v>BREAKER TOTALIZADOR  INDUSTRIAL 3X80A  220 V. TERMOMAGNÉTICO, Icu=25KA. Ics=50%Icu.MARCA SCHNEIDER ELECTRIC (REFERENCIA EZC100N3080), SIEMENS, EATON O ABB.</v>
          </cell>
          <cell r="C396" t="str">
            <v>Un</v>
          </cell>
          <cell r="D396">
            <v>120013.20000000001</v>
          </cell>
          <cell r="E396">
            <v>22802.508000000002</v>
          </cell>
          <cell r="F396">
            <v>142815.70800000001</v>
          </cell>
          <cell r="G396">
            <v>2</v>
          </cell>
        </row>
        <row r="397">
          <cell r="B397" t="str">
            <v>BREAKER TOTALIZADOR  INDUSTRIAL 3X60A  220 V. TERMOMAGNÉTICO, Icu=25KA. Ics=50%Icu.MARCA SCHNEIDER ELECTRIC (REFERENCIA EZC100N3060), SIEMENS, EATON O ABB.</v>
          </cell>
          <cell r="C397" t="str">
            <v>Un</v>
          </cell>
          <cell r="D397">
            <v>118677.6</v>
          </cell>
          <cell r="E397">
            <v>22548.744000000002</v>
          </cell>
          <cell r="F397">
            <v>141226.34400000001</v>
          </cell>
          <cell r="G397">
            <v>2</v>
          </cell>
        </row>
        <row r="398">
          <cell r="B398" t="str">
            <v>BREAKER TOTALIZADOR  INDUSTRIAL 3X50A  220 V. TERMOMAGNÉTICO, Icu=25KA. Ics=50%Icu.MARCA SCHNEIDER ELECTRIC (REFERENCIA EZC100N3050), SIEMENS, EATON O ABB.</v>
          </cell>
          <cell r="C398" t="str">
            <v>Un</v>
          </cell>
          <cell r="D398">
            <v>118677.6</v>
          </cell>
          <cell r="E398">
            <v>22548.744000000002</v>
          </cell>
          <cell r="F398">
            <v>141226.34400000001</v>
          </cell>
          <cell r="G398">
            <v>2</v>
          </cell>
        </row>
        <row r="399">
          <cell r="B399" t="str">
            <v>BREAKER TOTALIZADOR  INDUSTRIAL 3X40A  220 V. TERMOMAGNÉTICO, Icu=25KA. Ics=50%Icu.MARCA SCHNEIDER ELECTRIC (REFERENCIA EZC100N3040), SIEMENS, EATON O ABB.</v>
          </cell>
          <cell r="C399" t="str">
            <v>Un</v>
          </cell>
          <cell r="D399">
            <v>118677.6</v>
          </cell>
          <cell r="E399">
            <v>22548.744000000002</v>
          </cell>
          <cell r="F399">
            <v>141226.34400000001</v>
          </cell>
          <cell r="G399">
            <v>2</v>
          </cell>
        </row>
        <row r="400">
          <cell r="B400" t="str">
            <v>BREAKER TOTALIZADOR  INDUSTRIAL 3X30A  220 V. TERMOMAGNÉTICO, Icu=25KA. Ics=50%Icu.MARCA SCHNEIDER ELECTRIC (REFERENCIA EZC100N3030), SIEMENS, EATON O ABB.</v>
          </cell>
          <cell r="C400" t="str">
            <v>Un</v>
          </cell>
          <cell r="D400">
            <v>118677.6</v>
          </cell>
          <cell r="E400">
            <v>22548.744000000002</v>
          </cell>
          <cell r="F400">
            <v>141226.34400000001</v>
          </cell>
          <cell r="G400">
            <v>2</v>
          </cell>
        </row>
        <row r="401">
          <cell r="B401" t="str">
            <v>BREAKER TOTALIZADOR  INDUSTRIAL 3X20A  220 V. TERMOMAGNÉTICO, Icu=25KA. Ics=50%Icu.MARCA SCHNEIDER ELECTRIC (REFERENCIA EZC100N3020), SIEMENS, EATON O ABB.</v>
          </cell>
          <cell r="C401" t="str">
            <v>Un</v>
          </cell>
          <cell r="D401">
            <v>118677.6</v>
          </cell>
          <cell r="E401">
            <v>22548.744000000002</v>
          </cell>
          <cell r="F401">
            <v>141226.34400000001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1252602</v>
          </cell>
          <cell r="E402">
            <v>237994.38</v>
          </cell>
          <cell r="F402">
            <v>1490596.38</v>
          </cell>
          <cell r="G402">
            <v>2</v>
          </cell>
        </row>
        <row r="403">
          <cell r="B403" t="str">
            <v>BREAKER TOTALIZADOR  INDUSTRIAL 3X500A  220 V. AJUSTABLE TÈRMICA Y MAGNÈTICAMENTE (350-500A),  Icu=40KA. Ics=100%Icu.MARCA SCHNEIDER ELECTRIC (REFERENCIA LV563305), SIEMENS, EATON O ABB.</v>
          </cell>
          <cell r="C403" t="str">
            <v>Un</v>
          </cell>
          <cell r="D403">
            <v>1252602</v>
          </cell>
          <cell r="E403">
            <v>237994.38</v>
          </cell>
          <cell r="F403">
            <v>1490596.38</v>
          </cell>
          <cell r="G403">
            <v>2</v>
          </cell>
        </row>
        <row r="404">
          <cell r="B404" t="str">
            <v>BREAKER TOTALIZADOR  INDUSTRIAL 3X400A  220 V. AJUSTABLE TÈRMICA Y MAGNÈTICAMENTE (280-400A),  Icu=40KA. Ics=100%Icu.MARCA SCHNEIDER ELECTRIC (REFERENCIA LV540306), SIEMENS, EATON O ABB.</v>
          </cell>
          <cell r="C404" t="str">
            <v>Un</v>
          </cell>
          <cell r="D404">
            <v>749653.20000000007</v>
          </cell>
          <cell r="E404">
            <v>142434.10800000001</v>
          </cell>
          <cell r="F404">
            <v>892087.30800000008</v>
          </cell>
          <cell r="G404">
            <v>2</v>
          </cell>
        </row>
        <row r="405">
          <cell r="B405" t="str">
            <v>BREAKER TOTALIZADOR  INDUSTRIAL 3X320A  220 V. AJUSTABLE TÈRMICA Y MAGNÈTICAMENTE (224-350A),  Icu=40KA. Ics=100%Icu.MARCA SCHNEIDER ELECTRIC (REFERENCIA LV540305), SIEMENS, EATON O ABB.</v>
          </cell>
          <cell r="C405" t="str">
            <v>Un</v>
          </cell>
          <cell r="D405">
            <v>691713.6</v>
          </cell>
          <cell r="E405">
            <v>131425.584</v>
          </cell>
          <cell r="F405">
            <v>823139.18400000001</v>
          </cell>
          <cell r="G405">
            <v>2</v>
          </cell>
        </row>
        <row r="406">
          <cell r="B406" t="str">
            <v>BREAKER TOTALIZADOR  INDUSTRIAL 3X250A  220 V. AJUSTABLE TÈRMICA Y MAGNÈTICAMENTE (175-250A),  Icu=40KA. Ics=100%Icu.MARCA SCHNEIDER ELECTRIC (REFERENCIA LV525303), SIEMENS, EATON O ABB.</v>
          </cell>
          <cell r="C406" t="str">
            <v>Un</v>
          </cell>
          <cell r="D406">
            <v>337080</v>
          </cell>
          <cell r="E406">
            <v>64045.200000000004</v>
          </cell>
          <cell r="F406">
            <v>401125.2</v>
          </cell>
          <cell r="G406">
            <v>2</v>
          </cell>
        </row>
        <row r="407">
          <cell r="B407" t="str">
            <v>BREAKER TOTALIZADOR  INDUSTRIAL 3X200A  220 V. AJUSTABLE TÈRMICA Y MAGNÈTICAMENTE (140-200A),  Icu=40KA. Ics=100%Icu.MARCA SCHNEIDER ELECTRIC (REFERENCIA LV525302), SIEMENS, EATON O ABB.</v>
          </cell>
          <cell r="C407" t="str">
            <v>Un</v>
          </cell>
          <cell r="D407">
            <v>337080</v>
          </cell>
          <cell r="E407">
            <v>64045.200000000004</v>
          </cell>
          <cell r="F407">
            <v>401125.2</v>
          </cell>
          <cell r="G407">
            <v>2</v>
          </cell>
        </row>
        <row r="408">
          <cell r="B408" t="str">
            <v>BREAKER TOTALIZADOR  INDUSTRIAL 3X160A  220 V. AJUSTABLE TÈRMICA Y MAGNÈTICAMENTE (112-160A),  Icu=40KA. Ics=100%Icu.MARCA SCHNEIDER ELECTRIC (REFERENCIA LV516303), SIEMENS, EATON O ABB.</v>
          </cell>
          <cell r="C408" t="str">
            <v>Un</v>
          </cell>
          <cell r="D408">
            <v>337080</v>
          </cell>
          <cell r="E408">
            <v>64045.200000000004</v>
          </cell>
          <cell r="F408">
            <v>401125.2</v>
          </cell>
          <cell r="G408">
            <v>2</v>
          </cell>
        </row>
        <row r="409">
          <cell r="B409" t="str">
            <v>BREAKER TOTALIZADOR  INDUSTRIAL 3X125A  220 V. AJUSTABLE TÈRMICA Y MAGNÈTICAMENTE (87-125A),  Icu=40KA. Ics=100%Icu.MARCA SCHNEIDER ELECTRIC (REFERENCIA LV516302), SIEMENS, EATON O ABB.</v>
          </cell>
          <cell r="C409" t="str">
            <v>Un</v>
          </cell>
          <cell r="D409">
            <v>337080</v>
          </cell>
          <cell r="E409">
            <v>64045.200000000004</v>
          </cell>
          <cell r="F409">
            <v>401125.2</v>
          </cell>
          <cell r="G409">
            <v>2</v>
          </cell>
        </row>
        <row r="410">
          <cell r="B410" t="str">
            <v>BREAKER TOTALIZADOR  INDUSTRIAL 3X100A  220 V. AJUSTABLE TÈRMICA Y MAGNÈTICAMENTE (70-100A),  Icu=40KA. Ics=100%Icu.MARCA SCHNEIDER ELECTRIC (REFERENCIA LV510307), SIEMENS, EATON O ABB.</v>
          </cell>
          <cell r="C410" t="str">
            <v>Un</v>
          </cell>
          <cell r="D410">
            <v>149650.80000000002</v>
          </cell>
          <cell r="E410">
            <v>28433.652000000002</v>
          </cell>
          <cell r="F410">
            <v>178084.45200000002</v>
          </cell>
          <cell r="G410">
            <v>2</v>
          </cell>
        </row>
        <row r="411">
          <cell r="B411" t="str">
            <v>BREAKER TOTALIZADOR  INDUSTRIAL 3X80A  220 V. AJUSTABLE TÈRMICA Y MAGNÈTICAMENTE (56-80A),  Icu=40KA. Ics=100%Icu.MARCA SCHNEIDER ELECTRIC (REFERENCIA LV510306), SIEMENS, EATON O ABB.</v>
          </cell>
          <cell r="C411" t="str">
            <v>Un</v>
          </cell>
          <cell r="D411">
            <v>149650.80000000002</v>
          </cell>
          <cell r="E411">
            <v>28433.652000000002</v>
          </cell>
          <cell r="F411">
            <v>178084.45200000002</v>
          </cell>
          <cell r="G411">
            <v>2</v>
          </cell>
        </row>
        <row r="412">
          <cell r="B412" t="str">
            <v>BREAKER TOTALIZADOR  INDUSTRIAL 3X63A  220 V. AJUSTABLE TÈRMICA Y MAGNÈTICAMENTE (44-63A),  Icu=40KA. Ics=100%Icu.MARCA SCHNEIDER ELECTRIC (REFERENCIA LV510305), SIEMENS, EATON O ABB.</v>
          </cell>
          <cell r="C412" t="str">
            <v>Un</v>
          </cell>
          <cell r="D412">
            <v>149650.80000000002</v>
          </cell>
          <cell r="E412">
            <v>28433.652000000002</v>
          </cell>
          <cell r="F412">
            <v>178084.45200000002</v>
          </cell>
          <cell r="G412">
            <v>2</v>
          </cell>
        </row>
        <row r="413">
          <cell r="B413" t="str">
            <v>BREAKER TOTALIZADOR  INDUSTRIAL 3X50A  220 V. AJUSTABLE TÈRMICA Y MAGNÈTICAMENTE (22-32A),  Icu=40KA. Ics=100%Icu.MARCA SCHNEIDER ELECTRIC (REFERENCIA LV516304), SIEMENS, EATON O ABB.</v>
          </cell>
          <cell r="C413" t="str">
            <v>Un</v>
          </cell>
          <cell r="D413">
            <v>145644</v>
          </cell>
          <cell r="E413">
            <v>27672.36</v>
          </cell>
          <cell r="F413">
            <v>173316.36</v>
          </cell>
          <cell r="G413">
            <v>2</v>
          </cell>
        </row>
        <row r="414">
          <cell r="B414" t="str">
            <v>BREAKER TOTALIZADOR  INDUSTRIAL 3X40A  220 V. AJUSTABLE TÈRMICA Y MAGNÈTICAMENTE (22-32A),  Icu=40KA. Ics=100%Icu.MARCA SCHNEIDER ELECTRIC (REFERENCIA LV516303), SIEMENS, EATON O ABB.</v>
          </cell>
          <cell r="C414" t="str">
            <v>Un</v>
          </cell>
          <cell r="D414">
            <v>145644</v>
          </cell>
          <cell r="E414">
            <v>27672.36</v>
          </cell>
          <cell r="F414">
            <v>173316.36</v>
          </cell>
          <cell r="G414">
            <v>2</v>
          </cell>
        </row>
        <row r="415">
          <cell r="B415" t="str">
            <v>BREAKER TOTALIZADOR  INDUSTRIAL 3X32A  220 V. AJUSTABLE TÈRMICA Y MAGNÈTICAMENTE (22-32A),  Icu=40KA. Ics=100%Icu.MARCA SCHNEIDER ELECTRIC (REFERENCIA LV516302), SIEMENS, EATON O ABB.</v>
          </cell>
          <cell r="C415" t="str">
            <v>Un</v>
          </cell>
          <cell r="D415">
            <v>145644</v>
          </cell>
          <cell r="E415">
            <v>27672.36</v>
          </cell>
          <cell r="F415">
            <v>173316.36</v>
          </cell>
          <cell r="G415">
            <v>2</v>
          </cell>
        </row>
        <row r="416">
          <cell r="B416" t="str">
            <v>BREAKER TOTALIZADOR  INDUSTRIAL 3X25A  220 V. AJUSTABLE TÈRMICA Y MAGNÈTICAMENTE (18-25A),  Icu=40KA. Ics=100%Icu.MARCA SCHNEIDER ELECTRIC (REFERENCIA LV510301), SIEMENS, EATON O ABB.</v>
          </cell>
          <cell r="C416" t="str">
            <v>Un</v>
          </cell>
          <cell r="D416">
            <v>145644</v>
          </cell>
          <cell r="E416">
            <v>27672.36</v>
          </cell>
          <cell r="F416">
            <v>173316.36</v>
          </cell>
          <cell r="G416">
            <v>2</v>
          </cell>
        </row>
        <row r="417">
          <cell r="B417" t="str">
            <v>Contactor tripolar Automático 220V, 65A, AC3 (Contactos Aux: 1NA+1NC). MARCA SCHNEIDER ELECTRIC (REFERENCIA LC1E65), SIEMENS, EATON O ABB.</v>
          </cell>
          <cell r="C417" t="str">
            <v>Un</v>
          </cell>
          <cell r="D417">
            <v>316982.40000000002</v>
          </cell>
          <cell r="E417">
            <v>60226.656000000003</v>
          </cell>
          <cell r="F417">
            <v>377209.05600000004</v>
          </cell>
          <cell r="G417">
            <v>2</v>
          </cell>
        </row>
        <row r="418">
          <cell r="B418" t="str">
            <v>Contactor tripolar Automático 220V, 18A, AC3 (Contactos Aux: 1NA). MARCA SCHNEIDER ELECTRIC (REFERENCIA LC1E1810), SIEMENS, EATON O ABB.</v>
          </cell>
          <cell r="C418" t="str">
            <v>Un</v>
          </cell>
          <cell r="D418">
            <v>58172.800000000003</v>
          </cell>
          <cell r="E418">
            <v>11052.832</v>
          </cell>
          <cell r="F418">
            <v>69225.631999999998</v>
          </cell>
          <cell r="G418">
            <v>1.5</v>
          </cell>
        </row>
        <row r="419">
          <cell r="B419" t="str">
            <v>Contactor tripolar Automático 220V, 25A, AC1 (Contactos Aux: 1NA+1NC). MARCA SCHNEIDER ELECTRIC (REFERENCIA LC1D09B7), SIEMENS, EATON O ABB.</v>
          </cell>
          <cell r="C419" t="str">
            <v>Un</v>
          </cell>
          <cell r="D419">
            <v>312500</v>
          </cell>
          <cell r="E419">
            <v>59375</v>
          </cell>
          <cell r="F419">
            <v>371875</v>
          </cell>
          <cell r="G419">
            <v>1.5</v>
          </cell>
        </row>
        <row r="420">
          <cell r="B420" t="str">
            <v>Temporizador eléctrónico programable y multifunción para montaje en riel, Rango: Multiescala 0,1seg a 10 días, ON fijo OFF fijo, 1 contacto conmutado, 12-240VAC/DC</v>
          </cell>
          <cell r="C420" t="str">
            <v>un</v>
          </cell>
          <cell r="D420">
            <v>266526.40000000002</v>
          </cell>
          <cell r="E420">
            <v>50640.016000000003</v>
          </cell>
          <cell r="F420">
            <v>317166.41600000003</v>
          </cell>
          <cell r="G420">
            <v>0.5</v>
          </cell>
        </row>
        <row r="421">
          <cell r="B421" t="str">
            <v>Rele de estado solido monopolar 25A</v>
          </cell>
          <cell r="C421">
            <v>0</v>
          </cell>
          <cell r="D421">
            <v>159000</v>
          </cell>
          <cell r="E421">
            <v>30210</v>
          </cell>
          <cell r="F421">
            <v>189210</v>
          </cell>
          <cell r="G421">
            <v>0</v>
          </cell>
        </row>
        <row r="422">
          <cell r="B422" t="str">
            <v>Pulsador tipo superficie plana, diametro 22mm, IP65, 10A, contacto NA.</v>
          </cell>
          <cell r="C422" t="str">
            <v>UN</v>
          </cell>
          <cell r="D422">
            <v>18585.050998800001</v>
          </cell>
          <cell r="E422">
            <v>3531.1596897720001</v>
          </cell>
          <cell r="F422">
            <v>22116.210688572002</v>
          </cell>
          <cell r="G422">
            <v>0.15</v>
          </cell>
        </row>
        <row r="423">
          <cell r="B423" t="str">
            <v xml:space="preserve">BREAKER MONOPOLAR ENCHUFABLE. TACO SIEMENS Q115. 1x15 </v>
          </cell>
          <cell r="C423" t="str">
            <v>UN</v>
          </cell>
          <cell r="D423">
            <v>8803.3000000000011</v>
          </cell>
          <cell r="E423">
            <v>1672.6270000000002</v>
          </cell>
          <cell r="F423">
            <v>10475.927000000001</v>
          </cell>
          <cell r="G423">
            <v>0.3</v>
          </cell>
        </row>
        <row r="424">
          <cell r="B424" t="str">
            <v xml:space="preserve">BREAKER MONOPOLAR ENCHUFABLE.TACO SIEMENS Q120 1x20 </v>
          </cell>
          <cell r="C424" t="str">
            <v>UN</v>
          </cell>
          <cell r="D424">
            <v>12003.3</v>
          </cell>
          <cell r="E424">
            <v>2280.627</v>
          </cell>
          <cell r="F424">
            <v>14283.927</v>
          </cell>
          <cell r="G424">
            <v>0.3</v>
          </cell>
        </row>
        <row r="425">
          <cell r="B425" t="str">
            <v xml:space="preserve">BREAKER MONOPOLAR.TACO SIEMENS Q130 1x30 </v>
          </cell>
          <cell r="C425" t="str">
            <v>UN</v>
          </cell>
          <cell r="D425">
            <v>8803.3000000000011</v>
          </cell>
          <cell r="E425">
            <v>1672.6270000000002</v>
          </cell>
          <cell r="F425">
            <v>10475.927000000001</v>
          </cell>
          <cell r="G425">
            <v>0.3</v>
          </cell>
        </row>
        <row r="426">
          <cell r="B426" t="str">
            <v xml:space="preserve">BREAKER MONOPOLAR ENCHUFABLE.TACO SIEMENS Q140 1x40 </v>
          </cell>
          <cell r="C426" t="str">
            <v>UN</v>
          </cell>
          <cell r="D426">
            <v>10843.800000000001</v>
          </cell>
          <cell r="E426">
            <v>2060.3220000000001</v>
          </cell>
          <cell r="F426">
            <v>12904.122000000001</v>
          </cell>
          <cell r="G426">
            <v>0.3</v>
          </cell>
        </row>
        <row r="427">
          <cell r="B427" t="str">
            <v xml:space="preserve">BREAKER MONOPOLAR ENCHUFABLE.TACO SIEMENS Q150 1x50 </v>
          </cell>
          <cell r="C427" t="str">
            <v>UN</v>
          </cell>
          <cell r="D427">
            <v>10843.800000000001</v>
          </cell>
          <cell r="E427">
            <v>2060.3220000000001</v>
          </cell>
          <cell r="F427">
            <v>12904.122000000001</v>
          </cell>
          <cell r="G427">
            <v>0.3</v>
          </cell>
        </row>
        <row r="428">
          <cell r="B428" t="str">
            <v xml:space="preserve">BREAKER MONOPOLAR ENCHUFABLE.TACO SIEMENS Q160 1x60 </v>
          </cell>
          <cell r="C428" t="str">
            <v>UN</v>
          </cell>
          <cell r="D428">
            <v>21412</v>
          </cell>
          <cell r="E428">
            <v>4068.28</v>
          </cell>
          <cell r="F428">
            <v>25480.28</v>
          </cell>
          <cell r="G428">
            <v>0.3</v>
          </cell>
        </row>
        <row r="429">
          <cell r="B429" t="str">
            <v xml:space="preserve">BREAKER MONOPOLAR ENCHUFABLE.TACO SIEMENS Q170 1x70 </v>
          </cell>
          <cell r="C429" t="str">
            <v>UN</v>
          </cell>
          <cell r="D429">
            <v>21412</v>
          </cell>
          <cell r="E429">
            <v>4068.28</v>
          </cell>
          <cell r="F429">
            <v>25480.28</v>
          </cell>
          <cell r="G429">
            <v>0.3</v>
          </cell>
        </row>
        <row r="430">
          <cell r="B430" t="str">
            <v>BREAKER BIPOLAR ENCHUFABLE.TACO SIEMENS Q2100 2x100</v>
          </cell>
          <cell r="C430" t="str">
            <v>UN</v>
          </cell>
          <cell r="D430">
            <v>45474</v>
          </cell>
          <cell r="E430">
            <v>8640.06</v>
          </cell>
          <cell r="F430">
            <v>54114.06</v>
          </cell>
          <cell r="G430">
            <v>0.6</v>
          </cell>
        </row>
        <row r="431">
          <cell r="B431" t="str">
            <v xml:space="preserve">BREAKER BIPOLAR ENCHUFABLE.TACO SIEMENS Q215 2x15 </v>
          </cell>
          <cell r="C431" t="str">
            <v>UN</v>
          </cell>
          <cell r="D431">
            <v>26500</v>
          </cell>
          <cell r="E431">
            <v>5035</v>
          </cell>
          <cell r="F431">
            <v>31535</v>
          </cell>
          <cell r="G431">
            <v>0.6</v>
          </cell>
        </row>
        <row r="432">
          <cell r="B432" t="str">
            <v xml:space="preserve">BREAKER BIPOLAR ENCHUFABLE.TACO SIEMENS Q220 2x20 </v>
          </cell>
          <cell r="C432" t="str">
            <v>UN</v>
          </cell>
          <cell r="D432">
            <v>26500</v>
          </cell>
          <cell r="E432">
            <v>5035</v>
          </cell>
          <cell r="F432">
            <v>31535</v>
          </cell>
          <cell r="G432">
            <v>0.6</v>
          </cell>
        </row>
        <row r="433">
          <cell r="B433" t="str">
            <v>BREAKER BIPOLAR ENCHUFABLE.TACO SIEMENS Q230 2x30</v>
          </cell>
          <cell r="C433" t="str">
            <v>UN</v>
          </cell>
          <cell r="D433">
            <v>23500</v>
          </cell>
          <cell r="E433">
            <v>4465</v>
          </cell>
          <cell r="F433">
            <v>27965</v>
          </cell>
          <cell r="G433">
            <v>0.6</v>
          </cell>
        </row>
        <row r="434">
          <cell r="B434" t="str">
            <v>BREAKER BIPOLAR ENCHUFABLE.TACO SIEMENS Q240 2x40</v>
          </cell>
          <cell r="C434" t="str">
            <v>UN</v>
          </cell>
          <cell r="D434">
            <v>31800</v>
          </cell>
          <cell r="E434">
            <v>6042</v>
          </cell>
          <cell r="F434">
            <v>37842</v>
          </cell>
          <cell r="G434">
            <v>0.6</v>
          </cell>
        </row>
        <row r="435">
          <cell r="B435" t="str">
            <v>BREAKER BIPOLAR ENCHUFABLE.TACO SIEMENS Q250 2x50</v>
          </cell>
          <cell r="C435" t="str">
            <v>UN</v>
          </cell>
          <cell r="D435">
            <v>31800</v>
          </cell>
          <cell r="E435">
            <v>6042</v>
          </cell>
          <cell r="F435">
            <v>37842</v>
          </cell>
          <cell r="G435">
            <v>0.6</v>
          </cell>
        </row>
        <row r="436">
          <cell r="B436" t="str">
            <v>BREAKER BIPOLAR ENCHUFABLE.TACO SIEMENS Q260 2x60</v>
          </cell>
          <cell r="C436" t="str">
            <v>UN</v>
          </cell>
          <cell r="D436">
            <v>40280</v>
          </cell>
          <cell r="E436">
            <v>7653.2</v>
          </cell>
          <cell r="F436">
            <v>47933.2</v>
          </cell>
          <cell r="G436">
            <v>0.6</v>
          </cell>
        </row>
        <row r="437">
          <cell r="B437" t="str">
            <v xml:space="preserve">BREAKER BIPOLAR ENCHUFABLE.TACO SIEMENS Q270 2x70 </v>
          </cell>
          <cell r="C437" t="str">
            <v>UN</v>
          </cell>
          <cell r="D437">
            <v>40280</v>
          </cell>
          <cell r="E437">
            <v>7653.2</v>
          </cell>
          <cell r="F437">
            <v>47933.2</v>
          </cell>
          <cell r="G437">
            <v>0.6</v>
          </cell>
        </row>
        <row r="438">
          <cell r="B438" t="str">
            <v>BREAKER BIPOLAR ENCHUFABLE.TACO SIEMENS Q280 2x80</v>
          </cell>
          <cell r="C438" t="str">
            <v>UN</v>
          </cell>
          <cell r="D438">
            <v>45474</v>
          </cell>
          <cell r="E438">
            <v>8640.06</v>
          </cell>
          <cell r="F438">
            <v>54114.06</v>
          </cell>
          <cell r="G438">
            <v>0.6</v>
          </cell>
        </row>
        <row r="439">
          <cell r="B439" t="str">
            <v xml:space="preserve">BREAKER TRIPOLAR ENCHUFABLE.TACO SIEMENS Q3100 3x100 </v>
          </cell>
          <cell r="C439" t="str">
            <v>UN</v>
          </cell>
          <cell r="D439">
            <v>73140</v>
          </cell>
          <cell r="E439">
            <v>13896.6</v>
          </cell>
          <cell r="F439">
            <v>87036.6</v>
          </cell>
          <cell r="G439">
            <v>0.9</v>
          </cell>
        </row>
        <row r="440">
          <cell r="B440" t="str">
            <v xml:space="preserve">BREAKER TRIPOLAR ENCHUFABLE.TACO SIEMENS Q315 3x15 </v>
          </cell>
          <cell r="C440" t="str">
            <v>UN</v>
          </cell>
          <cell r="D440">
            <v>61268</v>
          </cell>
          <cell r="E440">
            <v>11640.92</v>
          </cell>
          <cell r="F440">
            <v>72908.92</v>
          </cell>
          <cell r="G440">
            <v>0.9</v>
          </cell>
        </row>
        <row r="441">
          <cell r="B441" t="str">
            <v xml:space="preserve">BREAKER TRIPOLAR ENCHUFABLE.TACO SIEMENS Q320 3x20 </v>
          </cell>
          <cell r="C441" t="str">
            <v>UN</v>
          </cell>
          <cell r="D441">
            <v>61268</v>
          </cell>
          <cell r="E441">
            <v>11640.92</v>
          </cell>
          <cell r="F441">
            <v>72908.92</v>
          </cell>
          <cell r="G441">
            <v>0.9</v>
          </cell>
        </row>
        <row r="442">
          <cell r="B442" t="str">
            <v xml:space="preserve">BREAKER TRIPOLAR ENCHUFABLE.TACO SIEMENS Q330 3x30 </v>
          </cell>
          <cell r="C442" t="str">
            <v>UN</v>
          </cell>
          <cell r="D442">
            <v>45268</v>
          </cell>
          <cell r="E442">
            <v>8600.92</v>
          </cell>
          <cell r="F442">
            <v>53868.92</v>
          </cell>
          <cell r="G442">
            <v>0.9</v>
          </cell>
        </row>
        <row r="443">
          <cell r="B443" t="str">
            <v xml:space="preserve">BREAKER TRIPOLAR ENCHUFABLE.TACO SIEMENS Q340 3x40 </v>
          </cell>
          <cell r="C443" t="str">
            <v>UN</v>
          </cell>
          <cell r="D443">
            <v>51268</v>
          </cell>
          <cell r="E443">
            <v>9740.92</v>
          </cell>
          <cell r="F443">
            <v>61008.92</v>
          </cell>
          <cell r="G443">
            <v>0.9</v>
          </cell>
        </row>
        <row r="444">
          <cell r="B444" t="str">
            <v>BREAKER TRIPOLAR ENCHUFABLE.TACO SIEMENS Q350 3x50</v>
          </cell>
          <cell r="C444" t="str">
            <v>UN</v>
          </cell>
          <cell r="D444">
            <v>40800</v>
          </cell>
          <cell r="E444">
            <v>7752</v>
          </cell>
          <cell r="F444">
            <v>48552</v>
          </cell>
          <cell r="G444">
            <v>0.9</v>
          </cell>
        </row>
        <row r="445">
          <cell r="B445" t="str">
            <v>BREAKER TRIPOLAR ENCHUFABLE.TACO SIEMENS Q360 3x60</v>
          </cell>
          <cell r="C445" t="str">
            <v>UN</v>
          </cell>
          <cell r="D445">
            <v>70808</v>
          </cell>
          <cell r="E445">
            <v>13453.52</v>
          </cell>
          <cell r="F445">
            <v>84261.52</v>
          </cell>
          <cell r="G445">
            <v>0.9</v>
          </cell>
        </row>
        <row r="446">
          <cell r="B446" t="str">
            <v>BREAKER TRIPOLAR ENCHUFABLE.TACO SIEMENS Q370 3x70</v>
          </cell>
          <cell r="C446" t="str">
            <v>UN</v>
          </cell>
          <cell r="D446">
            <v>70808</v>
          </cell>
          <cell r="E446">
            <v>13453.52</v>
          </cell>
          <cell r="F446">
            <v>84261.52</v>
          </cell>
          <cell r="G446">
            <v>0.9</v>
          </cell>
        </row>
        <row r="447">
          <cell r="B447" t="str">
            <v>BREAKERS CINTAS DE MARCACION Y ANILLOS DE MARCACION</v>
          </cell>
          <cell r="C447" t="str">
            <v>UN</v>
          </cell>
          <cell r="D447">
            <v>1272</v>
          </cell>
          <cell r="E447">
            <v>241.68</v>
          </cell>
          <cell r="F447">
            <v>1513.68</v>
          </cell>
          <cell r="G447">
            <v>0.1</v>
          </cell>
        </row>
        <row r="448">
          <cell r="B448" t="str">
            <v>TUBERÍA MÉTALICA Y ACCESORIOS</v>
          </cell>
          <cell r="C448">
            <v>0</v>
          </cell>
          <cell r="D448">
            <v>0</v>
          </cell>
          <cell r="E448">
            <v>0</v>
          </cell>
          <cell r="F448">
            <v>0</v>
          </cell>
          <cell r="G448">
            <v>0</v>
          </cell>
        </row>
        <row r="449">
          <cell r="B449" t="str">
            <v>Elementos de fijación tubería EMT 3/4", 1".</v>
          </cell>
          <cell r="C449">
            <v>0</v>
          </cell>
          <cell r="D449">
            <v>1060</v>
          </cell>
          <cell r="E449">
            <v>201.4</v>
          </cell>
          <cell r="F449">
            <v>1261.4000000000001</v>
          </cell>
          <cell r="G449">
            <v>0</v>
          </cell>
        </row>
        <row r="450">
          <cell r="B450" t="str">
            <v>Grapa doble ala galvanizada en caliente 1/2''</v>
          </cell>
          <cell r="C450" t="str">
            <v>UN</v>
          </cell>
          <cell r="D450">
            <v>150</v>
          </cell>
          <cell r="E450">
            <v>28.5</v>
          </cell>
          <cell r="F450">
            <v>178.5</v>
          </cell>
          <cell r="G450">
            <v>0.1</v>
          </cell>
        </row>
        <row r="451">
          <cell r="B451" t="str">
            <v>Grapa doble ala galvanizada en caliente 3/4''</v>
          </cell>
          <cell r="C451" t="str">
            <v>UN</v>
          </cell>
          <cell r="D451">
            <v>200</v>
          </cell>
          <cell r="E451">
            <v>38</v>
          </cell>
          <cell r="F451">
            <v>238</v>
          </cell>
          <cell r="G451">
            <v>0.13</v>
          </cell>
        </row>
        <row r="452">
          <cell r="B452" t="str">
            <v>Grapa doble ala galvanizada en caliente 1''</v>
          </cell>
          <cell r="C452" t="str">
            <v>UN</v>
          </cell>
          <cell r="D452">
            <v>250</v>
          </cell>
          <cell r="E452">
            <v>47.5</v>
          </cell>
          <cell r="F452">
            <v>297.5</v>
          </cell>
          <cell r="G452">
            <v>0.15</v>
          </cell>
        </row>
        <row r="453">
          <cell r="B453" t="str">
            <v>Grapa doble ala galvanizada en caliente 1 1/2''</v>
          </cell>
          <cell r="C453" t="str">
            <v>UN</v>
          </cell>
          <cell r="D453">
            <v>550</v>
          </cell>
          <cell r="E453">
            <v>104.5</v>
          </cell>
          <cell r="F453">
            <v>654.5</v>
          </cell>
          <cell r="G453">
            <v>0.17</v>
          </cell>
        </row>
        <row r="454">
          <cell r="B454" t="str">
            <v>Grapa doble ala galvanizada en caliente 2''</v>
          </cell>
          <cell r="C454" t="str">
            <v>UN</v>
          </cell>
          <cell r="D454">
            <v>950</v>
          </cell>
          <cell r="E454">
            <v>180.5</v>
          </cell>
          <cell r="F454">
            <v>1130.5</v>
          </cell>
          <cell r="G454">
            <v>0</v>
          </cell>
        </row>
        <row r="455">
          <cell r="B455" t="str">
            <v>Grapa doble ala galvanizada en caliente 3''</v>
          </cell>
          <cell r="C455" t="str">
            <v>UN</v>
          </cell>
          <cell r="D455">
            <v>2390</v>
          </cell>
          <cell r="E455">
            <v>454.1</v>
          </cell>
          <cell r="F455">
            <v>2844.1</v>
          </cell>
          <cell r="G455">
            <v>0</v>
          </cell>
        </row>
        <row r="456">
          <cell r="B456" t="str">
            <v>Chazos Plasticos de 1/4''</v>
          </cell>
          <cell r="C456" t="str">
            <v>UN</v>
          </cell>
          <cell r="D456">
            <v>91.379310344827601</v>
          </cell>
          <cell r="E456">
            <v>17.362068965517246</v>
          </cell>
          <cell r="F456">
            <v>108.74137931034485</v>
          </cell>
          <cell r="G456">
            <v>0.03</v>
          </cell>
        </row>
        <row r="457">
          <cell r="B457" t="str">
            <v>Tornillo de Ensable 1/4''x2''</v>
          </cell>
          <cell r="C457" t="str">
            <v>UN</v>
          </cell>
          <cell r="D457">
            <v>91.379310344827601</v>
          </cell>
          <cell r="E457">
            <v>17.362068965517246</v>
          </cell>
          <cell r="F457">
            <v>108.74137931034485</v>
          </cell>
          <cell r="G457">
            <v>0.03</v>
          </cell>
        </row>
        <row r="458">
          <cell r="B458" t="str">
            <v>Tubería EMT 1/2"</v>
          </cell>
          <cell r="C458" t="str">
            <v>ML</v>
          </cell>
          <cell r="D458">
            <v>9500</v>
          </cell>
          <cell r="E458">
            <v>1805</v>
          </cell>
          <cell r="F458">
            <v>11305</v>
          </cell>
          <cell r="G458">
            <v>0.38999999999999996</v>
          </cell>
        </row>
        <row r="459">
          <cell r="B459" t="str">
            <v>Tubería EMT 3/4"</v>
          </cell>
          <cell r="C459" t="str">
            <v>ML</v>
          </cell>
          <cell r="D459">
            <v>14200</v>
          </cell>
          <cell r="E459">
            <v>2698</v>
          </cell>
          <cell r="F459">
            <v>16898</v>
          </cell>
          <cell r="G459">
            <v>0.66999999999999993</v>
          </cell>
        </row>
        <row r="460">
          <cell r="B460" t="str">
            <v>Tubería EMT 1''</v>
          </cell>
          <cell r="C460" t="str">
            <v>ML</v>
          </cell>
          <cell r="D460">
            <v>20300</v>
          </cell>
          <cell r="E460">
            <v>3857</v>
          </cell>
          <cell r="F460">
            <v>24157</v>
          </cell>
          <cell r="G460">
            <v>0.9900000000000001</v>
          </cell>
        </row>
        <row r="461">
          <cell r="B461" t="str">
            <v>Tubería EMT 1 1/2''</v>
          </cell>
          <cell r="C461" t="str">
            <v>ML</v>
          </cell>
          <cell r="D461">
            <v>35500</v>
          </cell>
          <cell r="E461">
            <v>6745</v>
          </cell>
          <cell r="F461">
            <v>42245</v>
          </cell>
          <cell r="G461">
            <v>1.31</v>
          </cell>
        </row>
        <row r="462">
          <cell r="B462" t="str">
            <v>Tubería EMT 2''</v>
          </cell>
          <cell r="C462" t="str">
            <v>ML</v>
          </cell>
          <cell r="D462">
            <v>44400</v>
          </cell>
          <cell r="E462">
            <v>8436</v>
          </cell>
          <cell r="F462">
            <v>52836</v>
          </cell>
          <cell r="G462">
            <v>2.8</v>
          </cell>
        </row>
        <row r="463">
          <cell r="B463" t="str">
            <v>Tubería EMT 3''</v>
          </cell>
          <cell r="C463" t="str">
            <v>Ml</v>
          </cell>
          <cell r="D463">
            <v>86300</v>
          </cell>
          <cell r="E463">
            <v>16397</v>
          </cell>
          <cell r="F463">
            <v>102697</v>
          </cell>
          <cell r="G463">
            <v>1.7</v>
          </cell>
        </row>
        <row r="464">
          <cell r="B464" t="str">
            <v>TUBO GALVANIZADO 1.1/2 EMT</v>
          </cell>
          <cell r="C464">
            <v>0</v>
          </cell>
          <cell r="D464">
            <v>41564.720000000001</v>
          </cell>
          <cell r="E464">
            <v>7897.2968000000001</v>
          </cell>
          <cell r="F464">
            <v>49462.016799999998</v>
          </cell>
          <cell r="G464">
            <v>0</v>
          </cell>
        </row>
        <row r="465">
          <cell r="B465" t="str">
            <v>TUBO GALVANIZADO 1.1/4 C/U</v>
          </cell>
          <cell r="C465">
            <v>0</v>
          </cell>
          <cell r="D465">
            <v>62374.640000000007</v>
          </cell>
          <cell r="E465">
            <v>11851.181600000002</v>
          </cell>
          <cell r="F465">
            <v>74225.82160000001</v>
          </cell>
          <cell r="G465">
            <v>0</v>
          </cell>
        </row>
        <row r="466">
          <cell r="B466" t="str">
            <v>TUBO GALVANIZADO 1.1/4 EMT</v>
          </cell>
          <cell r="C466">
            <v>0</v>
          </cell>
          <cell r="D466">
            <v>7631.2933333333331</v>
          </cell>
          <cell r="E466">
            <v>1449.9457333333332</v>
          </cell>
          <cell r="F466">
            <v>9081.239066666667</v>
          </cell>
          <cell r="G466">
            <v>0</v>
          </cell>
        </row>
        <row r="467">
          <cell r="B467" t="str">
            <v>TUBO GALVANIZADO 1/2 C/U</v>
          </cell>
          <cell r="C467">
            <v>0</v>
          </cell>
          <cell r="D467">
            <v>26901.74</v>
          </cell>
          <cell r="E467">
            <v>5111.3306000000002</v>
          </cell>
          <cell r="F467">
            <v>32013.070600000003</v>
          </cell>
          <cell r="G467">
            <v>0</v>
          </cell>
        </row>
        <row r="468">
          <cell r="B468" t="str">
            <v>TUBO GALVANIZADO 1/2 EMT</v>
          </cell>
          <cell r="C468">
            <v>0</v>
          </cell>
          <cell r="D468">
            <v>10066.82</v>
          </cell>
          <cell r="E468">
            <v>1912.6958</v>
          </cell>
          <cell r="F468">
            <v>11979.515799999999</v>
          </cell>
          <cell r="G468">
            <v>0</v>
          </cell>
        </row>
        <row r="469">
          <cell r="B469" t="str">
            <v>TUBO GALVANIZADO 2 C/U</v>
          </cell>
          <cell r="C469">
            <v>0</v>
          </cell>
          <cell r="D469">
            <v>96457.88</v>
          </cell>
          <cell r="E469">
            <v>18326.997200000002</v>
          </cell>
          <cell r="F469">
            <v>114784.8772</v>
          </cell>
          <cell r="G469">
            <v>0</v>
          </cell>
        </row>
        <row r="470">
          <cell r="B470" t="str">
            <v>TUBO GALVANIZADO 1 1/2 EMT</v>
          </cell>
          <cell r="C470">
            <v>0</v>
          </cell>
          <cell r="D470">
            <v>9381.6091954022995</v>
          </cell>
          <cell r="E470">
            <v>1782.505747126437</v>
          </cell>
          <cell r="F470">
            <v>11164.114942528737</v>
          </cell>
          <cell r="G470">
            <v>0</v>
          </cell>
        </row>
        <row r="471">
          <cell r="B471" t="str">
            <v>TUBO GALVANIZADO 2 EMT</v>
          </cell>
          <cell r="C471">
            <v>0</v>
          </cell>
          <cell r="D471">
            <v>11696.551724137933</v>
          </cell>
          <cell r="E471">
            <v>2222.3448275862074</v>
          </cell>
          <cell r="F471">
            <v>13918.896551724141</v>
          </cell>
          <cell r="G471">
            <v>0</v>
          </cell>
        </row>
        <row r="472">
          <cell r="B472" t="str">
            <v>TUBO GALVANIZADO 2 1/2 EMT</v>
          </cell>
          <cell r="C472">
            <v>0</v>
          </cell>
          <cell r="D472">
            <v>22386.214200000002</v>
          </cell>
          <cell r="E472">
            <v>4253.3806980000008</v>
          </cell>
          <cell r="F472">
            <v>26639.594898000003</v>
          </cell>
          <cell r="G472">
            <v>0</v>
          </cell>
        </row>
        <row r="473">
          <cell r="B473" t="str">
            <v>TUBO GALVANIZADO 3 C/U</v>
          </cell>
          <cell r="C473">
            <v>0</v>
          </cell>
          <cell r="D473">
            <v>227002.18000000002</v>
          </cell>
          <cell r="E473">
            <v>43130.414200000007</v>
          </cell>
          <cell r="F473">
            <v>270132.59420000005</v>
          </cell>
          <cell r="G473">
            <v>0</v>
          </cell>
        </row>
        <row r="474">
          <cell r="B474" t="str">
            <v>TUBO GALVANIZADO 3 EMT</v>
          </cell>
          <cell r="C474">
            <v>0</v>
          </cell>
          <cell r="D474">
            <v>104796.90000000001</v>
          </cell>
          <cell r="E474">
            <v>19911.411000000004</v>
          </cell>
          <cell r="F474">
            <v>124708.31100000002</v>
          </cell>
          <cell r="G474">
            <v>0</v>
          </cell>
        </row>
        <row r="475">
          <cell r="B475" t="str">
            <v>TUBO GALVANIZADO 3/4 C/U</v>
          </cell>
          <cell r="C475">
            <v>0</v>
          </cell>
          <cell r="D475">
            <v>33399.54</v>
          </cell>
          <cell r="E475">
            <v>6345.9126000000006</v>
          </cell>
          <cell r="F475">
            <v>39745.452600000004</v>
          </cell>
          <cell r="G475">
            <v>0</v>
          </cell>
        </row>
        <row r="476">
          <cell r="B476" t="str">
            <v>TUBO GALVANIZADO 3/4 EMT</v>
          </cell>
          <cell r="C476">
            <v>0</v>
          </cell>
          <cell r="D476">
            <v>16437.420000000002</v>
          </cell>
          <cell r="E476">
            <v>3123.1098000000002</v>
          </cell>
          <cell r="F476">
            <v>19560.529800000004</v>
          </cell>
          <cell r="G476">
            <v>0</v>
          </cell>
        </row>
        <row r="477">
          <cell r="B477" t="str">
            <v>TUBO GALVANIZADO 4 C/U</v>
          </cell>
          <cell r="C477">
            <v>0</v>
          </cell>
          <cell r="D477">
            <v>298145.14</v>
          </cell>
          <cell r="E477">
            <v>56647.5766</v>
          </cell>
          <cell r="F477">
            <v>354792.71660000004</v>
          </cell>
          <cell r="G477">
            <v>0</v>
          </cell>
        </row>
        <row r="478">
          <cell r="B478" t="str">
            <v>TUBO GALVANIZADO 3/4 C/U</v>
          </cell>
          <cell r="C478">
            <v>0</v>
          </cell>
          <cell r="D478">
            <v>6643.02</v>
          </cell>
          <cell r="E478">
            <v>1262.1738</v>
          </cell>
          <cell r="F478">
            <v>7905.1938000000009</v>
          </cell>
          <cell r="G478">
            <v>0</v>
          </cell>
        </row>
        <row r="479">
          <cell r="B479" t="str">
            <v>TUBO GALVANIZADO 1 C/U</v>
          </cell>
          <cell r="C479">
            <v>0</v>
          </cell>
          <cell r="D479">
            <v>11358.960000000001</v>
          </cell>
          <cell r="E479">
            <v>2158.2024000000001</v>
          </cell>
          <cell r="F479">
            <v>13517.162400000001</v>
          </cell>
          <cell r="G479">
            <v>0</v>
          </cell>
        </row>
        <row r="480">
          <cell r="B480" t="str">
            <v>TUBO GALVANIZADO 1 EMT</v>
          </cell>
          <cell r="C480">
            <v>0</v>
          </cell>
          <cell r="D480">
            <v>24123.48</v>
          </cell>
          <cell r="E480">
            <v>4583.4611999999997</v>
          </cell>
          <cell r="F480">
            <v>28706.941200000001</v>
          </cell>
          <cell r="G480">
            <v>0</v>
          </cell>
        </row>
        <row r="481">
          <cell r="B481" t="str">
            <v>TUBO GALVANIZADO 1.1/2 C/U</v>
          </cell>
          <cell r="C481">
            <v>0</v>
          </cell>
          <cell r="D481">
            <v>25505.72</v>
          </cell>
          <cell r="E481">
            <v>4846.0868</v>
          </cell>
          <cell r="F481">
            <v>30351.806800000002</v>
          </cell>
          <cell r="G481">
            <v>0.15</v>
          </cell>
        </row>
        <row r="482">
          <cell r="B482" t="str">
            <v>Unión EMT 1/2''</v>
          </cell>
          <cell r="C482" t="str">
            <v>UN</v>
          </cell>
          <cell r="D482">
            <v>993.96551724137896</v>
          </cell>
          <cell r="E482">
            <v>188.85344827586201</v>
          </cell>
          <cell r="F482">
            <v>1182.8189655172409</v>
          </cell>
          <cell r="G482">
            <v>0.1</v>
          </cell>
        </row>
        <row r="483">
          <cell r="B483" t="str">
            <v>Unión EMT 3/4''</v>
          </cell>
          <cell r="C483" t="str">
            <v>UN</v>
          </cell>
          <cell r="D483">
            <v>1213.7931034482699</v>
          </cell>
          <cell r="E483">
            <v>230.62068965517128</v>
          </cell>
          <cell r="F483">
            <v>1444.4137931034411</v>
          </cell>
          <cell r="G483">
            <v>0.125</v>
          </cell>
        </row>
        <row r="484">
          <cell r="B484" t="str">
            <v>Unión EMT 1''</v>
          </cell>
          <cell r="C484" t="str">
            <v>UN</v>
          </cell>
          <cell r="D484">
            <v>1525</v>
          </cell>
          <cell r="E484">
            <v>289.75</v>
          </cell>
          <cell r="F484">
            <v>1814.75</v>
          </cell>
          <cell r="G484">
            <v>0.15</v>
          </cell>
        </row>
        <row r="485">
          <cell r="B485" t="str">
            <v>Unión EMT 1 1/4''</v>
          </cell>
          <cell r="C485" t="str">
            <v>UN</v>
          </cell>
          <cell r="D485">
            <v>2564.6551724137898</v>
          </cell>
          <cell r="E485">
            <v>487.28448275862007</v>
          </cell>
          <cell r="F485">
            <v>3051.9396551724099</v>
          </cell>
          <cell r="G485">
            <v>0.17</v>
          </cell>
        </row>
        <row r="486">
          <cell r="B486" t="str">
            <v>Unión EMT 1 1/2''</v>
          </cell>
          <cell r="C486" t="str">
            <v>un</v>
          </cell>
          <cell r="D486">
            <v>3300</v>
          </cell>
          <cell r="E486">
            <v>627</v>
          </cell>
          <cell r="F486">
            <v>3927</v>
          </cell>
          <cell r="G486">
            <v>0.35</v>
          </cell>
        </row>
        <row r="487">
          <cell r="B487" t="str">
            <v>Unión EMT 2''</v>
          </cell>
          <cell r="C487" t="str">
            <v>un</v>
          </cell>
          <cell r="D487">
            <v>4400</v>
          </cell>
          <cell r="E487">
            <v>836</v>
          </cell>
          <cell r="F487">
            <v>5236</v>
          </cell>
          <cell r="G487">
            <v>0.35</v>
          </cell>
        </row>
        <row r="488">
          <cell r="B488" t="str">
            <v>Unión EMT 3''</v>
          </cell>
          <cell r="C488" t="str">
            <v>un</v>
          </cell>
          <cell r="D488">
            <v>9500</v>
          </cell>
          <cell r="E488">
            <v>1805</v>
          </cell>
          <cell r="F488">
            <v>11305</v>
          </cell>
          <cell r="G488">
            <v>0.22</v>
          </cell>
        </row>
        <row r="489">
          <cell r="B489" t="str">
            <v>UNIÓN METÁLICA GALVANIZADA DE 1,1/2</v>
          </cell>
          <cell r="C489">
            <v>0</v>
          </cell>
          <cell r="D489">
            <v>2968</v>
          </cell>
          <cell r="E489">
            <v>563.91999999999996</v>
          </cell>
          <cell r="F489">
            <v>3531.92</v>
          </cell>
          <cell r="G489">
            <v>0.05</v>
          </cell>
        </row>
        <row r="490">
          <cell r="B490" t="str">
            <v>UNIÓN METÁLICA GALVANIZADA DE 1</v>
          </cell>
          <cell r="C490">
            <v>0</v>
          </cell>
          <cell r="D490">
            <v>2968</v>
          </cell>
          <cell r="E490">
            <v>563.91999999999996</v>
          </cell>
          <cell r="F490">
            <v>3531.92</v>
          </cell>
          <cell r="G490">
            <v>0.05</v>
          </cell>
        </row>
        <row r="491">
          <cell r="B491" t="str">
            <v>Entrada a Caja EMT 1/2''</v>
          </cell>
          <cell r="C491" t="str">
            <v>UN</v>
          </cell>
          <cell r="D491">
            <v>700</v>
          </cell>
          <cell r="E491">
            <v>133</v>
          </cell>
          <cell r="F491">
            <v>833</v>
          </cell>
          <cell r="G491">
            <v>0.1</v>
          </cell>
        </row>
        <row r="492">
          <cell r="B492" t="str">
            <v>Entrada a Caja EMT 3/4''</v>
          </cell>
          <cell r="C492" t="str">
            <v>UN</v>
          </cell>
          <cell r="D492">
            <v>980</v>
          </cell>
          <cell r="E492">
            <v>186.2</v>
          </cell>
          <cell r="F492">
            <v>1166.2</v>
          </cell>
          <cell r="G492">
            <v>0.125</v>
          </cell>
        </row>
        <row r="493">
          <cell r="B493" t="str">
            <v>Entrada a Caja EMT 1 1/4''</v>
          </cell>
          <cell r="C493" t="str">
            <v>UN</v>
          </cell>
          <cell r="D493">
            <v>2800</v>
          </cell>
          <cell r="E493">
            <v>532</v>
          </cell>
          <cell r="F493">
            <v>3332</v>
          </cell>
          <cell r="G493">
            <v>0.17</v>
          </cell>
        </row>
        <row r="494">
          <cell r="B494" t="str">
            <v>Entrada a Caja EMT 1 1/2''</v>
          </cell>
          <cell r="C494" t="str">
            <v>UN</v>
          </cell>
          <cell r="D494">
            <v>3450</v>
          </cell>
          <cell r="E494">
            <v>655.5</v>
          </cell>
          <cell r="F494">
            <v>4105.5</v>
          </cell>
          <cell r="G494">
            <v>0.35</v>
          </cell>
        </row>
        <row r="495">
          <cell r="B495" t="str">
            <v>Entrada a Caja EMT 3''</v>
          </cell>
          <cell r="C495" t="str">
            <v>UN</v>
          </cell>
          <cell r="D495">
            <v>10500</v>
          </cell>
          <cell r="E495">
            <v>1995</v>
          </cell>
          <cell r="F495">
            <v>12495</v>
          </cell>
          <cell r="G495">
            <v>0.33</v>
          </cell>
        </row>
        <row r="496">
          <cell r="B496" t="str">
            <v>Entrada a Caja EMT 2''</v>
          </cell>
          <cell r="C496" t="str">
            <v>UN</v>
          </cell>
          <cell r="D496">
            <v>4700</v>
          </cell>
          <cell r="E496">
            <v>893</v>
          </cell>
          <cell r="F496">
            <v>5593</v>
          </cell>
          <cell r="G496">
            <v>0.25</v>
          </cell>
        </row>
        <row r="497">
          <cell r="B497" t="str">
            <v>Curva EMT 3/4''</v>
          </cell>
          <cell r="C497" t="str">
            <v>UN</v>
          </cell>
          <cell r="D497">
            <v>2450</v>
          </cell>
          <cell r="E497">
            <v>465.5</v>
          </cell>
          <cell r="F497">
            <v>2915.5</v>
          </cell>
          <cell r="G497">
            <v>0.3</v>
          </cell>
        </row>
        <row r="498">
          <cell r="B498" t="str">
            <v>Curva EMT 1''</v>
          </cell>
          <cell r="C498" t="str">
            <v>UN</v>
          </cell>
          <cell r="D498">
            <v>4300</v>
          </cell>
          <cell r="E498">
            <v>817</v>
          </cell>
          <cell r="F498">
            <v>5117</v>
          </cell>
          <cell r="G498">
            <v>0.4</v>
          </cell>
        </row>
        <row r="499">
          <cell r="B499" t="str">
            <v>Curva EMT 1+1/2''</v>
          </cell>
          <cell r="C499" t="str">
            <v>UN</v>
          </cell>
          <cell r="D499">
            <v>8200</v>
          </cell>
          <cell r="E499">
            <v>1558</v>
          </cell>
          <cell r="F499">
            <v>9758</v>
          </cell>
          <cell r="G499">
            <v>0.5</v>
          </cell>
        </row>
        <row r="500">
          <cell r="B500" t="str">
            <v>Curva EMT 2''</v>
          </cell>
          <cell r="C500" t="str">
            <v>UN</v>
          </cell>
          <cell r="D500">
            <v>12000</v>
          </cell>
          <cell r="E500">
            <v>2280</v>
          </cell>
          <cell r="F500">
            <v>14280</v>
          </cell>
          <cell r="G500">
            <v>0.6</v>
          </cell>
        </row>
        <row r="501">
          <cell r="B501" t="str">
            <v>Curva EMT 3''</v>
          </cell>
          <cell r="C501" t="str">
            <v>UN</v>
          </cell>
          <cell r="D501">
            <v>39000</v>
          </cell>
          <cell r="E501">
            <v>7410</v>
          </cell>
          <cell r="F501">
            <v>46410</v>
          </cell>
          <cell r="G501">
            <v>0.45</v>
          </cell>
        </row>
        <row r="502">
          <cell r="B502" t="str">
            <v>CURVA GALVANIZADA DE 1"</v>
          </cell>
          <cell r="C502" t="str">
            <v>UN</v>
          </cell>
          <cell r="D502">
            <v>5777</v>
          </cell>
          <cell r="E502">
            <v>1097.6300000000001</v>
          </cell>
          <cell r="F502">
            <v>6874.63</v>
          </cell>
          <cell r="G502">
            <v>0.05</v>
          </cell>
        </row>
        <row r="503">
          <cell r="B503" t="str">
            <v>CURVA GALVANIZADA DE 3/4"</v>
          </cell>
          <cell r="C503" t="str">
            <v>UN</v>
          </cell>
          <cell r="D503">
            <v>4293</v>
          </cell>
          <cell r="E503">
            <v>815.67</v>
          </cell>
          <cell r="F503">
            <v>5108.67</v>
          </cell>
          <cell r="G503">
            <v>0.05</v>
          </cell>
        </row>
        <row r="504">
          <cell r="B504" t="str">
            <v>Conduleta en L 1/2''</v>
          </cell>
          <cell r="C504" t="str">
            <v>UN</v>
          </cell>
          <cell r="D504">
            <v>4890</v>
          </cell>
          <cell r="E504">
            <v>929.1</v>
          </cell>
          <cell r="F504">
            <v>5819.1</v>
          </cell>
          <cell r="G504">
            <v>0.3</v>
          </cell>
        </row>
        <row r="505">
          <cell r="B505" t="str">
            <v>Conduleta en L 3/4''</v>
          </cell>
          <cell r="C505" t="str">
            <v>UN</v>
          </cell>
          <cell r="D505">
            <v>7674</v>
          </cell>
          <cell r="E505">
            <v>1458.06</v>
          </cell>
          <cell r="F505">
            <v>9132.06</v>
          </cell>
          <cell r="G505">
            <v>0.32500000000000001</v>
          </cell>
        </row>
        <row r="506">
          <cell r="B506" t="str">
            <v>Conduleta en L 1''</v>
          </cell>
          <cell r="C506" t="str">
            <v>UN</v>
          </cell>
          <cell r="D506">
            <v>9886</v>
          </cell>
          <cell r="E506">
            <v>1878.34</v>
          </cell>
          <cell r="F506">
            <v>11764.34</v>
          </cell>
          <cell r="G506">
            <v>0.35</v>
          </cell>
        </row>
        <row r="507">
          <cell r="B507" t="str">
            <v>Conduleta en L 1 1/4''</v>
          </cell>
          <cell r="C507" t="str">
            <v>UN</v>
          </cell>
          <cell r="D507">
            <v>19184.482758620699</v>
          </cell>
          <cell r="E507">
            <v>3645.051724137933</v>
          </cell>
          <cell r="F507">
            <v>22829.53448275863</v>
          </cell>
          <cell r="G507">
            <v>0.37</v>
          </cell>
        </row>
        <row r="508">
          <cell r="B508" t="str">
            <v>Conduleta en L 2''</v>
          </cell>
          <cell r="C508" t="str">
            <v>UN</v>
          </cell>
          <cell r="D508">
            <v>31931.034482758601</v>
          </cell>
          <cell r="E508">
            <v>6066.896551724134</v>
          </cell>
          <cell r="F508">
            <v>37997.931034482739</v>
          </cell>
          <cell r="G508">
            <v>0.5</v>
          </cell>
        </row>
        <row r="509">
          <cell r="B509" t="str">
            <v>Conduleta en L 3''</v>
          </cell>
          <cell r="C509" t="str">
            <v>UN</v>
          </cell>
          <cell r="D509">
            <v>97000</v>
          </cell>
          <cell r="E509">
            <v>18430</v>
          </cell>
          <cell r="F509">
            <v>115430</v>
          </cell>
          <cell r="G509">
            <v>0.7</v>
          </cell>
        </row>
        <row r="510">
          <cell r="B510" t="str">
            <v>CORAZA METÁLICA 3/4"</v>
          </cell>
          <cell r="C510" t="str">
            <v>ML</v>
          </cell>
          <cell r="D510">
            <v>3850</v>
          </cell>
          <cell r="E510">
            <v>731.5</v>
          </cell>
          <cell r="F510">
            <v>4581.5</v>
          </cell>
          <cell r="G510">
            <v>0.7</v>
          </cell>
        </row>
        <row r="511">
          <cell r="B511" t="str">
            <v>CORAZA METÁLICA 1"</v>
          </cell>
          <cell r="C511" t="str">
            <v>ML</v>
          </cell>
          <cell r="D511">
            <v>6950</v>
          </cell>
          <cell r="E511">
            <v>1320.5</v>
          </cell>
          <cell r="F511">
            <v>8270.5</v>
          </cell>
          <cell r="G511">
            <v>0.7</v>
          </cell>
        </row>
        <row r="512">
          <cell r="B512" t="str">
            <v>CORAZA METÁLICA 1. 1/2"</v>
          </cell>
          <cell r="C512" t="str">
            <v>ML</v>
          </cell>
          <cell r="D512">
            <v>11900</v>
          </cell>
          <cell r="E512">
            <v>2261</v>
          </cell>
          <cell r="F512">
            <v>14161</v>
          </cell>
          <cell r="G512">
            <v>0.7</v>
          </cell>
        </row>
        <row r="513">
          <cell r="B513" t="str">
            <v>CORAZA METÁLICA 2"</v>
          </cell>
          <cell r="C513" t="str">
            <v>ML</v>
          </cell>
          <cell r="D513">
            <v>15600</v>
          </cell>
          <cell r="E513">
            <v>2964</v>
          </cell>
          <cell r="F513">
            <v>18564</v>
          </cell>
          <cell r="G513">
            <v>0.7</v>
          </cell>
        </row>
        <row r="514">
          <cell r="B514" t="str">
            <v>CORAZA METÁLICA 3"</v>
          </cell>
          <cell r="C514" t="str">
            <v>ML</v>
          </cell>
          <cell r="D514">
            <v>31900</v>
          </cell>
          <cell r="E514">
            <v>6061</v>
          </cell>
          <cell r="F514">
            <v>37961</v>
          </cell>
          <cell r="G514">
            <v>0.7</v>
          </cell>
        </row>
        <row r="515">
          <cell r="B515" t="str">
            <v>CORAZA METÁLICA AMERICANA 1"</v>
          </cell>
          <cell r="C515" t="str">
            <v>ML</v>
          </cell>
          <cell r="D515">
            <v>6222.2000000000007</v>
          </cell>
          <cell r="E515">
            <v>1182.2180000000001</v>
          </cell>
          <cell r="F515">
            <v>7404.4180000000006</v>
          </cell>
          <cell r="G515">
            <v>0.7</v>
          </cell>
        </row>
        <row r="516">
          <cell r="B516" t="str">
            <v>CONECTOR RECTO 3/4"</v>
          </cell>
          <cell r="C516" t="str">
            <v>Un</v>
          </cell>
          <cell r="D516">
            <v>3000</v>
          </cell>
          <cell r="E516">
            <v>570</v>
          </cell>
          <cell r="F516">
            <v>3570</v>
          </cell>
          <cell r="G516">
            <v>0.7</v>
          </cell>
        </row>
        <row r="517">
          <cell r="B517" t="str">
            <v>CONECTOR CURVO 3/4"</v>
          </cell>
          <cell r="C517" t="str">
            <v>Un</v>
          </cell>
          <cell r="D517">
            <v>4100</v>
          </cell>
          <cell r="E517">
            <v>779</v>
          </cell>
          <cell r="F517">
            <v>4879</v>
          </cell>
          <cell r="G517">
            <v>0.7</v>
          </cell>
        </row>
        <row r="518">
          <cell r="B518" t="str">
            <v>CONECTOR RECTO 1"</v>
          </cell>
          <cell r="C518" t="str">
            <v>Un</v>
          </cell>
          <cell r="D518">
            <v>3700</v>
          </cell>
          <cell r="E518">
            <v>703</v>
          </cell>
          <cell r="F518">
            <v>4403</v>
          </cell>
          <cell r="G518">
            <v>0.7</v>
          </cell>
        </row>
        <row r="519">
          <cell r="B519" t="str">
            <v>CONECTOR CURVO 1"</v>
          </cell>
          <cell r="C519" t="str">
            <v>Un</v>
          </cell>
          <cell r="D519">
            <v>5900</v>
          </cell>
          <cell r="E519">
            <v>1121</v>
          </cell>
          <cell r="F519">
            <v>7021</v>
          </cell>
          <cell r="G519">
            <v>0.7</v>
          </cell>
        </row>
        <row r="520">
          <cell r="B520" t="str">
            <v>CONECTOR RECTO 2"</v>
          </cell>
          <cell r="C520" t="str">
            <v>Un</v>
          </cell>
          <cell r="D520">
            <v>12850</v>
          </cell>
          <cell r="E520">
            <v>2441.5</v>
          </cell>
          <cell r="F520">
            <v>15291.5</v>
          </cell>
          <cell r="G520">
            <v>0.7</v>
          </cell>
        </row>
        <row r="521">
          <cell r="B521" t="str">
            <v>CONECTOR CURVO 2"</v>
          </cell>
          <cell r="C521" t="str">
            <v>Un</v>
          </cell>
          <cell r="D521">
            <v>21000</v>
          </cell>
          <cell r="E521">
            <v>3990</v>
          </cell>
          <cell r="F521">
            <v>24990</v>
          </cell>
          <cell r="G521">
            <v>0.7</v>
          </cell>
        </row>
        <row r="522">
          <cell r="B522" t="str">
            <v>CONECTOR CURVO 3"</v>
          </cell>
          <cell r="C522" t="str">
            <v>Un</v>
          </cell>
          <cell r="D522">
            <v>80000</v>
          </cell>
          <cell r="E522">
            <v>15200</v>
          </cell>
          <cell r="F522">
            <v>95200</v>
          </cell>
          <cell r="G522">
            <v>0.7</v>
          </cell>
        </row>
        <row r="523">
          <cell r="B523" t="str">
            <v>CONECTOR RECTO 1,1/2"</v>
          </cell>
          <cell r="C523" t="str">
            <v>Un</v>
          </cell>
          <cell r="D523">
            <v>8000</v>
          </cell>
          <cell r="E523">
            <v>1520</v>
          </cell>
          <cell r="F523">
            <v>9520</v>
          </cell>
          <cell r="G523">
            <v>0.7</v>
          </cell>
        </row>
        <row r="524">
          <cell r="B524" t="str">
            <v>CONECTOR RECTO 3"</v>
          </cell>
          <cell r="C524" t="str">
            <v>Un</v>
          </cell>
          <cell r="D524">
            <v>46300</v>
          </cell>
          <cell r="E524">
            <v>8797</v>
          </cell>
          <cell r="F524">
            <v>55097</v>
          </cell>
          <cell r="G524">
            <v>0.7</v>
          </cell>
        </row>
        <row r="525">
          <cell r="B525" t="str">
            <v>CONECTOR CURVO 1,1/2"</v>
          </cell>
          <cell r="C525" t="str">
            <v>Un</v>
          </cell>
          <cell r="D525">
            <v>15000</v>
          </cell>
          <cell r="E525">
            <v>2850</v>
          </cell>
          <cell r="F525">
            <v>17850</v>
          </cell>
          <cell r="G525">
            <v>0.7</v>
          </cell>
        </row>
        <row r="526">
          <cell r="B526" t="str">
            <v>TUBERÍA PLASTICA Y ACCESORIOS</v>
          </cell>
          <cell r="C526">
            <v>0</v>
          </cell>
          <cell r="D526">
            <v>0</v>
          </cell>
          <cell r="E526">
            <v>0</v>
          </cell>
          <cell r="F526">
            <v>0</v>
          </cell>
          <cell r="G526">
            <v>0</v>
          </cell>
        </row>
        <row r="527">
          <cell r="B527" t="str">
            <v>Tubo PVC DB60 1/2''</v>
          </cell>
          <cell r="C527" t="str">
            <v>ML</v>
          </cell>
          <cell r="D527">
            <v>1415.4655172413795</v>
          </cell>
          <cell r="E527">
            <v>268.93844827586213</v>
          </cell>
          <cell r="F527">
            <v>1684.4039655172417</v>
          </cell>
          <cell r="G527">
            <v>0.15</v>
          </cell>
        </row>
        <row r="528">
          <cell r="B528" t="str">
            <v>Tubo PVC DB60 3/4''</v>
          </cell>
          <cell r="C528" t="str">
            <v>ML</v>
          </cell>
          <cell r="D528">
            <v>1855.0000000000002</v>
          </cell>
          <cell r="E528">
            <v>352.45000000000005</v>
          </cell>
          <cell r="F528">
            <v>2207.4500000000003</v>
          </cell>
          <cell r="G528">
            <v>0.19</v>
          </cell>
        </row>
        <row r="529">
          <cell r="B529" t="str">
            <v>Tubo PVC DB60 1''</v>
          </cell>
          <cell r="C529" t="str">
            <v>ML</v>
          </cell>
          <cell r="D529">
            <v>2569.5862068965521</v>
          </cell>
          <cell r="E529">
            <v>488.2213793103449</v>
          </cell>
          <cell r="F529">
            <v>3057.8075862068972</v>
          </cell>
          <cell r="G529">
            <v>0.25</v>
          </cell>
        </row>
        <row r="530">
          <cell r="B530" t="str">
            <v>Tubo PVC DB60 2''</v>
          </cell>
          <cell r="C530" t="str">
            <v>ML</v>
          </cell>
          <cell r="D530">
            <v>3463.275862068966</v>
          </cell>
          <cell r="E530">
            <v>658.02241379310351</v>
          </cell>
          <cell r="F530">
            <v>4121.2982758620692</v>
          </cell>
          <cell r="G530">
            <v>0.253</v>
          </cell>
        </row>
        <row r="531">
          <cell r="B531" t="str">
            <v>Curva PVC 1/2''</v>
          </cell>
          <cell r="C531" t="str">
            <v>UN</v>
          </cell>
          <cell r="D531">
            <v>547.36206896551732</v>
          </cell>
          <cell r="E531">
            <v>103.99879310344829</v>
          </cell>
          <cell r="F531">
            <v>651.36086206896562</v>
          </cell>
          <cell r="G531">
            <v>4.9999999999999996E-2</v>
          </cell>
        </row>
        <row r="532">
          <cell r="B532" t="str">
            <v>Curva PVC 3/4''</v>
          </cell>
          <cell r="C532" t="str">
            <v>UN</v>
          </cell>
          <cell r="D532">
            <v>873.58620689655186</v>
          </cell>
          <cell r="E532">
            <v>165.98137931034486</v>
          </cell>
          <cell r="F532">
            <v>1039.5675862068967</v>
          </cell>
          <cell r="G532">
            <v>6.3333333333333339E-2</v>
          </cell>
        </row>
        <row r="533">
          <cell r="B533" t="str">
            <v>Curva PVC 1''</v>
          </cell>
          <cell r="C533" t="str">
            <v>UN</v>
          </cell>
          <cell r="D533">
            <v>1654.8793103448277</v>
          </cell>
          <cell r="E533">
            <v>314.42706896551726</v>
          </cell>
          <cell r="F533">
            <v>1969.3063793103449</v>
          </cell>
          <cell r="G533">
            <v>8.3333333333333329E-2</v>
          </cell>
        </row>
        <row r="534">
          <cell r="B534" t="str">
            <v>Entrada a Caja PVC 1/2''</v>
          </cell>
          <cell r="C534" t="str">
            <v>UN</v>
          </cell>
          <cell r="D534">
            <v>275.96551724137936</v>
          </cell>
          <cell r="E534">
            <v>52.433448275862077</v>
          </cell>
          <cell r="F534">
            <v>328.39896551724144</v>
          </cell>
          <cell r="G534">
            <v>1.6666666666666666E-2</v>
          </cell>
        </row>
        <row r="535">
          <cell r="B535" t="str">
            <v>Entrada a Caja PVC 3/4''</v>
          </cell>
          <cell r="C535" t="str">
            <v>UN</v>
          </cell>
          <cell r="D535">
            <v>367.34482758620692</v>
          </cell>
          <cell r="E535">
            <v>69.795517241379315</v>
          </cell>
          <cell r="F535">
            <v>437.1403448275862</v>
          </cell>
          <cell r="G535">
            <v>2.1111111111111112E-2</v>
          </cell>
        </row>
        <row r="536">
          <cell r="B536" t="str">
            <v>Entrada a Caja PVC 1''</v>
          </cell>
          <cell r="C536" t="str">
            <v>UN</v>
          </cell>
          <cell r="D536">
            <v>677.12068965517255</v>
          </cell>
          <cell r="E536">
            <v>128.65293103448278</v>
          </cell>
          <cell r="F536">
            <v>805.77362068965533</v>
          </cell>
          <cell r="G536">
            <v>2.7777777777777776E-2</v>
          </cell>
        </row>
        <row r="537">
          <cell r="B537" t="str">
            <v>Unión PVC 1/2''</v>
          </cell>
          <cell r="C537" t="str">
            <v>UN</v>
          </cell>
          <cell r="D537">
            <v>193.72413793103451</v>
          </cell>
          <cell r="E537">
            <v>36.807586206896559</v>
          </cell>
          <cell r="F537">
            <v>230.53172413793106</v>
          </cell>
          <cell r="G537">
            <v>1.6666666666666666E-2</v>
          </cell>
        </row>
        <row r="538">
          <cell r="B538" t="str">
            <v>Unión PVC 3/4''</v>
          </cell>
          <cell r="C538" t="str">
            <v>UN</v>
          </cell>
          <cell r="D538">
            <v>402.06896551724139</v>
          </cell>
          <cell r="E538">
            <v>76.393103448275866</v>
          </cell>
          <cell r="F538">
            <v>478.46206896551723</v>
          </cell>
          <cell r="G538">
            <v>2.1111111111111112E-2</v>
          </cell>
        </row>
        <row r="539">
          <cell r="B539" t="str">
            <v>Unión PVC 1''</v>
          </cell>
          <cell r="C539" t="str">
            <v>UN</v>
          </cell>
          <cell r="D539">
            <v>654.27586206896558</v>
          </cell>
          <cell r="E539">
            <v>124.31241379310346</v>
          </cell>
          <cell r="F539">
            <v>778.58827586206905</v>
          </cell>
          <cell r="G539">
            <v>2.7777777777777776E-2</v>
          </cell>
        </row>
        <row r="540">
          <cell r="B540" t="str">
            <v>Tubería PVC 1"</v>
          </cell>
          <cell r="C540">
            <v>0</v>
          </cell>
          <cell r="D540">
            <v>5300</v>
          </cell>
          <cell r="E540">
            <v>1007</v>
          </cell>
          <cell r="F540">
            <v>6307</v>
          </cell>
          <cell r="G540">
            <v>0</v>
          </cell>
        </row>
        <row r="541">
          <cell r="B541" t="str">
            <v>TUBO PVC 1" PLASTIMEC</v>
          </cell>
          <cell r="C541">
            <v>0</v>
          </cell>
          <cell r="D541">
            <v>7697.72</v>
          </cell>
          <cell r="E541">
            <v>1462.5668000000001</v>
          </cell>
          <cell r="F541">
            <v>9160.2867999999999</v>
          </cell>
          <cell r="G541">
            <v>0</v>
          </cell>
        </row>
        <row r="542">
          <cell r="B542" t="str">
            <v>TUBO PVC 1/2 PLASTIMEC</v>
          </cell>
          <cell r="C542">
            <v>0</v>
          </cell>
          <cell r="D542">
            <v>4244.24</v>
          </cell>
          <cell r="E542">
            <v>806.40559999999994</v>
          </cell>
          <cell r="F542">
            <v>5050.6455999999998</v>
          </cell>
          <cell r="G542">
            <v>0</v>
          </cell>
        </row>
        <row r="543">
          <cell r="B543" t="str">
            <v>TUBO PVC 11/2 PLASTIMEC</v>
          </cell>
          <cell r="C543">
            <v>0</v>
          </cell>
          <cell r="D543">
            <v>15173.900000000001</v>
          </cell>
          <cell r="E543">
            <v>2883.0410000000002</v>
          </cell>
          <cell r="F543">
            <v>18056.941000000003</v>
          </cell>
          <cell r="G543">
            <v>0</v>
          </cell>
        </row>
        <row r="544">
          <cell r="B544" t="str">
            <v>TUBO PVC 11/4 PLASTIMEC</v>
          </cell>
          <cell r="C544">
            <v>0</v>
          </cell>
          <cell r="D544">
            <v>11903.800000000001</v>
          </cell>
          <cell r="E544">
            <v>2261.7220000000002</v>
          </cell>
          <cell r="F544">
            <v>14165.522000000001</v>
          </cell>
          <cell r="G544">
            <v>0</v>
          </cell>
        </row>
        <row r="545">
          <cell r="B545" t="str">
            <v>TUBO PVC 2" PLASTIMEC</v>
          </cell>
          <cell r="C545">
            <v>0</v>
          </cell>
          <cell r="D545">
            <v>23344.38</v>
          </cell>
          <cell r="E545">
            <v>4435.4322000000002</v>
          </cell>
          <cell r="F545">
            <v>27779.8122</v>
          </cell>
          <cell r="G545">
            <v>0</v>
          </cell>
        </row>
        <row r="546">
          <cell r="B546" t="str">
            <v>TUBO PVC 3/4 PLASTIMEC</v>
          </cell>
          <cell r="C546">
            <v>0</v>
          </cell>
          <cell r="D546">
            <v>5554.4000000000005</v>
          </cell>
          <cell r="E546">
            <v>1055.336</v>
          </cell>
          <cell r="F546">
            <v>6609.7360000000008</v>
          </cell>
          <cell r="G546">
            <v>0</v>
          </cell>
        </row>
        <row r="547">
          <cell r="B547" t="str">
            <v>PUESTA A TIERRA</v>
          </cell>
          <cell r="C547">
            <v>0</v>
          </cell>
          <cell r="D547">
            <v>0</v>
          </cell>
          <cell r="E547">
            <v>0</v>
          </cell>
          <cell r="F547">
            <v>0</v>
          </cell>
          <cell r="G547">
            <v>0</v>
          </cell>
        </row>
        <row r="548">
          <cell r="B548" t="str">
            <v>VARILLA COBRE - COBRE 1/2 x 2,40 MT</v>
          </cell>
          <cell r="C548" t="str">
            <v>UN</v>
          </cell>
          <cell r="D548">
            <v>145651.36111111112</v>
          </cell>
          <cell r="E548">
            <v>27673.758611111112</v>
          </cell>
          <cell r="F548">
            <v>173325.11972222224</v>
          </cell>
          <cell r="G548">
            <v>0</v>
          </cell>
        </row>
        <row r="549">
          <cell r="B549" t="str">
            <v>VARILLA COOPER WELL 5/8 x 1 MT</v>
          </cell>
          <cell r="C549" t="str">
            <v>UN</v>
          </cell>
          <cell r="D549">
            <v>13809.444444444445</v>
          </cell>
          <cell r="E549">
            <v>2623.7944444444447</v>
          </cell>
          <cell r="F549">
            <v>16433.238888888889</v>
          </cell>
          <cell r="G549">
            <v>0</v>
          </cell>
        </row>
        <row r="550">
          <cell r="B550" t="str">
            <v>VARILLA COOPER WELL 5/8 x 1.5 MT</v>
          </cell>
          <cell r="C550" t="str">
            <v>UN</v>
          </cell>
          <cell r="D550">
            <v>20714.166666666668</v>
          </cell>
          <cell r="E550">
            <v>3935.6916666666671</v>
          </cell>
          <cell r="F550">
            <v>24649.858333333334</v>
          </cell>
          <cell r="G550">
            <v>0</v>
          </cell>
        </row>
        <row r="551">
          <cell r="B551" t="str">
            <v>VARILLA COOPER WELL 5/8 x 1.8 MT</v>
          </cell>
          <cell r="C551" t="str">
            <v>UN</v>
          </cell>
          <cell r="D551">
            <v>24857</v>
          </cell>
          <cell r="E551">
            <v>4722.83</v>
          </cell>
          <cell r="F551">
            <v>29579.83</v>
          </cell>
          <cell r="G551">
            <v>0</v>
          </cell>
        </row>
        <row r="552">
          <cell r="B552" t="str">
            <v>VARILLA COOPER WELL 5/8 x 2.4 MT</v>
          </cell>
          <cell r="C552">
            <v>0</v>
          </cell>
          <cell r="D552">
            <v>32920.361111111117</v>
          </cell>
          <cell r="E552">
            <v>6254.8686111111119</v>
          </cell>
          <cell r="F552">
            <v>39175.229722222226</v>
          </cell>
          <cell r="G552">
            <v>0</v>
          </cell>
        </row>
        <row r="553">
          <cell r="B553" t="str">
            <v>GRAPA P/VARILLA COOPER WELL T/EPM</v>
          </cell>
          <cell r="C553">
            <v>0</v>
          </cell>
          <cell r="D553">
            <v>5336.8055555555566</v>
          </cell>
          <cell r="E553">
            <v>1013.9930555555558</v>
          </cell>
          <cell r="F553">
            <v>6350.7986111111122</v>
          </cell>
          <cell r="G553">
            <v>0</v>
          </cell>
        </row>
        <row r="554">
          <cell r="B554" t="str">
            <v>SOLDADURA EXOTERMICA  90G</v>
          </cell>
          <cell r="C554">
            <v>0</v>
          </cell>
          <cell r="D554">
            <v>12422.611111111113</v>
          </cell>
          <cell r="E554">
            <v>2360.2961111111117</v>
          </cell>
          <cell r="F554">
            <v>14782.907222222224</v>
          </cell>
          <cell r="G554">
            <v>0</v>
          </cell>
        </row>
        <row r="555">
          <cell r="B555" t="str">
            <v>SOLDADURA EXOTERMICA 115G</v>
          </cell>
          <cell r="C555">
            <v>0</v>
          </cell>
          <cell r="D555">
            <v>15789.76</v>
          </cell>
          <cell r="E555">
            <v>3000.0544</v>
          </cell>
          <cell r="F555">
            <v>18789.814399999999</v>
          </cell>
          <cell r="G555">
            <v>0</v>
          </cell>
        </row>
        <row r="556">
          <cell r="B556" t="str">
            <v>SOLDADURA EXOTERMICA 150G</v>
          </cell>
          <cell r="C556">
            <v>0</v>
          </cell>
          <cell r="D556">
            <v>18586.805555555558</v>
          </cell>
          <cell r="E556">
            <v>3531.4930555555561</v>
          </cell>
          <cell r="F556">
            <v>22118.298611111113</v>
          </cell>
          <cell r="G556">
            <v>0</v>
          </cell>
        </row>
        <row r="557">
          <cell r="B557" t="str">
            <v xml:space="preserve">Soporte Dehn snap roof conductor holder StSt para teja de barro ref: 204129 </v>
          </cell>
          <cell r="C557">
            <v>0</v>
          </cell>
          <cell r="D557">
            <v>26500</v>
          </cell>
          <cell r="E557">
            <v>5035</v>
          </cell>
          <cell r="F557">
            <v>31535</v>
          </cell>
          <cell r="G557">
            <v>0</v>
          </cell>
        </row>
        <row r="558">
          <cell r="B558" t="str">
            <v>TABLEROS</v>
          </cell>
          <cell r="C558">
            <v>0</v>
          </cell>
          <cell r="D558">
            <v>0</v>
          </cell>
          <cell r="E558">
            <v>0</v>
          </cell>
          <cell r="F558">
            <v>0</v>
          </cell>
          <cell r="G558">
            <v>0</v>
          </cell>
        </row>
        <row r="559">
          <cell r="B559" t="str">
            <v>TABLERO TRIFASICO NTQ-412-T  611096</v>
          </cell>
          <cell r="C559" t="str">
            <v>UN</v>
          </cell>
          <cell r="D559">
            <v>216240</v>
          </cell>
          <cell r="E559">
            <v>41085.599999999999</v>
          </cell>
          <cell r="F559">
            <v>257325.6</v>
          </cell>
          <cell r="G559">
            <v>10.6</v>
          </cell>
        </row>
        <row r="560">
          <cell r="B560" t="str">
            <v>TABLERO TRIFASICO NTQ-418-T  611099</v>
          </cell>
          <cell r="C560" t="str">
            <v>UN</v>
          </cell>
          <cell r="D560">
            <v>267650.00000000006</v>
          </cell>
          <cell r="E560">
            <v>50853.500000000015</v>
          </cell>
          <cell r="F560">
            <v>318503.50000000006</v>
          </cell>
          <cell r="G560">
            <v>11.8</v>
          </cell>
        </row>
        <row r="561">
          <cell r="B561" t="str">
            <v>TABLERO TRIFASICO NTQ-424-T  611102</v>
          </cell>
          <cell r="C561" t="str">
            <v>UN</v>
          </cell>
          <cell r="D561">
            <v>296800</v>
          </cell>
          <cell r="E561">
            <v>56392</v>
          </cell>
          <cell r="F561">
            <v>353192</v>
          </cell>
          <cell r="G561">
            <v>13</v>
          </cell>
        </row>
        <row r="562">
          <cell r="B562" t="str">
            <v>TABLERO TRIFASICO NTQ-430-T  611105</v>
          </cell>
          <cell r="C562" t="str">
            <v>UN</v>
          </cell>
          <cell r="D562">
            <v>398920</v>
          </cell>
          <cell r="E562">
            <v>75794.8</v>
          </cell>
          <cell r="F562">
            <v>474714.8</v>
          </cell>
          <cell r="G562">
            <v>14</v>
          </cell>
        </row>
        <row r="563">
          <cell r="B563" t="str">
            <v>TABLERO TRIFASICO NTQ-436-T  611108</v>
          </cell>
          <cell r="C563" t="str">
            <v>UN</v>
          </cell>
          <cell r="D563">
            <v>364640</v>
          </cell>
          <cell r="E563">
            <v>69281.600000000006</v>
          </cell>
          <cell r="F563">
            <v>433921.6</v>
          </cell>
          <cell r="G563">
            <v>15.4</v>
          </cell>
        </row>
        <row r="564">
          <cell r="B564" t="str">
            <v>TABLERO TRIFASICO NTQ-442-T  611111</v>
          </cell>
          <cell r="C564" t="str">
            <v>UN</v>
          </cell>
          <cell r="D564">
            <v>337053.5</v>
          </cell>
          <cell r="E564">
            <v>64040.165000000001</v>
          </cell>
          <cell r="F564">
            <v>401093.66499999998</v>
          </cell>
          <cell r="G564">
            <v>16.600000000000001</v>
          </cell>
        </row>
        <row r="565">
          <cell r="B565" t="str">
            <v>TABLERO 01 4CTOS TERCOL 104 RETIE</v>
          </cell>
          <cell r="C565" t="str">
            <v>UN</v>
          </cell>
          <cell r="D565">
            <v>89702.5</v>
          </cell>
          <cell r="E565">
            <v>17043.474999999999</v>
          </cell>
          <cell r="F565">
            <v>106745.97500000001</v>
          </cell>
          <cell r="G565">
            <v>1.6</v>
          </cell>
        </row>
        <row r="566">
          <cell r="B566" t="str">
            <v>TABLERO 01 6CTOS TERCOL 106 RETIE</v>
          </cell>
          <cell r="C566" t="str">
            <v>UN</v>
          </cell>
          <cell r="D566">
            <v>90762.5</v>
          </cell>
          <cell r="E566">
            <v>17244.875</v>
          </cell>
          <cell r="F566">
            <v>108007.375</v>
          </cell>
          <cell r="G566">
            <v>1.8</v>
          </cell>
        </row>
        <row r="567">
          <cell r="B567" t="str">
            <v>TABLERO 01  8 CTOS.TERCOL TEP 108  RETIE</v>
          </cell>
          <cell r="C567" t="str">
            <v>UN</v>
          </cell>
          <cell r="D567">
            <v>91822.5</v>
          </cell>
          <cell r="E567">
            <v>17446.275000000001</v>
          </cell>
          <cell r="F567">
            <v>109268.77499999999</v>
          </cell>
          <cell r="G567">
            <v>1.63</v>
          </cell>
        </row>
        <row r="568">
          <cell r="B568" t="str">
            <v>TABLERO MONOFASICO TQ-CP-12  611051</v>
          </cell>
          <cell r="C568" t="str">
            <v>UN</v>
          </cell>
          <cell r="D568">
            <v>107590</v>
          </cell>
          <cell r="E568">
            <v>20442.099999999999</v>
          </cell>
          <cell r="F568">
            <v>128032.1</v>
          </cell>
          <cell r="G568">
            <v>7</v>
          </cell>
        </row>
        <row r="569">
          <cell r="B569" t="str">
            <v>TABLERO MONOFASICO TQ-CP-18  611054</v>
          </cell>
          <cell r="C569" t="str">
            <v>UN</v>
          </cell>
          <cell r="D569">
            <v>123490.00000000001</v>
          </cell>
          <cell r="E569">
            <v>23463.100000000002</v>
          </cell>
          <cell r="F569">
            <v>146953.1</v>
          </cell>
          <cell r="G569">
            <v>8</v>
          </cell>
        </row>
        <row r="570">
          <cell r="B570" t="str">
            <v>TABLERO MONOFASICO TQ-CP-24  611057</v>
          </cell>
          <cell r="C570" t="str">
            <v>UN</v>
          </cell>
          <cell r="D570">
            <v>152110</v>
          </cell>
          <cell r="E570">
            <v>28900.9</v>
          </cell>
          <cell r="F570">
            <v>181010.9</v>
          </cell>
          <cell r="G570">
            <v>8.5</v>
          </cell>
        </row>
        <row r="571">
          <cell r="B571" t="str">
            <v xml:space="preserve">TABLERO MONOFASICO TQ-CP-30  </v>
          </cell>
          <cell r="C571" t="str">
            <v>UN</v>
          </cell>
          <cell r="D571">
            <v>180730</v>
          </cell>
          <cell r="E571">
            <v>34338.699999999997</v>
          </cell>
          <cell r="F571">
            <v>215068.7</v>
          </cell>
          <cell r="G571">
            <v>10.5</v>
          </cell>
        </row>
        <row r="572">
          <cell r="B572" t="str">
            <v>TABLERO MONOFASICO TQ-CP-36</v>
          </cell>
          <cell r="C572" t="str">
            <v>UN</v>
          </cell>
          <cell r="D572">
            <v>209350</v>
          </cell>
          <cell r="E572">
            <v>39776.5</v>
          </cell>
          <cell r="F572">
            <v>249126.5</v>
          </cell>
          <cell r="G572">
            <v>12</v>
          </cell>
        </row>
        <row r="573">
          <cell r="B573" t="str">
            <v>TABLERO BIFASICO 24</v>
          </cell>
          <cell r="C573" t="str">
            <v>UN</v>
          </cell>
          <cell r="D573">
            <v>182595.6</v>
          </cell>
          <cell r="E573">
            <v>34693.164000000004</v>
          </cell>
          <cell r="F573">
            <v>217288.76400000002</v>
          </cell>
          <cell r="G573">
            <v>10</v>
          </cell>
        </row>
        <row r="574">
          <cell r="B574" t="str">
            <v>TABLERO 03 12CTOS.TERCOL TRP 312  RETIE</v>
          </cell>
          <cell r="C574" t="str">
            <v>UN</v>
          </cell>
          <cell r="D574">
            <v>137200</v>
          </cell>
          <cell r="E574">
            <v>26068</v>
          </cell>
          <cell r="F574">
            <v>163268</v>
          </cell>
          <cell r="G574">
            <v>7.5</v>
          </cell>
        </row>
        <row r="575">
          <cell r="B575" t="str">
            <v xml:space="preserve">TABLERO DE 18 CTOS TRIFASICA C/P 225A RETIE TERCOL TRP318 </v>
          </cell>
          <cell r="C575" t="str">
            <v>UN</v>
          </cell>
          <cell r="D575">
            <v>126882</v>
          </cell>
          <cell r="E575">
            <v>24107.58</v>
          </cell>
          <cell r="F575">
            <v>150989.58000000002</v>
          </cell>
          <cell r="G575">
            <v>13</v>
          </cell>
        </row>
        <row r="576">
          <cell r="B576" t="str">
            <v xml:space="preserve">TABLERO DE 18 CTOS TRIF C/P ESP/TOTALIZADOR RETIE TERCOL TRP318T </v>
          </cell>
          <cell r="C576" t="str">
            <v>UN</v>
          </cell>
          <cell r="D576">
            <v>217222.62000000002</v>
          </cell>
          <cell r="E576">
            <v>41272.297800000008</v>
          </cell>
          <cell r="F576">
            <v>258494.91780000002</v>
          </cell>
          <cell r="G576">
            <v>13</v>
          </cell>
        </row>
        <row r="577">
          <cell r="B577" t="str">
            <v>TABLERO 03 18CTOS.TERCOL TRP 318  RETIE</v>
          </cell>
          <cell r="C577" t="str">
            <v>UN</v>
          </cell>
          <cell r="D577">
            <v>194230</v>
          </cell>
          <cell r="E577">
            <v>36903.699999999997</v>
          </cell>
          <cell r="F577">
            <v>231133.7</v>
          </cell>
          <cell r="G577">
            <v>8.5</v>
          </cell>
        </row>
        <row r="578">
          <cell r="B578" t="str">
            <v xml:space="preserve">TABLERO DE 24 CTOS TRIFASICA C/P ESP/TOTALIZ 225A TERCOL TRP324T </v>
          </cell>
          <cell r="C578" t="str">
            <v>UN</v>
          </cell>
          <cell r="D578">
            <v>244009.88</v>
          </cell>
          <cell r="E578">
            <v>46361.877200000003</v>
          </cell>
          <cell r="F578">
            <v>290371.75719999999</v>
          </cell>
          <cell r="G578">
            <v>13</v>
          </cell>
        </row>
        <row r="579">
          <cell r="B579" t="str">
            <v>TABLERO 03 24CTOS.TERCOL TRP 324  RETIE</v>
          </cell>
          <cell r="C579" t="str">
            <v>UN</v>
          </cell>
          <cell r="D579">
            <v>158223.27586206899</v>
          </cell>
          <cell r="E579">
            <v>30062.422413793109</v>
          </cell>
          <cell r="F579">
            <v>188285.69827586209</v>
          </cell>
          <cell r="G579">
            <v>9</v>
          </cell>
        </row>
        <row r="580">
          <cell r="B580" t="str">
            <v xml:space="preserve">TABLERO DE 30 CTOS TRIF ESP PARA TOTALIZADOR TRP330T </v>
          </cell>
          <cell r="C580" t="str">
            <v>UN</v>
          </cell>
          <cell r="D580">
            <v>286703.5</v>
          </cell>
          <cell r="E580">
            <v>54473.665000000001</v>
          </cell>
          <cell r="F580">
            <v>341177.16499999998</v>
          </cell>
          <cell r="G580">
            <v>13</v>
          </cell>
        </row>
        <row r="581">
          <cell r="B581" t="str">
            <v>TABLERO 03 30CTOS.TERCOL TRP 330  RETIE</v>
          </cell>
          <cell r="C581" t="str">
            <v>UN</v>
          </cell>
          <cell r="D581">
            <v>277370</v>
          </cell>
          <cell r="E581">
            <v>52700.3</v>
          </cell>
          <cell r="F581">
            <v>330070.3</v>
          </cell>
          <cell r="G581">
            <v>11.5</v>
          </cell>
        </row>
        <row r="582">
          <cell r="B582" t="str">
            <v>TABLERO 03 36CTOS.TERCOL TRP 336  RETIE</v>
          </cell>
          <cell r="C582" t="str">
            <v>UN</v>
          </cell>
          <cell r="D582">
            <v>241150.00000000003</v>
          </cell>
          <cell r="E582">
            <v>45818.500000000007</v>
          </cell>
          <cell r="F582">
            <v>286968.50000000006</v>
          </cell>
          <cell r="G582">
            <v>12.5</v>
          </cell>
        </row>
        <row r="583">
          <cell r="B583" t="str">
            <v>TABLERO 42 CTOS TRIF C/P ESP/TOTALIZADOR RETIE TERCOL TRP342T</v>
          </cell>
          <cell r="C583" t="str">
            <v>UN</v>
          </cell>
          <cell r="D583">
            <v>334124.72000000003</v>
          </cell>
          <cell r="E583">
            <v>63483.696800000005</v>
          </cell>
          <cell r="F583">
            <v>397608.41680000001</v>
          </cell>
          <cell r="G583">
            <v>13</v>
          </cell>
        </row>
        <row r="584">
          <cell r="B584" t="str">
            <v>TABLERO 03 42CTOS.TERCOL TRP 342  RETIE</v>
          </cell>
          <cell r="C584" t="str">
            <v>UN</v>
          </cell>
          <cell r="D584">
            <v>276130.00000000006</v>
          </cell>
          <cell r="E584">
            <v>52464.700000000012</v>
          </cell>
          <cell r="F584">
            <v>328594.70000000007</v>
          </cell>
          <cell r="G584">
            <v>13</v>
          </cell>
        </row>
        <row r="585">
          <cell r="B585" t="str">
            <v>TRANSFERENCIA 400A CON INTERRUPTORES CENTRO DATOS</v>
          </cell>
          <cell r="C585" t="str">
            <v>UN</v>
          </cell>
          <cell r="D585">
            <v>12153000</v>
          </cell>
          <cell r="E585">
            <v>2309070</v>
          </cell>
          <cell r="F585">
            <v>14462070</v>
          </cell>
          <cell r="G585">
            <v>500</v>
          </cell>
        </row>
        <row r="586">
          <cell r="B586" t="str">
            <v>Barraje trifásico de cobre 100A, con barras para neutro y tierra</v>
          </cell>
          <cell r="C586" t="str">
            <v>un</v>
          </cell>
          <cell r="D586">
            <v>190800</v>
          </cell>
          <cell r="E586">
            <v>36252</v>
          </cell>
          <cell r="F586">
            <v>227052</v>
          </cell>
          <cell r="G586">
            <v>1</v>
          </cell>
        </row>
        <row r="587">
          <cell r="B587" t="str">
            <v>Suministro e instalación de tubería PVC para red de agua fría  chiller</v>
          </cell>
          <cell r="C587" t="str">
            <v>GL</v>
          </cell>
          <cell r="D587">
            <v>427180</v>
          </cell>
          <cell r="E587">
            <v>81164.2</v>
          </cell>
          <cell r="F587">
            <v>508344.2</v>
          </cell>
          <cell r="G587">
            <v>2</v>
          </cell>
        </row>
        <row r="588">
          <cell r="B588" t="str">
            <v>Suministro e instalación de accesorios para instalación de chiller (válvulas, manómetros, filtro, etc)</v>
          </cell>
          <cell r="C588" t="str">
            <v>GL</v>
          </cell>
          <cell r="D588">
            <v>966592.8</v>
          </cell>
          <cell r="E588">
            <v>183652.63200000001</v>
          </cell>
          <cell r="F588">
            <v>1150245.432</v>
          </cell>
          <cell r="G588">
            <v>2</v>
          </cell>
        </row>
        <row r="589">
          <cell r="B589" t="str">
            <v>Acondicionador de tensión trifásico 208/120V, 25kVA, con transformador de aislamento apantallado tipo seco, IP20, DPS de entrada y salida.</v>
          </cell>
          <cell r="C589" t="str">
            <v>un</v>
          </cell>
          <cell r="D589">
            <v>5209900</v>
          </cell>
          <cell r="E589">
            <v>989881</v>
          </cell>
          <cell r="F589">
            <v>6199781</v>
          </cell>
          <cell r="G589">
            <v>50</v>
          </cell>
        </row>
        <row r="590">
          <cell r="B590" t="str">
            <v>Traslado de Acondicionador de tensión de 10kVA, 2Ø, 230/115V</v>
          </cell>
          <cell r="C590">
            <v>0</v>
          </cell>
          <cell r="D590">
            <v>0</v>
          </cell>
          <cell r="E590">
            <v>0</v>
          </cell>
          <cell r="F590">
            <v>0</v>
          </cell>
          <cell r="G590">
            <v>0</v>
          </cell>
        </row>
        <row r="591">
          <cell r="B591" t="str">
            <v>Acondicionador de voltaje con transformador de aislamiento bifasico 4 kVA 240 V.</v>
          </cell>
          <cell r="C591">
            <v>0</v>
          </cell>
          <cell r="D591">
            <v>2067000</v>
          </cell>
          <cell r="E591">
            <v>392730</v>
          </cell>
          <cell r="F591">
            <v>2459730</v>
          </cell>
          <cell r="G591">
            <v>0</v>
          </cell>
        </row>
        <row r="592">
          <cell r="B592" t="str">
            <v>Conjunto de andamio, canes y linea de vida</v>
          </cell>
          <cell r="C592" t="str">
            <v>Un</v>
          </cell>
          <cell r="D592">
            <v>127200</v>
          </cell>
          <cell r="E592">
            <v>24168</v>
          </cell>
          <cell r="F592">
            <v>151368</v>
          </cell>
          <cell r="G592">
            <v>20</v>
          </cell>
        </row>
        <row r="593">
          <cell r="B593" t="str">
            <v xml:space="preserve">PARARRAYO POLIMERICO 12KV 10KA </v>
          </cell>
          <cell r="C593">
            <v>0</v>
          </cell>
          <cell r="D593">
            <v>110416.66666666667</v>
          </cell>
          <cell r="E593">
            <v>20979.166666666668</v>
          </cell>
          <cell r="F593">
            <v>131395.83333333334</v>
          </cell>
          <cell r="G593">
            <v>0</v>
          </cell>
        </row>
        <row r="594">
          <cell r="B594" t="str">
            <v>ASTA PARA PARARRAYOS</v>
          </cell>
          <cell r="C594">
            <v>0</v>
          </cell>
          <cell r="D594">
            <v>36805.555555555562</v>
          </cell>
          <cell r="E594">
            <v>6993.0555555555566</v>
          </cell>
          <cell r="F594">
            <v>43798.611111111117</v>
          </cell>
          <cell r="G594">
            <v>0</v>
          </cell>
        </row>
        <row r="595">
          <cell r="B595" t="str">
            <v>Borneras de conexión</v>
          </cell>
          <cell r="C595" t="str">
            <v>Un</v>
          </cell>
          <cell r="D595">
            <v>4680</v>
          </cell>
          <cell r="E595">
            <v>889.2</v>
          </cell>
          <cell r="F595">
            <v>5569.2</v>
          </cell>
          <cell r="G595">
            <v>0</v>
          </cell>
        </row>
        <row r="596">
          <cell r="B596" t="str">
            <v>DPS tipo 2 ref 52120-M3, tres fases, 4 hilos + tierra, 120/208V</v>
          </cell>
          <cell r="C596" t="str">
            <v>Un</v>
          </cell>
          <cell r="D596">
            <v>3032580</v>
          </cell>
          <cell r="E596">
            <v>576190.19999999995</v>
          </cell>
          <cell r="F596">
            <v>3608770.2</v>
          </cell>
          <cell r="G596">
            <v>1.5</v>
          </cell>
        </row>
        <row r="597">
          <cell r="B597">
            <v>0</v>
          </cell>
          <cell r="C597">
            <v>0</v>
          </cell>
          <cell r="D597">
            <v>0</v>
          </cell>
          <cell r="E597">
            <v>0</v>
          </cell>
          <cell r="F597">
            <v>0</v>
          </cell>
          <cell r="G597">
            <v>0</v>
          </cell>
        </row>
        <row r="598">
          <cell r="B598">
            <v>0</v>
          </cell>
          <cell r="C598">
            <v>0</v>
          </cell>
          <cell r="D598">
            <v>0</v>
          </cell>
          <cell r="E598">
            <v>0</v>
          </cell>
          <cell r="F598">
            <v>0</v>
          </cell>
          <cell r="G598">
            <v>0</v>
          </cell>
        </row>
        <row r="599">
          <cell r="B599">
            <v>0</v>
          </cell>
          <cell r="C599">
            <v>0</v>
          </cell>
          <cell r="D599">
            <v>0</v>
          </cell>
          <cell r="E599">
            <v>0</v>
          </cell>
          <cell r="F599">
            <v>0</v>
          </cell>
          <cell r="G599">
            <v>0</v>
          </cell>
        </row>
        <row r="600">
          <cell r="B600" t="str">
            <v>Cabina Insonorizada para planta modelo DE110E2 en cold rolled</v>
          </cell>
          <cell r="C600" t="str">
            <v>Un</v>
          </cell>
          <cell r="D600">
            <v>10357600</v>
          </cell>
          <cell r="E600">
            <v>1967944</v>
          </cell>
          <cell r="F600">
            <v>12325544</v>
          </cell>
          <cell r="G600">
            <v>112</v>
          </cell>
        </row>
        <row r="601">
          <cell r="B601" t="str">
            <v>Aislante térmico 2'' espesor con cubierta protectora de aluminio de 0,7mm</v>
          </cell>
          <cell r="C601" t="str">
            <v>ml</v>
          </cell>
          <cell r="D601">
            <v>175500</v>
          </cell>
          <cell r="E601">
            <v>33345</v>
          </cell>
          <cell r="F601">
            <v>208845</v>
          </cell>
          <cell r="G601">
            <v>2</v>
          </cell>
        </row>
        <row r="602">
          <cell r="B602" t="str">
            <v>Tubería escape 6'' Cal 14</v>
          </cell>
          <cell r="C602" t="str">
            <v>ml</v>
          </cell>
          <cell r="D602">
            <v>95000</v>
          </cell>
          <cell r="E602">
            <v>18050</v>
          </cell>
          <cell r="F602">
            <v>113050</v>
          </cell>
          <cell r="G602">
            <v>9</v>
          </cell>
        </row>
        <row r="603">
          <cell r="B603" t="str">
            <v>Ducto lámina galvanizada calibre 20 área efetiva 1,5m2, 1,8m longitud</v>
          </cell>
          <cell r="C603" t="str">
            <v>Un</v>
          </cell>
          <cell r="D603">
            <v>895000</v>
          </cell>
          <cell r="E603">
            <v>170050</v>
          </cell>
          <cell r="F603">
            <v>1065050</v>
          </cell>
          <cell r="G603">
            <v>70</v>
          </cell>
        </row>
        <row r="604">
          <cell r="B604" t="str">
            <v>Cargador de baterías 5A, 12Vdc con amperímetro</v>
          </cell>
          <cell r="C604" t="str">
            <v>Un</v>
          </cell>
          <cell r="D604">
            <v>535600</v>
          </cell>
          <cell r="E604">
            <v>101764</v>
          </cell>
          <cell r="F604">
            <v>637364</v>
          </cell>
          <cell r="G604">
            <v>6</v>
          </cell>
        </row>
        <row r="605">
          <cell r="B605" t="str">
            <v>Planta eléctrica DE110E2 125kVA con silenciador, flexible, tanque, precalentador, bateria y totalizador. (Desarme, arme y pruebas)</v>
          </cell>
          <cell r="C605" t="str">
            <v>Un</v>
          </cell>
          <cell r="D605">
            <v>70347500</v>
          </cell>
          <cell r="E605">
            <v>13366025</v>
          </cell>
          <cell r="F605">
            <v>83713525</v>
          </cell>
          <cell r="G605">
            <v>500</v>
          </cell>
        </row>
        <row r="606">
          <cell r="B606" t="str">
            <v>Canaleta ranurada 40x40mm 2m</v>
          </cell>
          <cell r="C606" t="str">
            <v>Un</v>
          </cell>
          <cell r="D606">
            <v>22579</v>
          </cell>
          <cell r="E606">
            <v>4290.01</v>
          </cell>
          <cell r="F606">
            <v>26869.010000000002</v>
          </cell>
          <cell r="G606">
            <v>0</v>
          </cell>
        </row>
        <row r="607">
          <cell r="B607" t="str">
            <v>CAJA PRIMARIA 15 KVA 20 KA</v>
          </cell>
          <cell r="C607">
            <v>0</v>
          </cell>
          <cell r="D607">
            <v>233715.27777777781</v>
          </cell>
          <cell r="E607">
            <v>44405.902777777781</v>
          </cell>
          <cell r="F607">
            <v>278121.18055555562</v>
          </cell>
          <cell r="G607">
            <v>0</v>
          </cell>
        </row>
        <row r="616">
          <cell r="B616" t="str">
            <v>Camioneta</v>
          </cell>
          <cell r="C616" t="str">
            <v>día</v>
          </cell>
          <cell r="D616">
            <v>175000</v>
          </cell>
          <cell r="E616">
            <v>750</v>
          </cell>
          <cell r="F616">
            <v>233</v>
          </cell>
        </row>
        <row r="617">
          <cell r="B617" t="str">
            <v>Camión 3.5T</v>
          </cell>
          <cell r="C617" t="str">
            <v>día</v>
          </cell>
          <cell r="D617">
            <v>200000</v>
          </cell>
          <cell r="E617">
            <v>3000</v>
          </cell>
          <cell r="F617">
            <v>67</v>
          </cell>
        </row>
        <row r="618">
          <cell r="B618" t="str">
            <v>Grua</v>
          </cell>
          <cell r="C618" t="str">
            <v>día</v>
          </cell>
          <cell r="D618">
            <v>900000</v>
          </cell>
          <cell r="E618">
            <v>0</v>
          </cell>
          <cell r="F618">
            <v>0</v>
          </cell>
        </row>
        <row r="625">
          <cell r="B625" t="str">
            <v>Ingeniero</v>
          </cell>
          <cell r="C625">
            <v>4.7497879558948259</v>
          </cell>
          <cell r="D625">
            <v>3503999.3214588631</v>
          </cell>
          <cell r="E625">
            <v>0</v>
          </cell>
          <cell r="F625">
            <v>28012.527908773911</v>
          </cell>
          <cell r="G625">
            <v>35888.05838369616</v>
          </cell>
          <cell r="H625">
            <v>21959.855747526151</v>
          </cell>
          <cell r="I625">
            <v>27449.819684407688</v>
          </cell>
          <cell r="J625">
            <v>38429.747558170762</v>
          </cell>
          <cell r="K625">
            <v>38429.747558170762</v>
          </cell>
          <cell r="L625">
            <v>46115.697069804919</v>
          </cell>
          <cell r="M625">
            <v>43919.711495052303</v>
          </cell>
          <cell r="N625">
            <v>54899.639368815377</v>
          </cell>
          <cell r="O625">
            <v>224102.22327019129</v>
          </cell>
          <cell r="P625">
            <v>1</v>
          </cell>
          <cell r="Q625">
            <v>1</v>
          </cell>
        </row>
        <row r="626">
          <cell r="B626" t="str">
            <v>Encargado</v>
          </cell>
          <cell r="C626">
            <v>2.5499999999999998</v>
          </cell>
          <cell r="D626">
            <v>1881178.3499999999</v>
          </cell>
          <cell r="E626">
            <v>0</v>
          </cell>
          <cell r="F626">
            <v>15391.459227272728</v>
          </cell>
          <cell r="G626">
            <v>19517.784746782101</v>
          </cell>
          <cell r="H626">
            <v>12080.30030425</v>
          </cell>
          <cell r="I626">
            <v>15100.3753803125</v>
          </cell>
          <cell r="J626">
            <v>21140.525532437499</v>
          </cell>
          <cell r="K626">
            <v>21140.525532437499</v>
          </cell>
          <cell r="L626">
            <v>25368.630638925002</v>
          </cell>
          <cell r="M626">
            <v>24160.600608500001</v>
          </cell>
          <cell r="N626">
            <v>30200.750760625</v>
          </cell>
          <cell r="O626">
            <v>123133.67381818182</v>
          </cell>
          <cell r="P626">
            <v>1</v>
          </cell>
          <cell r="Q626">
            <v>1</v>
          </cell>
        </row>
        <row r="627">
          <cell r="B627" t="str">
            <v>Oficial</v>
          </cell>
          <cell r="C627">
            <v>2.0499999999999998</v>
          </cell>
          <cell r="D627">
            <v>1512319.8499999999</v>
          </cell>
          <cell r="E627">
            <v>0</v>
          </cell>
          <cell r="F627">
            <v>12373.526045454546</v>
          </cell>
          <cell r="G627">
            <v>15690.768129766004</v>
          </cell>
          <cell r="H627">
            <v>9711.6139700833337</v>
          </cell>
          <cell r="I627">
            <v>12139.517462604166</v>
          </cell>
          <cell r="J627">
            <v>16995.324447645835</v>
          </cell>
          <cell r="K627">
            <v>16995.324447645835</v>
          </cell>
          <cell r="L627">
            <v>20394.389337175002</v>
          </cell>
          <cell r="M627">
            <v>19423.227940166667</v>
          </cell>
          <cell r="N627">
            <v>24279.034925208332</v>
          </cell>
          <cell r="O627">
            <v>98990.208363636368</v>
          </cell>
          <cell r="P627">
            <v>1</v>
          </cell>
          <cell r="Q627">
            <v>1</v>
          </cell>
        </row>
        <row r="628">
          <cell r="B628" t="str">
            <v>Ayudante</v>
          </cell>
          <cell r="C628">
            <v>1.35</v>
          </cell>
          <cell r="D628">
            <v>995917.95000000007</v>
          </cell>
          <cell r="E628">
            <v>83140</v>
          </cell>
          <cell r="F628">
            <v>8568.3185808080816</v>
          </cell>
          <cell r="G628">
            <v>10752.843855842457</v>
          </cell>
          <cell r="H628">
            <v>6395.4531022500014</v>
          </cell>
          <cell r="I628">
            <v>7994.3163778125017</v>
          </cell>
          <cell r="J628">
            <v>11192.042928937502</v>
          </cell>
          <cell r="K628">
            <v>11192.042928937502</v>
          </cell>
          <cell r="L628">
            <v>13430.451514725004</v>
          </cell>
          <cell r="M628">
            <v>12790.906204500003</v>
          </cell>
          <cell r="N628">
            <v>15988.632755625003</v>
          </cell>
          <cell r="O628">
            <v>68548.548646464653</v>
          </cell>
          <cell r="P628">
            <v>1</v>
          </cell>
          <cell r="Q628">
            <v>1</v>
          </cell>
        </row>
        <row r="653">
          <cell r="F653" t="str">
            <v>Herramienta Internas</v>
          </cell>
          <cell r="G653">
            <v>22750</v>
          </cell>
        </row>
        <row r="654">
          <cell r="F654" t="str">
            <v>Herramienta Redes</v>
          </cell>
          <cell r="G654">
            <v>42000</v>
          </cell>
        </row>
        <row r="655">
          <cell r="F655" t="str">
            <v>Grua</v>
          </cell>
          <cell r="G655">
            <v>800000</v>
          </cell>
        </row>
      </sheetData>
      <sheetData sheetId="1">
        <row r="5">
          <cell r="C5" t="str">
            <v>un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Itemes Renovación"/>
      <sheetName val="SUB_APU3"/>
      <sheetName val="Cantidades_de_Obra3"/>
      <sheetName val="SUB_APU2"/>
      <sheetName val="Cantidades_de_Obra2"/>
      <sheetName val="SUB_APU4"/>
      <sheetName val="Cantidades_de_Obra4"/>
      <sheetName val="SUB_APU5"/>
      <sheetName val="Cantidades_de_Obra5"/>
      <sheetName val="Itemes_Renovación"/>
      <sheetName val="Jul-Ago"/>
      <sheetName val="May-Jun"/>
      <sheetName val="Sep-Oct"/>
    </sheetNames>
    <sheetDataSet>
      <sheetData sheetId="0"/>
      <sheetData sheetId="1"/>
      <sheetData sheetId="2" refreshError="1">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refreshError="1"/>
      <sheetData sheetId="16"/>
      <sheetData sheetId="17"/>
      <sheetData sheetId="18"/>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 val="FORMULAR. DE PREC. UNIT B11_P1"/>
      <sheetName val="FORMULAR. DE PREC. UNIT B12_P1"/>
      <sheetName val="MATERIALES Y RECURSOS"/>
      <sheetName val="A25.1.0"/>
      <sheetName val="A25.2.0"/>
      <sheetName val="A25.3.0"/>
      <sheetName val="A25.4.0"/>
      <sheetName val="A25.5.0"/>
      <sheetName val="A25.6.0"/>
      <sheetName val="A26.1.0"/>
      <sheetName val="A26.2.0"/>
      <sheetName val="A26.3.0"/>
      <sheetName val="A26.4.0"/>
      <sheetName val="A26.5.0"/>
      <sheetName val="A26.6.0"/>
      <sheetName val="A26.7.0"/>
      <sheetName val="A26.8.0"/>
      <sheetName val="A26.9.0"/>
      <sheetName val="A26.10.0"/>
      <sheetName val="A26.11.0"/>
      <sheetName val="A26.12.0"/>
      <sheetName val="A26.13.0"/>
      <sheetName val="A26.14.0"/>
      <sheetName val="A26.15.0"/>
      <sheetName val="A26.16.0"/>
      <sheetName val="A27.1.0"/>
      <sheetName val="A27.2.0"/>
      <sheetName val="A27.3.0"/>
      <sheetName val="A27.4.0"/>
      <sheetName val="A27.5.0"/>
      <sheetName val="A27.6.0"/>
      <sheetName val="A27.7.0"/>
      <sheetName val="A27.8.0"/>
      <sheetName val="A27.9.0"/>
      <sheetName val="A27.10.0"/>
      <sheetName val="A27.11.0"/>
      <sheetName val="A27.12.0"/>
      <sheetName val="A27.13.0"/>
      <sheetName val="A28.1.0"/>
      <sheetName val="A28.2.0"/>
      <sheetName val="A29.1.0"/>
      <sheetName val="A29.2.0"/>
      <sheetName val="A29.3.0"/>
      <sheetName val="A29.4.0"/>
      <sheetName val="Consolidado B11"/>
      <sheetName val="5,19"/>
      <sheetName val="1,04 (2)"/>
      <sheetName val="apu pase muro"/>
      <sheetName val="4,11"/>
      <sheetName val="1,10 (2)"/>
      <sheetName val="5,9 (2)"/>
      <sheetName val="5,2 (2)"/>
    </sheetNames>
    <sheetDataSet>
      <sheetData sheetId="0"/>
      <sheetData sheetId="1"/>
      <sheetData sheetId="2"/>
      <sheetData sheetId="3">
        <row r="5">
          <cell r="B5" t="str">
            <v>Accesorios prefabricados para canaleta 12x5cm (Curvas, TEE, Derivaciones, etc)</v>
          </cell>
        </row>
        <row r="6">
          <cell r="B6" t="str">
            <v>Accesorios tubería EMT</v>
          </cell>
        </row>
        <row r="7">
          <cell r="B7" t="str">
            <v>Accesorios tuberia PVC de 3/4 " y 1"</v>
          </cell>
        </row>
        <row r="8">
          <cell r="B8" t="str">
            <v>Accesorios y elementos de fijación (Chazo+tornillo+arandela)</v>
          </cell>
        </row>
        <row r="9">
          <cell r="B9" t="str">
            <v>Accesorios y elementos de fijación tomacorrientes</v>
          </cell>
        </row>
        <row r="10">
          <cell r="B10" t="str">
            <v>ACCESORIOS VARIOS SALIDAS ELECTRICAS (CINTA AISLASTE, AMARRAS PLASTICAS, ANILLOS).</v>
          </cell>
        </row>
        <row r="11">
          <cell r="B11" t="str">
            <v>Accesorios, correillas, conectores y marcaciones para alambres y cables en alimentadores</v>
          </cell>
        </row>
        <row r="12">
          <cell r="B12" t="str">
            <v>Arena, cemento, estuco, pintura para efectuar resanes.</v>
          </cell>
        </row>
        <row r="13">
          <cell r="B13" t="str">
            <v>Actualización de planos</v>
          </cell>
        </row>
        <row r="14">
          <cell r="B14" t="str">
            <v>Anillos de marcación y cintillas impresora térmica.</v>
          </cell>
        </row>
        <row r="15">
          <cell r="B15" t="str">
            <v>Marcación anillos y  cinta adhesiva</v>
          </cell>
        </row>
        <row r="16">
          <cell r="B16" t="str">
            <v xml:space="preserve">Marcaciones con cinta color naranja </v>
          </cell>
        </row>
        <row r="17">
          <cell r="B17" t="str">
            <v>Marcaciones en plaquetas PVC de los cables de la acometida</v>
          </cell>
        </row>
        <row r="18">
          <cell r="B18" t="str">
            <v>Marcaciones generales en placas PVC, cinta adhesiva con impresora térmica y anillos de marcación.</v>
          </cell>
        </row>
        <row r="19">
          <cell r="B19" t="str">
            <v>Marcación tableros con placa en acrílico.</v>
          </cell>
        </row>
        <row r="20">
          <cell r="B20" t="str">
            <v>Obra civil instalación tablero 12 circuitos.</v>
          </cell>
        </row>
        <row r="21">
          <cell r="B21" t="str">
            <v>Obra civil instalación tablero 36 circuitos.</v>
          </cell>
        </row>
        <row r="22">
          <cell r="B22" t="str">
            <v>Brecha, llenos, baldosa y acabados.</v>
          </cell>
        </row>
        <row r="23">
          <cell r="B23" t="str">
            <v>BANDEJAS, SOPORTES Y CANALETAS</v>
          </cell>
        </row>
        <row r="24">
          <cell r="B24" t="str">
            <v>BANDEJA PORTACABLE SEMIPESADA 10 x 8 x 2.4m GALVANIZADA</v>
          </cell>
        </row>
        <row r="25">
          <cell r="B25" t="str">
            <v>BANDEJA PORTACABLE SEMIPESADA 20 x 8 x 2.4m GALVANIZADA</v>
          </cell>
        </row>
        <row r="26">
          <cell r="B26" t="str">
            <v>BANDEJA PORTACABLE SEMIPESADA 30 x 8 x 2.4m GALVANIZADA</v>
          </cell>
        </row>
        <row r="27">
          <cell r="B27" t="str">
            <v>BANDEJA PORTACABLE SEMIPESADA 40 x 8 x 2.4m GALVANIZADA</v>
          </cell>
        </row>
        <row r="28">
          <cell r="B28" t="str">
            <v>BANDEJA PORTACABLE SEMIPESADA 50 x 8 x 2.4m GALVANIZADA</v>
          </cell>
        </row>
        <row r="29">
          <cell r="B29" t="str">
            <v>BANDEJA PORTACABLE SEMIPESADA 60 x 8 x 2.4m GALVANIZADA</v>
          </cell>
        </row>
        <row r="30">
          <cell r="B30" t="str">
            <v>CRUZ BANDEJA SEMIPESADA 10 x 8 GALVANIZADA</v>
          </cell>
        </row>
        <row r="31">
          <cell r="B31" t="str">
            <v>CRUZ BANDEJA SEMIPESADA 20 x 8 GALVANIZADA</v>
          </cell>
        </row>
        <row r="32">
          <cell r="B32" t="str">
            <v>CRUZ BANDEJA SEMIPESADA 30 x 8 GALVANIZADA</v>
          </cell>
        </row>
        <row r="33">
          <cell r="B33" t="str">
            <v>CRUZ BANDEJA SEMIPESADA 40 x 8 GALVANIZADA</v>
          </cell>
        </row>
        <row r="34">
          <cell r="B34" t="str">
            <v>CRUZ BANDEJA SEMIPESADA 50 x 8 GALVANIZADA</v>
          </cell>
        </row>
        <row r="35">
          <cell r="B35" t="str">
            <v>CRUZ BANDEJA SEMIPESADA 60 x 8 GALVANIZADA</v>
          </cell>
        </row>
        <row r="36">
          <cell r="B36" t="str">
            <v>CURVA HORIZONTAL BANDEJA SEMIPESADA 10 x 8 GALVANIZADA ANG. 90°</v>
          </cell>
        </row>
        <row r="37">
          <cell r="B37" t="str">
            <v>CURVA HORIZONTAL BANDEJA SEMIPESADA 20 x 8 GALVANIZADA ANG. 90°</v>
          </cell>
        </row>
        <row r="38">
          <cell r="B38" t="str">
            <v>CURVA HORIZONTAL BANDEJA SEMIPESADA 30 x 8 GALVANIZADA ANG. 90°</v>
          </cell>
        </row>
        <row r="39">
          <cell r="B39" t="str">
            <v>CURVA HORIZONTAL BANDEJA SEMIPESADA 40 x 8 GALVANIZADA ANG. 90°</v>
          </cell>
        </row>
        <row r="40">
          <cell r="B40" t="str">
            <v>CURVA HORIZONTAL BANDEJA SEMIPESADA 50 x 8 GALVANIZADA ANG. 90°</v>
          </cell>
        </row>
        <row r="41">
          <cell r="B41" t="str">
            <v>CURVA HORIZONTAL BANDEJA SEMIPESADA 60 x 8 GALVANIZADA ANG. 90°</v>
          </cell>
        </row>
        <row r="42">
          <cell r="B42" t="str">
            <v>CURVA VERTICAL INT o EXT BANDEJA SEMIPESADA 10 X 8 A 90° GALV</v>
          </cell>
        </row>
        <row r="43">
          <cell r="B43" t="str">
            <v>CURVA VERTICAL INT o EXT BANDEJA SEMIPESADA 20 X 8 A 90° GALV</v>
          </cell>
        </row>
        <row r="44">
          <cell r="B44" t="str">
            <v>CURVA VERTICAL INT o EXT BANDEJA SEMIPESADA 30 X 8 A 90° GALV</v>
          </cell>
        </row>
        <row r="45">
          <cell r="B45" t="str">
            <v>CURVA VERTICAL INT o EXT BANDEJA SEMIPESADA 40 X 8 A 90° GALV</v>
          </cell>
        </row>
        <row r="46">
          <cell r="B46" t="str">
            <v>CURVA VERTICAL INT o EXT BANDEJA SEMIPESADA 50 X 8 A 90° GALV</v>
          </cell>
        </row>
        <row r="47">
          <cell r="B47" t="str">
            <v>CURVA VERTICAL INT o EXT BANDEJA SEMIPESADA 60 X 8 A 90° GALV</v>
          </cell>
        </row>
        <row r="48">
          <cell r="B48" t="str">
            <v>REDUCCION SIMETRICA, DER. o IZQ. BANDEJA SEMI 20 A 10 x 8 CM GALV</v>
          </cell>
        </row>
        <row r="49">
          <cell r="B49" t="str">
            <v>REDUCCION SIMETRICA, DER. o IZQ. BANDEJA SEMI 30 A 10 x 8 CM GALV</v>
          </cell>
        </row>
        <row r="50">
          <cell r="B50" t="str">
            <v>REDUCCION SIMETRICA, DER. o IZQ. BANDEJA SEMI 30 A 20 x 8 CM GALV</v>
          </cell>
        </row>
        <row r="51">
          <cell r="B51" t="str">
            <v>REDUCCION SIMETRICA, DER. o IZQ. BANDEJA SEMI 40 A 20 x 8 CM GALV</v>
          </cell>
        </row>
        <row r="52">
          <cell r="B52" t="str">
            <v>REDUCCION SIMETRICA, DER. o IZQ. BANDEJA SEMI 40 A 30 x 8 CM GALV</v>
          </cell>
        </row>
        <row r="53">
          <cell r="B53" t="str">
            <v>REDUCCION SIMETRICA, DER. o IZQ. BANDEJA SEMI 50 A 20 x 8 CM GALV</v>
          </cell>
        </row>
        <row r="54">
          <cell r="B54" t="str">
            <v>REDUCCION SIMETRICA, DER. o IZQ. BANDEJA SEMI 50 A 30 x 8 CM GALV</v>
          </cell>
        </row>
        <row r="55">
          <cell r="B55" t="str">
            <v>REDUCCION SIMETRICA, DER. o IZQ. BANDEJA SEMI 50 A 40 x 8 CM GALV</v>
          </cell>
        </row>
        <row r="56">
          <cell r="B56" t="str">
            <v>REDUCCION SIMETRICA, DER. o IZQ. BANDEJA SEMI 60 A 20 x 8 CM GALV</v>
          </cell>
        </row>
        <row r="57">
          <cell r="B57" t="str">
            <v>REDUCCION SIMETRICA, DER. o IZQ. BANDEJA SEMI 60 A 30 x 8 CM GALV</v>
          </cell>
        </row>
        <row r="58">
          <cell r="B58" t="str">
            <v>REDUCCION SIMETRICA, DER. o IZQ. BANDEJA SEMI 60 A 40 x 8 CM GALV</v>
          </cell>
        </row>
        <row r="59">
          <cell r="B59" t="str">
            <v>REDUCCION SIMETRICA, DER. o IZQ. BANDEJA SEMI 60 A 50 x 8 CM GALV</v>
          </cell>
        </row>
        <row r="60">
          <cell r="B60" t="str">
            <v>DUCTO CERRADO 8X30cm CON DIVISIÓN CENTRAL.</v>
          </cell>
        </row>
        <row r="61">
          <cell r="B61" t="str">
            <v>BANDEJA CF54X100mm L 1m EZ  CM000071</v>
          </cell>
        </row>
        <row r="62">
          <cell r="B62" t="str">
            <v>BANDEJA CF54X100mm L 1m GC  CM000073</v>
          </cell>
        </row>
        <row r="63">
          <cell r="B63" t="str">
            <v>BANDEJA CF54X150mm L 1m EZ  CM000081</v>
          </cell>
        </row>
        <row r="64">
          <cell r="B64" t="str">
            <v>BANDEJA CF54X150mm L 1m EZ  CM000081</v>
          </cell>
        </row>
        <row r="65">
          <cell r="B65" t="str">
            <v>BANDEJA CF54X150mm L 1m GC  CM000083</v>
          </cell>
        </row>
        <row r="66">
          <cell r="B66" t="str">
            <v>BANDEJA CF54X200mm L 1m EZ  CM000091</v>
          </cell>
        </row>
        <row r="67">
          <cell r="B67" t="str">
            <v xml:space="preserve">BANDEJA CF54X300mm L 1m EZ  </v>
          </cell>
        </row>
        <row r="68">
          <cell r="B68" t="str">
            <v xml:space="preserve">Bandeja malla 300x54mm </v>
          </cell>
        </row>
        <row r="69">
          <cell r="B69" t="str">
            <v>BANDEJA CF54X300mm L 1m EZ  CM000101</v>
          </cell>
        </row>
        <row r="70">
          <cell r="B70" t="str">
            <v>BANDEJA CF54X400mm L 1m EZ  CM000201</v>
          </cell>
        </row>
        <row r="71">
          <cell r="B71" t="str">
            <v>BANDEJA CF54X400mm L 1m GC  CM000203</v>
          </cell>
        </row>
        <row r="72">
          <cell r="B72" t="str">
            <v>BANDEJA CF54X500mm L 1m EZ  CM000301</v>
          </cell>
        </row>
        <row r="73">
          <cell r="B73" t="str">
            <v>BANDEJA CF54X600mm L 1m EZ  CM000401</v>
          </cell>
        </row>
        <row r="74">
          <cell r="B74" t="str">
            <v>TAPA P/BANDEJA TBPG10C20   SUPERIOR</v>
          </cell>
        </row>
        <row r="75">
          <cell r="B75" t="str">
            <v>TAPA P/BANDEJA TBPG10C20I  INFERIOR</v>
          </cell>
        </row>
        <row r="76">
          <cell r="B76" t="str">
            <v>TAPA P/BANDEJA TBPG20C20   SUPERIOR</v>
          </cell>
        </row>
        <row r="77">
          <cell r="B77" t="str">
            <v>TAPA P/BANDEJA TBPG20C20I  INFERIOR</v>
          </cell>
        </row>
        <row r="78">
          <cell r="B78" t="str">
            <v>TAPA P/BANDEJA TBPG30C20   SUPERIOR</v>
          </cell>
        </row>
        <row r="79">
          <cell r="B79" t="str">
            <v>TAPA P/BANDEJA TBPG30C20I  INFERIOR</v>
          </cell>
        </row>
        <row r="80">
          <cell r="B80" t="str">
            <v>TAPA P/BANDEJA TBPG40C20   SUPERIOR</v>
          </cell>
        </row>
        <row r="81">
          <cell r="B81" t="str">
            <v>TAPA P/BANDEJA TBPG40C20I  INFERIOR</v>
          </cell>
        </row>
        <row r="82">
          <cell r="B82" t="str">
            <v>TAPA P/BANDEJA TBPG60C20   SUPERIOR</v>
          </cell>
        </row>
        <row r="83">
          <cell r="B83" t="str">
            <v>CANALETA 12x5CM x2.4m</v>
          </cell>
        </row>
        <row r="84">
          <cell r="B84" t="str">
            <v>CANALETA 11x5CM x2.4m tapa presión</v>
          </cell>
        </row>
        <row r="85">
          <cell r="B85" t="str">
            <v>CANALETA 16x5CM x2.4m</v>
          </cell>
        </row>
        <row r="86">
          <cell r="B86" t="str">
            <v>CANALETA 4x4CM</v>
          </cell>
        </row>
        <row r="87">
          <cell r="B87" t="str">
            <v>TROQUEL PARA CANALETA 12x5cm</v>
          </cell>
        </row>
        <row r="88">
          <cell r="B88" t="str">
            <v>SOPORTE MENSULA CSN 100mm GC  CM556103</v>
          </cell>
        </row>
        <row r="89">
          <cell r="B89" t="str">
            <v>SOPORTE MENSULA CSN 100mm GS  CM556100</v>
          </cell>
        </row>
        <row r="90">
          <cell r="B90" t="str">
            <v>SOPORTE MENSULA CSN 200mm GC  CM556123</v>
          </cell>
        </row>
        <row r="91">
          <cell r="B91" t="str">
            <v>SOPORTE MENSULA CSN 200mm GS  CM556120</v>
          </cell>
        </row>
        <row r="92">
          <cell r="B92" t="str">
            <v>SOPORTE MENSULA CSN 300mm GC  CM556133</v>
          </cell>
        </row>
        <row r="93">
          <cell r="B93" t="str">
            <v>SOPORTE MENSULA CSN 300mm GS  CM556130</v>
          </cell>
        </row>
        <row r="94">
          <cell r="B94" t="str">
            <v>SOPORTE PIEAMIGO X40cm</v>
          </cell>
        </row>
        <row r="95">
          <cell r="B95" t="str">
            <v>SOPORTE PELDAÑO 10cm</v>
          </cell>
        </row>
        <row r="96">
          <cell r="B96" t="str">
            <v>SOPORTE PELDAÑO 20cm</v>
          </cell>
        </row>
        <row r="97">
          <cell r="B97" t="str">
            <v>SOPORTE PELDAÑO 30cm</v>
          </cell>
        </row>
        <row r="98">
          <cell r="B98" t="str">
            <v>SOPORTE PELDAÑO 40cm</v>
          </cell>
        </row>
        <row r="99">
          <cell r="B99" t="str">
            <v>SOPORTE PELDAÑO 50cm</v>
          </cell>
        </row>
        <row r="100">
          <cell r="B100" t="str">
            <v>SOPORTE PELDAÑO 60cm</v>
          </cell>
        </row>
        <row r="101">
          <cell r="B101" t="str">
            <v>Elementos de fijación bandeja portacables</v>
          </cell>
        </row>
        <row r="102">
          <cell r="B102" t="str">
            <v>Reducción 20x5cm a 12x5cm</v>
          </cell>
        </row>
        <row r="103">
          <cell r="B103" t="str">
            <v xml:space="preserve">CABLEADO </v>
          </cell>
        </row>
        <row r="104">
          <cell r="B104" t="str">
            <v>ALAMBRE THHN-THWN 12</v>
          </cell>
        </row>
        <row r="105">
          <cell r="B105" t="str">
            <v>ALAMBRE THHN-THWN 14</v>
          </cell>
        </row>
        <row r="106">
          <cell r="B106" t="str">
            <v>ALAMBRE THHN-THWN 10</v>
          </cell>
        </row>
        <row r="107">
          <cell r="B107" t="str">
            <v>ALAMBRE THHN-THWN 8</v>
          </cell>
        </row>
        <row r="108">
          <cell r="B108" t="str">
            <v>Alambrón de aluminio de 8mm de diámetro</v>
          </cell>
        </row>
        <row r="109">
          <cell r="B109" t="str">
            <v>Alambre Guía Galvanizado Cal. 14</v>
          </cell>
        </row>
        <row r="110">
          <cell r="B110" t="str">
            <v>ALAMBRE DESNUDO No. 12AWG</v>
          </cell>
        </row>
        <row r="111">
          <cell r="B111" t="str">
            <v>CABLE DESNUDO No. 8AWG</v>
          </cell>
        </row>
        <row r="112">
          <cell r="B112" t="str">
            <v>Cable desnudo cobre N°6 AWG</v>
          </cell>
        </row>
        <row r="113">
          <cell r="B113" t="str">
            <v>CABLE DESNUDO No 4</v>
          </cell>
        </row>
        <row r="114">
          <cell r="B114" t="str">
            <v>CABLE DESNUDO No 2</v>
          </cell>
        </row>
        <row r="115">
          <cell r="B115" t="str">
            <v>CABLE DESNUDO 1/0</v>
          </cell>
        </row>
        <row r="116">
          <cell r="B116" t="str">
            <v>CABLE DESNUDO 2/0</v>
          </cell>
        </row>
        <row r="117">
          <cell r="B117" t="str">
            <v>CABLE DESNUDO 4/0</v>
          </cell>
        </row>
        <row r="118">
          <cell r="B118" t="str">
            <v>CABLE ENCAUCHETADO ST-C 2x10</v>
          </cell>
        </row>
        <row r="119">
          <cell r="B119" t="str">
            <v>CABLE ENCAUCHETADO ST-C 2x12</v>
          </cell>
        </row>
        <row r="120">
          <cell r="B120" t="str">
            <v>CABLE ENCAUCHETADO ST-C 2x14</v>
          </cell>
        </row>
        <row r="121">
          <cell r="B121" t="str">
            <v>CABLE ENCAUCHETADO ST-C 2x16</v>
          </cell>
        </row>
        <row r="122">
          <cell r="B122" t="str">
            <v>CABLE ENCAUCHETADO ST-C 2x18</v>
          </cell>
        </row>
        <row r="123">
          <cell r="B123" t="str">
            <v>CABLE ENCAUCHETADO ST-C 3x8</v>
          </cell>
        </row>
        <row r="124">
          <cell r="B124" t="str">
            <v>CABLE ENCAUCHETADO ST-C 3x10</v>
          </cell>
        </row>
        <row r="125">
          <cell r="B125" t="str">
            <v>CABLE ENCAUCHETADO ST-C 3x12</v>
          </cell>
        </row>
        <row r="126">
          <cell r="B126" t="str">
            <v>CABLE ENCAUCHETADO ST-C 3x14</v>
          </cell>
        </row>
        <row r="127">
          <cell r="B127" t="str">
            <v>CABLE ENCAUCHETADO ST-C 3x16</v>
          </cell>
        </row>
        <row r="128">
          <cell r="B128" t="str">
            <v>CABLE ENCAUCHETADO ST-C 3x18</v>
          </cell>
        </row>
        <row r="129">
          <cell r="B129" t="str">
            <v>CABLE ENCAUCHETADO ST-C 4x6</v>
          </cell>
        </row>
        <row r="130">
          <cell r="B130" t="str">
            <v>CABLE ENCAUCHETADO ST-C 4x8</v>
          </cell>
        </row>
        <row r="131">
          <cell r="B131" t="str">
            <v>CABLE ENCAUCHETADO ST-C 4x10</v>
          </cell>
        </row>
        <row r="132">
          <cell r="B132" t="str">
            <v>CABLE ENCAUCHETADO ST-C 4x12</v>
          </cell>
        </row>
        <row r="133">
          <cell r="B133" t="str">
            <v>CABLE ENCAUCHETADO ST-C 4x14</v>
          </cell>
        </row>
        <row r="134">
          <cell r="B134" t="str">
            <v>CABLE ENCAUCHETADO ST-C 4x16</v>
          </cell>
        </row>
        <row r="135">
          <cell r="B135" t="str">
            <v>CABLE ENCAUCHETADO ST-C 4x18</v>
          </cell>
        </row>
        <row r="136">
          <cell r="B136" t="str">
            <v>CABLE ENCAUCHETADO ST-C 5x10</v>
          </cell>
        </row>
        <row r="137">
          <cell r="B137" t="str">
            <v>CABLE ENCAUCHETADO ST-C 5x12</v>
          </cell>
        </row>
        <row r="138">
          <cell r="B138" t="str">
            <v>CABLE SINTOX 10</v>
          </cell>
        </row>
        <row r="139">
          <cell r="B139" t="str">
            <v>CABLE SINTOX 12</v>
          </cell>
        </row>
        <row r="140">
          <cell r="B140" t="str">
            <v>CABLE THHN-THWN 14</v>
          </cell>
        </row>
        <row r="142">
          <cell r="B142" t="str">
            <v>CABLE THHN-THWN 12</v>
          </cell>
        </row>
        <row r="143">
          <cell r="B143" t="str">
            <v>CABLE 12 LSHF</v>
          </cell>
        </row>
        <row r="144">
          <cell r="B144" t="str">
            <v>CABLE THHN-THWN 10</v>
          </cell>
        </row>
        <row r="145">
          <cell r="B145" t="str">
            <v>CABLE 10 LSHF</v>
          </cell>
        </row>
        <row r="146">
          <cell r="B146" t="str">
            <v>CABLE THHN-THWN 8</v>
          </cell>
        </row>
        <row r="147">
          <cell r="B147" t="str">
            <v>CABLE 8 LSHF</v>
          </cell>
        </row>
        <row r="148">
          <cell r="B148" t="str">
            <v>CABLE THHN-THWN 6</v>
          </cell>
        </row>
        <row r="149">
          <cell r="B149" t="str">
            <v>CABLE 6 LSHF</v>
          </cell>
        </row>
        <row r="150">
          <cell r="B150" t="str">
            <v>CABLE THHN-THWN 4</v>
          </cell>
        </row>
        <row r="151">
          <cell r="B151" t="str">
            <v>CABLE 4 LSHF</v>
          </cell>
        </row>
        <row r="152">
          <cell r="B152" t="str">
            <v>CABLE THHN-THWN 2</v>
          </cell>
        </row>
        <row r="153">
          <cell r="B153" t="str">
            <v>CABLE 2 LSHF</v>
          </cell>
        </row>
        <row r="154">
          <cell r="B154" t="str">
            <v>CABLE THHN-THWN 1/0</v>
          </cell>
        </row>
        <row r="155">
          <cell r="B155" t="str">
            <v>CABLE 1/0 LSHF</v>
          </cell>
        </row>
        <row r="156">
          <cell r="B156" t="str">
            <v>CABLE THHN-THWN 2/0</v>
          </cell>
        </row>
        <row r="157">
          <cell r="B157" t="str">
            <v>CABLE 2/0 LSHF</v>
          </cell>
        </row>
        <row r="158">
          <cell r="B158" t="str">
            <v>CABLE THHN-THWN 4/0</v>
          </cell>
        </row>
        <row r="159">
          <cell r="B159" t="str">
            <v>CABLE ENCAUCHETADO BAJO CONTENIDO DE HALÓGENO LSHF</v>
          </cell>
        </row>
        <row r="160">
          <cell r="B160" t="str">
            <v>TERMINALES, CONECTORES, PRENSAESTOPAS</v>
          </cell>
        </row>
        <row r="161">
          <cell r="B161" t="str">
            <v>TERMINAL P/PONCHAR   8 AWG</v>
          </cell>
        </row>
        <row r="162">
          <cell r="B162" t="str">
            <v>TERMINAL P/PONCHAR 1/0 AWG</v>
          </cell>
        </row>
        <row r="163">
          <cell r="B163" t="str">
            <v>TERMINAL P/PONCHAR 10  AWG</v>
          </cell>
        </row>
        <row r="164">
          <cell r="B164" t="str">
            <v>TERMINAL P/PONCHAR 2 AWG</v>
          </cell>
        </row>
        <row r="165">
          <cell r="B165" t="str">
            <v>TERMINAL P/PONCHAR 2/0 AWG</v>
          </cell>
        </row>
        <row r="166">
          <cell r="B166" t="str">
            <v>TERMINAL P/PONCHAR 4 AWG</v>
          </cell>
        </row>
        <row r="167">
          <cell r="B167" t="str">
            <v>TERMINAL P/PONCHAR 4/0 AWG</v>
          </cell>
        </row>
        <row r="168">
          <cell r="B168" t="str">
            <v>TERMINAL P/PONCHAR 6 AWG</v>
          </cell>
        </row>
        <row r="169">
          <cell r="B169" t="str">
            <v>CONECTOR 3M AUTODESFORRE 560 AZUL</v>
          </cell>
        </row>
        <row r="170">
          <cell r="B170" t="str">
            <v>CONECTOR 3M AUTODESFORRE 562 AMARILL</v>
          </cell>
        </row>
        <row r="171">
          <cell r="B171" t="str">
            <v>Conector a la bandeja portacables del cable de puesta a tierra..</v>
          </cell>
        </row>
        <row r="172">
          <cell r="B172" t="str">
            <v>CONECTOR RECTO 1" USA COOPEX</v>
          </cell>
        </row>
        <row r="173">
          <cell r="B173" t="str">
            <v>CONECTOR RESORTE AZUL 12-16</v>
          </cell>
        </row>
        <row r="174">
          <cell r="B174" t="str">
            <v>CONECTOR RESORTE AZUL/GRIS 14-6 3M</v>
          </cell>
        </row>
        <row r="175">
          <cell r="B175" t="str">
            <v>CONECTOR RESORTE NAR/AZUL 22-12 3M</v>
          </cell>
        </row>
        <row r="176">
          <cell r="B176" t="str">
            <v>CONECTOR RESORTE ROJO/AMA 16-10 3M</v>
          </cell>
        </row>
        <row r="177">
          <cell r="B177" t="str">
            <v>CONECTOR TIERRA GRIFEQUIP  CM585327</v>
          </cell>
        </row>
        <row r="178">
          <cell r="B178" t="str">
            <v>LAMINA UNION ED275 EZ   CM558221</v>
          </cell>
        </row>
        <row r="179">
          <cell r="B179" t="str">
            <v>Prensa estopa de 1/2".</v>
          </cell>
        </row>
        <row r="180">
          <cell r="B180" t="str">
            <v>PRENSA ESTOPA DEXSON 1 1/8" PG29</v>
          </cell>
        </row>
        <row r="181">
          <cell r="B181" t="str">
            <v>PRENSA ESTOPA DEXSON 1/2 PG13.5</v>
          </cell>
        </row>
        <row r="182">
          <cell r="B182" t="str">
            <v>PRENSA ESTOPA DEXSON 1/4 PG7</v>
          </cell>
        </row>
        <row r="183">
          <cell r="B183" t="str">
            <v>PRENSA ESTOPA DEXSON 3/4 PG21</v>
          </cell>
        </row>
        <row r="184">
          <cell r="B184" t="str">
            <v>PRENSA ESTOPA DEXSON 3/8 PG11</v>
          </cell>
        </row>
        <row r="185">
          <cell r="B185" t="str">
            <v>PRENSA ESTOPA DEXSON 5/16 PG9</v>
          </cell>
        </row>
        <row r="186">
          <cell r="B186" t="str">
            <v>PRENSA ESTOPA DEXSON 5/8 PG16</v>
          </cell>
        </row>
        <row r="187">
          <cell r="B187" t="str">
            <v>CAJAS METÁLICAS</v>
          </cell>
        </row>
        <row r="188">
          <cell r="B188" t="str">
            <v>CAJA EMPALME 13x13x8</v>
          </cell>
        </row>
        <row r="189">
          <cell r="B189" t="str">
            <v>CAJA EMPALME 15x15x10 C/BISAGRA TROQ</v>
          </cell>
        </row>
        <row r="190">
          <cell r="B190" t="str">
            <v>CAJA EMPALME 20x20x10 C/BISAGRA TROQ</v>
          </cell>
        </row>
        <row r="191">
          <cell r="B191" t="str">
            <v>CAJA EMPALME 20x20x15 C/BISAGRA TROQ</v>
          </cell>
        </row>
        <row r="192">
          <cell r="B192" t="str">
            <v>CAJA EMPALME 25x25x10 C/BISAGRA TROQ</v>
          </cell>
        </row>
        <row r="193">
          <cell r="B193" t="str">
            <v>CAJA EMPALME 25x25x15 C/BISAGRA TROQ</v>
          </cell>
        </row>
        <row r="194">
          <cell r="B194" t="str">
            <v>CAJA EMPALME 30x30x10</v>
          </cell>
        </row>
        <row r="195">
          <cell r="B195" t="str">
            <v>CAJA EMPALME 30x30x15</v>
          </cell>
        </row>
        <row r="196">
          <cell r="B196" t="str">
            <v>CAJA EMPALME 40x40x15</v>
          </cell>
        </row>
        <row r="197">
          <cell r="B197" t="str">
            <v>CAJA METALICA 12x12x5 cm GRIS TEXTURIZADO.</v>
          </cell>
        </row>
        <row r="198">
          <cell r="B198" t="str">
            <v>CAJA ARRANCADOR 40X30X20 TERCOL CA-40</v>
          </cell>
        </row>
        <row r="199">
          <cell r="B199" t="str">
            <v>CAJA PVC 2''x4"</v>
          </cell>
        </row>
        <row r="200">
          <cell r="B200" t="str">
            <v>CAJA PVC 4''x4"</v>
          </cell>
        </row>
        <row r="201">
          <cell r="B201" t="str">
            <v>TAPAFLUX PVC</v>
          </cell>
        </row>
        <row r="202">
          <cell r="B202" t="str">
            <v>CAJA RAWELT 2x4 2 SALIDAS DE 1"</v>
          </cell>
        </row>
        <row r="203">
          <cell r="B203" t="str">
            <v>CAJA RAWELT 2x4 2 SALIDAS DE 3/4</v>
          </cell>
        </row>
        <row r="204">
          <cell r="B204" t="str">
            <v>CAJA RAWELT 2x4 3 SALIDAS DE 1"</v>
          </cell>
        </row>
        <row r="205">
          <cell r="B205" t="str">
            <v>CAJA RAWELT 2x4 3 SALIDAS DE 1/2</v>
          </cell>
        </row>
        <row r="206">
          <cell r="B206" t="str">
            <v>CAJA RAWELT 2x4 3 SALIDAS DE 3/4</v>
          </cell>
        </row>
        <row r="207">
          <cell r="B207" t="str">
            <v>CAJA RAWELT 2x4 4 SALIDAS DE 1"</v>
          </cell>
        </row>
        <row r="208">
          <cell r="B208" t="str">
            <v>CAJA RAWELT 2x4 4 SALIDAS DE 1/2</v>
          </cell>
        </row>
        <row r="209">
          <cell r="B209" t="str">
            <v>CAJA RAWELT 2x4 4 SALIDAS DE 3/4</v>
          </cell>
        </row>
        <row r="210">
          <cell r="B210" t="str">
            <v>CAJA RAWELT 4x4 2 SALIDAS DE 1/2</v>
          </cell>
        </row>
        <row r="211">
          <cell r="B211" t="str">
            <v>CAJA RAWELT 4x4 3 SALIDAS DE 1/2</v>
          </cell>
        </row>
        <row r="212">
          <cell r="B212" t="str">
            <v>CAJA RAWELT 4x4 3 SALIDAS DE 3/4</v>
          </cell>
        </row>
        <row r="213">
          <cell r="B213" t="str">
            <v>CAJA RAWELT 4x4 4 SALIDAS DE 1/2</v>
          </cell>
        </row>
        <row r="214">
          <cell r="B214" t="str">
            <v>CAJA RAWELT 4x4 4 SALIDAS DE 3/4</v>
          </cell>
        </row>
        <row r="215">
          <cell r="B215" t="str">
            <v>TAPA RAWELT 2X4 LISA</v>
          </cell>
        </row>
        <row r="216">
          <cell r="B216" t="str">
            <v>TAPA RAWELT 4X4 LISA</v>
          </cell>
        </row>
        <row r="217">
          <cell r="B217" t="str">
            <v>CAJA ARRANCADOR 30X20X16 TERCOL CA-40</v>
          </cell>
        </row>
        <row r="218">
          <cell r="B218" t="str">
            <v>ILUMINACIÓN</v>
          </cell>
        </row>
        <row r="219">
          <cell r="B219" t="str">
            <v>Luminaria de emergencia de 11W, 120V de mínimo 600 lumens por 1 hora.</v>
          </cell>
        </row>
        <row r="220">
          <cell r="B220" t="str">
            <v>LUM.ANTIH 4X54 CH IMPORT/BTO ELECTR.UNIV/ALP/IP65/PANT ACR CON TUBOS</v>
          </cell>
        </row>
        <row r="221">
          <cell r="B221" t="str">
            <v>Luminaria ambientes limpios hermética 30x120cm 2x32W T8.</v>
          </cell>
        </row>
        <row r="222">
          <cell r="B222" t="str">
            <v>LUM.ANTIH 6X54 CH IMPORT/BTO ELECTR.UNIV/ALP/IP65/PANT ACR CON TUBOS</v>
          </cell>
        </row>
        <row r="223">
          <cell r="B223" t="str">
            <v>LUM.ANTIH 2X54 IMPORT/CH ALHAMA/BTO ELECTR.UNIV CON TUBOS</v>
          </cell>
        </row>
        <row r="224">
          <cell r="B224" t="str">
            <v>LUM.ANTIH 2X28 IMPORT/CH ALHAMA/BTO ELECTR.UNIV CON TUBOS</v>
          </cell>
        </row>
        <row r="225">
          <cell r="B225" t="str">
            <v>LUM.ANTIH 2X54 IMPORT/CH ALHAMA/BTO ELECTR.UNIV CON TUBOS BEGUELLI</v>
          </cell>
        </row>
        <row r="226">
          <cell r="B226" t="str">
            <v>LUM.ANTIH 2X28 IMPORT/CH ALHAMA/BTO ELECTR.UNIV CON TUBOS BEGUELLI</v>
          </cell>
        </row>
        <row r="227">
          <cell r="B227" t="str">
            <v>LUM.ANTIH 1X14 IMPORT/CH ALHAMA/BTO ELECTR.UNIV CON TUBOS</v>
          </cell>
        </row>
        <row r="228">
          <cell r="B228" t="str">
            <v>LUM.ANTIH 1X28 IMPORT/CH ALHAMA/BTO ELECTR.UNIV CON TUBOS</v>
          </cell>
        </row>
        <row r="229">
          <cell r="B229" t="str">
            <v>LUM.POCKET 60X60/INC 4X14W/MARCO EXTERI./ACRILICO/OPAL/RETIL CON TUBOS</v>
          </cell>
        </row>
        <row r="230">
          <cell r="B230" t="str">
            <v>LUM.POCKET 60X60/INC 4X24W/MARCO EXTERI./ACRILICO/OPAL/RETIL CON TUBOS</v>
          </cell>
        </row>
        <row r="231">
          <cell r="B231" t="str">
            <v>LUM.POCKET 30X120/INC 2X28/ACRILICO/OPAL/RETILAP CON TUBOS</v>
          </cell>
        </row>
        <row r="232">
          <cell r="B232" t="str">
            <v>LUM.POCKET 30X120/INC 2X54/ACRILICO/OPAL/RETILAP CON TUBOS</v>
          </cell>
        </row>
        <row r="233">
          <cell r="B233" t="str">
            <v>BTO EMERGENCIA BODINE/LP550/T5-T8</v>
          </cell>
        </row>
        <row r="234">
          <cell r="B234" t="str">
            <v>LUM HERMETICA LED 2X18 CON TUBOS</v>
          </cell>
        </row>
        <row r="235">
          <cell r="B235" t="str">
            <v>Panel led redondo 18 W con marco y driver</v>
          </cell>
        </row>
        <row r="236">
          <cell r="B236" t="str">
            <v>Panel led 60x60cm con marco y driver</v>
          </cell>
        </row>
        <row r="237">
          <cell r="B237" t="str">
            <v>Panel led 30x30cm con marco y driver</v>
          </cell>
        </row>
        <row r="238">
          <cell r="B238" t="str">
            <v>Luminaria Hera 50W 1,14x0,85cm</v>
          </cell>
        </row>
        <row r="239">
          <cell r="B239" t="str">
            <v>Luminaria hermética led con 4 regletas de 56cm 7a 17W y disipador de calor</v>
          </cell>
        </row>
        <row r="240">
          <cell r="B240" t="str">
            <v>Bateria de emergencia SL-60 para luminaria LED</v>
          </cell>
        </row>
        <row r="241">
          <cell r="B241" t="str">
            <v>HERRAJES</v>
          </cell>
        </row>
        <row r="242">
          <cell r="B242" t="str">
            <v>ESPARRAGO ROSCADA DE 1/2" GALV CALIENTE</v>
          </cell>
        </row>
        <row r="243">
          <cell r="B243" t="str">
            <v>ARANDELA 3/8''</v>
          </cell>
        </row>
        <row r="244">
          <cell r="B244" t="str">
            <v>TUERCA HEXAGONAL 3/8''</v>
          </cell>
        </row>
        <row r="245">
          <cell r="B245" t="str">
            <v>RL 3/8''</v>
          </cell>
        </row>
        <row r="246">
          <cell r="B246" t="str">
            <v>Chazos y/o RL metálicos 3/8"</v>
          </cell>
        </row>
        <row r="247">
          <cell r="B247" t="str">
            <v>Esparrago 3/8'' Galvanizado en Caliente</v>
          </cell>
        </row>
        <row r="248">
          <cell r="B248" t="str">
            <v>Tuerca 3/8'' Hexagonal Galvanizada en Caliente</v>
          </cell>
        </row>
        <row r="249">
          <cell r="B249" t="str">
            <v>Arandela 3/8'' Galvanizada en Caliente</v>
          </cell>
        </row>
        <row r="250">
          <cell r="B250" t="str">
            <v>ARANDELA CE30mm EZ   CM558041+TUERCA</v>
          </cell>
        </row>
        <row r="251">
          <cell r="B251" t="str">
            <v>CLIP FASLOCK S DC   CM558347</v>
          </cell>
        </row>
        <row r="252">
          <cell r="B252" t="str">
            <v>CLIP FASLOCK S GS   CM558340</v>
          </cell>
        </row>
        <row r="253">
          <cell r="B253" t="str">
            <v>PERFIL FIJACION RCSN 3m GC  CM013033</v>
          </cell>
        </row>
        <row r="254">
          <cell r="B254" t="str">
            <v>PERFIL FIJACION RCSN 3m GS  CM013030</v>
          </cell>
        </row>
        <row r="255">
          <cell r="B255" t="str">
            <v>ESPACIADOR E12100AG 1/2x100</v>
          </cell>
        </row>
        <row r="256">
          <cell r="B256" t="str">
            <v>ESPACIADOR E38100AG 3/8x100</v>
          </cell>
        </row>
        <row r="257">
          <cell r="B257" t="str">
            <v xml:space="preserve">Grapas universales ref 390051 </v>
          </cell>
        </row>
        <row r="258">
          <cell r="B258" t="str">
            <v>APARATOS Y ACCESORIOS</v>
          </cell>
        </row>
        <row r="259">
          <cell r="B259" t="str">
            <v>TOMA DE INCRUSTAR NORMA L6-30R 220V, 30A</v>
          </cell>
        </row>
        <row r="260">
          <cell r="B260" t="str">
            <v>CLAVIJA NORMA NEMA L6-30P, 220V, 30A</v>
          </cell>
        </row>
        <row r="261">
          <cell r="B261" t="str">
            <v xml:space="preserve">LV-1451-W SUICHE SENCILLO 15A BLANCO </v>
          </cell>
        </row>
        <row r="262">
          <cell r="B262" t="str">
            <v>LV-1453-W SUICHE SENCILLO CONMUTABLE 15A BLANCO</v>
          </cell>
        </row>
        <row r="263">
          <cell r="B263" t="str">
            <v>LV-5224-W SUICHE DOBLE 15A BLANCO</v>
          </cell>
        </row>
        <row r="264">
          <cell r="B264" t="str">
            <v>INTERRUPTOR TRIPLE (1755-W) CON TAPA</v>
          </cell>
        </row>
        <row r="265">
          <cell r="B265" t="str">
            <v xml:space="preserve">INTERRUPTOR TRIPLE CONMUTABLE </v>
          </cell>
        </row>
        <row r="266">
          <cell r="B266" t="str">
            <v>LV-5262-OIG     TOMA DOBLE  T/AIS 15A NARANJA</v>
          </cell>
        </row>
        <row r="267">
          <cell r="B267" t="str">
            <v>LV-8300-OIG     TOMA DOBLE  T/AIS 20A NARANJA</v>
          </cell>
        </row>
        <row r="268">
          <cell r="B268" t="str">
            <v>LV-5320-W      TOMA DOBLE 15A BLANCO C/PLACA</v>
          </cell>
        </row>
        <row r="269">
          <cell r="B269" t="str">
            <v xml:space="preserve">CR20-W Toma doble, polo a tierra, 20A,125V. blanco. Nema 5-20R </v>
          </cell>
        </row>
        <row r="270">
          <cell r="B270" t="str">
            <v>LV-GFNT1-W TOMA DOBLE GFCI 15A 125V NEMA 5-15 CON TAPA.</v>
          </cell>
        </row>
        <row r="271">
          <cell r="B271" t="str">
            <v>LV-GFNT2-W TOMA DOBLE GFCI 20A 125V NEMA 5-20R CON TAPA.</v>
          </cell>
        </row>
        <row r="272">
          <cell r="B272" t="str">
            <v>LV-80703-IG  PLACA DOBLE NARANJA</v>
          </cell>
        </row>
        <row r="273">
          <cell r="B273" t="str">
            <v>LV-88003-W  TAPA TOMA BLANCA</v>
          </cell>
        </row>
        <row r="274">
          <cell r="B274" t="str">
            <v>TAPA PARA INTERRUPTOR LEVITON</v>
          </cell>
        </row>
        <row r="275">
          <cell r="B275" t="str">
            <v>TAPA PARA INTERRUPTOR TRIPLE (80401-W)</v>
          </cell>
        </row>
        <row r="276">
          <cell r="B276" t="str">
            <v>LV-2320 TOMA 20 AMP, 250V, 2 POLOS +TIERRA, 3 HILOS NEMA 6-20R de incrustar</v>
          </cell>
        </row>
        <row r="277">
          <cell r="B277" t="str">
            <v>LV-2321 Clavija 20 AMP, 250V, 2 POLOS +TIERRA, 3 HILOS NEMA 6-20P de incrustar</v>
          </cell>
        </row>
        <row r="278">
          <cell r="B278" t="str">
            <v>LV-2620 TOMA 30 AMP, 250V, 2 POLOS +TIERRA, 3 HILOS NEMA 6-30R de incrustar</v>
          </cell>
        </row>
        <row r="279">
          <cell r="B279" t="str">
            <v>LV-2621 Clavija 30 AMP, 250V, 2 POLOS +TIERRA, 3 HILOS NEMA 6-30P de incrustar</v>
          </cell>
        </row>
        <row r="280">
          <cell r="B280" t="str">
            <v>LV-2410 TOMA 20 AMP, 125/250V, 3 POLOS +TIERRA, 4 HILOS NEMA 14-20R de incrustar</v>
          </cell>
        </row>
        <row r="281">
          <cell r="B281" t="str">
            <v>LV-2411 Clavija 20 AMP, 125/250V, 3 POLOS +TIERRA, 4 HILOS NEMA 14-20P de incrustar</v>
          </cell>
        </row>
        <row r="282">
          <cell r="B282" t="str">
            <v>LV-2710 TOMA 30 AMP, 125/250V, 3 POLOS +TIERRA, 4 HILOS NEMA 14-30R de incrustar</v>
          </cell>
        </row>
        <row r="283">
          <cell r="B283" t="str">
            <v>LV-2711 Clavija 30 AMP, 125/250V, 3 POLOS +TIERRA, 4 HILOS NEMA 14-30P de incrustar</v>
          </cell>
        </row>
        <row r="284">
          <cell r="B284" t="str">
            <v>LV-4980-GY Tapa termoplástica tipo intemperie para tomas de incrustar locking de 20 y 30 A</v>
          </cell>
        </row>
        <row r="285">
          <cell r="B285" t="str">
            <v>INTERRUPTORES AUITOMÁTICOS, CONTROL INDUSTRIAL</v>
          </cell>
        </row>
        <row r="286">
          <cell r="B286" t="str">
            <v xml:space="preserve">BREAKER TIPO CAJA MOLDEADA 3x63A, 25kA, 220V, </v>
          </cell>
        </row>
        <row r="287">
          <cell r="B287" t="str">
            <v>BREAKER 3X100A  220 V,  25 KA INDUSTRIAL ABB, SIEMENS, EATON O MERLIN GERIN</v>
          </cell>
        </row>
        <row r="288">
          <cell r="B288" t="str">
            <v>BREAKER 3X125A  220 V, 50 KA INDUSTRIAL ABB, SIEMENS, EATON O MERLIN GERIN</v>
          </cell>
        </row>
        <row r="289">
          <cell r="B289" t="str">
            <v>BREAKER 3X150A  220 V,  50 KA INDUSTRIAL ABB, SIEMENS, EATON O MERLIN GERIN</v>
          </cell>
        </row>
        <row r="290">
          <cell r="B290" t="str">
            <v>BREAKER 3X160A  220 V,  50 KA INDUSTRIAL ABB, SIEMENS, EATON O MERLIN GERIN</v>
          </cell>
        </row>
        <row r="291">
          <cell r="B291" t="str">
            <v>BREAKER 3X175A  220 V,  50 KA INDUSTRIAL ABB, SIEMENS, EATON O MERLIN GERIN</v>
          </cell>
        </row>
        <row r="292">
          <cell r="B292" t="str">
            <v>BREAKER 3X200A  220 V, 50 KA INDUSTRIAL ABB, SIEMENS, EATON O MERLIN GERIN</v>
          </cell>
        </row>
        <row r="293">
          <cell r="B293" t="str">
            <v>BREAKER 3X15A 220 V, 25 KA INDUSTRIAL ABB, SIEMENS, EATON O MERLIN GERIN</v>
          </cell>
        </row>
        <row r="294">
          <cell r="B294" t="str">
            <v>BREAKER 3X20A 220 V, 25 KA INDUSTRIAL ABB, SIEMENS, EATON O MERLIN GERIN</v>
          </cell>
        </row>
        <row r="295">
          <cell r="B295" t="str">
            <v>BREAKER 3X225A  220 V, 50 KA INDUSTRIAL ABB, SIEMENS, EATON O MERLIN GERIN</v>
          </cell>
        </row>
        <row r="296">
          <cell r="B296" t="str">
            <v>BREAKER 3X250A  220 V, 50 KA INDUSTRIAL ABB, SIEMENS, EATON O MERLIN GERIN</v>
          </cell>
        </row>
        <row r="297">
          <cell r="B297" t="str">
            <v>BREAKER 3X300A  220 V,  85 KA INDUSTRIAL ABB, SIEMENS, EATON O MERLIN GERIN</v>
          </cell>
        </row>
        <row r="298">
          <cell r="B298" t="str">
            <v>BREAKER 3X30A   220 V, 25 KA INDUSTRIAL ABB, SIEMENS, EATON O MERLIN GERIN</v>
          </cell>
        </row>
        <row r="299">
          <cell r="B299" t="str">
            <v>BREAKER 3X350A  220 V, 85 KA INDUSTRIAL ABB, SIEMENS, EATON O MERLIN GERIN</v>
          </cell>
        </row>
        <row r="300">
          <cell r="B300" t="str">
            <v>BREAKER 3X400A  220 V, 85 KA INDUSTRIAL ABB, SIEMENS, EATON O MERLIN GERIN</v>
          </cell>
        </row>
        <row r="301">
          <cell r="B301" t="str">
            <v>BREAKER 3X40A  220 V, 25 KA INDUSTRIAL ABB, SIEMENS, EATON O MERLIN GERIN</v>
          </cell>
        </row>
        <row r="302">
          <cell r="B302" t="str">
            <v>BREAKER 3X500A  220 V, 85 KA INDUSTRIAL ABB, SIEMENS, EATON O MERLIN GERIN</v>
          </cell>
        </row>
        <row r="303">
          <cell r="B303" t="str">
            <v>BREAKER 3X50A  220 V, 25 KA INDUSTRIAL ABB, SIEMENS, EATON O MERLIN GERIN</v>
          </cell>
        </row>
        <row r="304">
          <cell r="B304" t="str">
            <v>BREAKER 3X60A 220 V,  25 KA INDUSTRIAL ABB, SIEMENS, EATON O MERLIN GERIN</v>
          </cell>
        </row>
        <row r="305">
          <cell r="B305" t="str">
            <v>BREAKER 3X630A  220 V, 85 KA INDUSTRIAL ABB, SIEMENS, EATON O MERLIN GERIN</v>
          </cell>
        </row>
        <row r="306">
          <cell r="B306" t="str">
            <v>BREAKER 3X70A  220 V, 25 KA INDUSTRIAL ABB, SIEMENS, EATON O MERLIN GERIN</v>
          </cell>
        </row>
        <row r="307">
          <cell r="B307" t="str">
            <v>BREAKER 3X80A  220 V, 25 KA INDUSTRIAL ABB, SIEMENS, EATON O MERLIN GERIN</v>
          </cell>
        </row>
        <row r="308">
          <cell r="B308" t="str">
            <v>BREAKER TIPO RIEL(MINIBREAKER) MONOPOLAR 1X0,5 A; 1A; 1,6A;2A;3A;4A;6A; 120V. ICC=20KA</v>
          </cell>
        </row>
        <row r="309">
          <cell r="B309" t="str">
            <v>BREAKER TIPO RIEL(MINIBREAKER) MONOPOLAR 1X10A; 16A; 20A;25A;32A; 120V.ICC=10KA</v>
          </cell>
        </row>
        <row r="310">
          <cell r="B310" t="str">
            <v>BREAKER TIPO RIEL(MINIBREAKER) MONOPOLAR 1X40A;  120V.ICC=20KA</v>
          </cell>
        </row>
        <row r="311">
          <cell r="B311" t="str">
            <v>BREAKER TIPO RIEL(MINIBREAKER) MONOPOLAR 1X50A;  120V.ICC=20KA</v>
          </cell>
        </row>
        <row r="312">
          <cell r="B312" t="str">
            <v>BREAKER TIPO RIEL(MINIBREAKER) MONOPOLAR 1X63A;  120V.ICC=20KA</v>
          </cell>
        </row>
        <row r="313">
          <cell r="B313" t="str">
            <v>BREAKER TIPO RIEL(MINIBREAKER) BIPOLAR 2X0,5 A; 1A; 1,6A;2A;3A;4A;6A; 220V. ICC=20KA</v>
          </cell>
        </row>
        <row r="314">
          <cell r="B314" t="str">
            <v>BREAKER TIPO RIEL(MINIBREAKER) BIPOLAR 2X10A; 16A; 20A;25A;32A; 220V.ICC=20KA</v>
          </cell>
        </row>
        <row r="315">
          <cell r="B315" t="str">
            <v>BREAKER TIPO RIEL(MINIBREAKER) BIPOLAR 2X40A;  220V.ICC=20KA</v>
          </cell>
        </row>
        <row r="316">
          <cell r="B316" t="str">
            <v>BREAKER TIPO RIEL(MINIBREAKER) BIPOLAR 2X50A;  220V.ICC=20KA</v>
          </cell>
        </row>
        <row r="317">
          <cell r="B317" t="str">
            <v>BREAKER TIPO RIEL(MINIBREAKER) BIPOLAR 2X63A;  220V.ICC=20KA</v>
          </cell>
        </row>
        <row r="318">
          <cell r="B318" t="str">
            <v>BREAKER TIPO RIEL(MINIBREAKER) TRIPOLAR 3X1A; 2A;3A;4A; 220V. ICC=20KA</v>
          </cell>
        </row>
        <row r="319">
          <cell r="B319" t="str">
            <v>BREAKER TIPO RIEL(MINIBREAKER) TRIPOLAR 3X6A; 10A;16A;20A; 25A; 32A.220V. ICC=20KA</v>
          </cell>
        </row>
        <row r="320">
          <cell r="B320" t="str">
            <v>BREAKER TIPO RIEL(MINIBREAKER) TRIPOLAR 3X40A;  220V.ICC=20KA</v>
          </cell>
        </row>
        <row r="321">
          <cell r="B321" t="str">
            <v>BREAKER TIPO RIEL(MINIBREAKER) TRIPOLAR 3X50A;  220V.ICC=20KA</v>
          </cell>
        </row>
        <row r="322">
          <cell r="B322" t="str">
            <v>BREAKER TIPO RIEL(MINIBREAKER) TRIPOLAR 3X63A;  220V.ICC=20KA</v>
          </cell>
        </row>
        <row r="323">
          <cell r="B323" t="str">
            <v>BREAKER TIPO RIEL(MINIBREAKER) TRIPOLAR 3X80A;  220V.ICC=20KA</v>
          </cell>
        </row>
        <row r="324">
          <cell r="B324" t="str">
            <v>BREAKER TIPO RIEL(MINIBREAKER) TRIPOLAR 3X100A;  220V.ICC=20KA</v>
          </cell>
        </row>
        <row r="325">
          <cell r="B325" t="str">
            <v>BREAKER TIPO RIEL(MINIBREAKER) TRIPOLAR 3X125A;  220V.ICC=20KA</v>
          </cell>
        </row>
        <row r="326">
          <cell r="B326" t="str">
            <v>BREAKER TIPO RIEL(MINIBREAKER) TETRAPOLAR 4X1A; 2A;3A;4A; 220V. ICC=20KA</v>
          </cell>
        </row>
        <row r="327">
          <cell r="B327" t="str">
            <v>BREAKER TIPO RIEL(MINIBREAKER) TETRAPOLAR 4X6A; 10A;16A;20A; 25A; 32A.220V. ICC=20KA</v>
          </cell>
        </row>
        <row r="328">
          <cell r="B328" t="str">
            <v>BREAKER TIPO RIEL(MINIBREAKER) TETRAPOLAR 4X40A;  220V.ICC=20KA</v>
          </cell>
        </row>
        <row r="329">
          <cell r="B329" t="str">
            <v>BREAKER TIPO RIEL(MINIBREAKER) TETRAPOLAR 4X50A;  220V.ICC=20KA</v>
          </cell>
        </row>
        <row r="330">
          <cell r="B330" t="str">
            <v>BREAKER TIPO RIEL(MINIBREAKER) TETRAPOLAR 4X63A;  220V.ICC=20KA</v>
          </cell>
        </row>
        <row r="331">
          <cell r="B331" t="str">
            <v>BREAKER - SOR RELE DE APERTURA PARA USO CON INTERRUPTOR T4,T5,T6. 220-240Vac/220-250Vdc</v>
          </cell>
        </row>
        <row r="332">
          <cell r="B332" t="str">
            <v>BREAKER- RELÈ MONITOR TRIFÀSICO CON RETARDO DE DISPARO. POR SECUENCIA DE FASE, PÈRDIDA DE FASE, SUB Y SOBRETENSIÓN (UMBRAL AJUSTABLE). TENSIÒN DE MEDIDA Y ALIMENTACIÓN DE CONTROL 3X160-300VAC. Nª DE CONTACTOS 2 C/O.</v>
          </cell>
        </row>
        <row r="333">
          <cell r="B333" t="str">
            <v>Platinas de cobre 800 A para fijación de cable   al breaker totalizador.</v>
          </cell>
        </row>
        <row r="334">
          <cell r="B334" t="str">
            <v>BREAKER-BARRAS DE COBRE 3X1000 A.CONEXION DE CABLES AL BREAKER.</v>
          </cell>
        </row>
        <row r="335">
          <cell r="B335" t="str">
            <v>BREAKER-BARRAS DE COBRE 3X800 A.CONEXION DE CABLES AL BREAKER.</v>
          </cell>
        </row>
        <row r="336">
          <cell r="B336" t="str">
            <v>BREAKER-BARRAS DE COBRE 3X500 A.CONEXION DE CABLES AL BREAKER.</v>
          </cell>
        </row>
        <row r="337">
          <cell r="B337" t="str">
            <v>BREAKER-BARRAS DE COBRE 3X300 A.CONEXION DE CABLES AL BREAKER.</v>
          </cell>
        </row>
        <row r="338">
          <cell r="B338" t="str">
            <v>BREAKER ELEMENTOS DE FIJACIÒN. TORNILLOS Y DEMÀS.</v>
          </cell>
        </row>
        <row r="339">
          <cell r="B339" t="str">
            <v>BREAKER TOTALIZADOR  INDUSTRIAL 3X800A  220 V. AJUSTABLE TÈRMICA Y MAGNÈTICAMENTE (560-800A),  Icu=70 KA. Ics=100%Icu.MARCA ABB (REFERENCIA T6N  800 TMA 800-8000 3P FF), SIEMENS, EATON O MERLIN GERIN.</v>
          </cell>
        </row>
        <row r="340">
          <cell r="B340" t="str">
            <v>BREAKER TOTALIZADOR  INDUSTRIAL 3X800A  220 V. AJUSTABLE TÈRMICA Y MAGNÈTICAMENTE (560-800A),  Icu=85KA. Ics=100%Icu.MARCA ABB (REFERENCIA T6S  800 TMA 800-8000 3P FF), SIEMENS, EATON O MERLIN GERIN.</v>
          </cell>
        </row>
        <row r="341">
          <cell r="B341" t="str">
            <v>BREAKER TOTALIZADOR  INDUSTRIAL 3X800A  220 V. AJUSTABLE TÈRMICA Y MAGNÈTICAMENTE (560-800A),  Icu=100KA. Ics=100%Icu.MARCA ABB (REFERENCIA T6H  800 TMA 800-8000 3P FF), SIEMENS, EATON O MERLIN GERIN.</v>
          </cell>
        </row>
        <row r="342">
          <cell r="B342" t="str">
            <v>BREAKER TOTALIZADOR  INDUSTRIAL 3X630A  220 V. AJUSTABLE TÈRMICA Y MAGNÈTICAMENTE (441-630A),  Icu=70 KA. Ics=100%Icu.MARCA ABB (REFERENCIA T6N  630 TMA 630-6300 3P FF), SIEMENS, EATON O MERLIN GERIN.</v>
          </cell>
        </row>
        <row r="343">
          <cell r="B343" t="str">
            <v>BREAKER TOTALIZADOR  INDUSTRIAL 3X630A  220 V. AJUSTABLE TÈRMICA Y MAGNÈTICAMENTE (441-630A),  Icu=85KA. Ics=100%Icu.MARCA ABB (REFERENCIA T6S  630 TMA 630-6300 3P FF), SIEMENS, EATON O MERLIN GERIN.</v>
          </cell>
        </row>
        <row r="344">
          <cell r="B344" t="str">
            <v>BREAKER TOTALIZADOR  INDUSTRIAL 3X630A  220 V. AJUSTABLE TÈRMICA Y MAGNÈTICAMENTE (441-630A),  Icu=100KA. Ics=100%Icu.MARCA ABB (REFERENCIA T6H  630 TMA 630-6300 3P FF), SIEMENS, EATON O MERLIN GERIN.</v>
          </cell>
        </row>
        <row r="345">
          <cell r="B345" t="str">
            <v>BREAKER TOTALIZADOR  INDUSTRIAL 3X500A  220 V. AJUSTABLE TÈRMICA Y MAGNÈTICAMENTE (350-500A),  Icu=70 KA. Ics=100%Icu.MARCA ABB (REFERENCIA T5N  630 TMA 500-5000 3P FF), SIEMENS, EATON O MERLIN GERIN.</v>
          </cell>
        </row>
        <row r="346">
          <cell r="B346" t="str">
            <v>BREAKER TOTALIZADOR  INDUSTRIAL 3X500A  220 V. AJUSTABLE TÈRMICA Y MAGNÈTICAMENTE (350-500A),  Icu=85KA. Ics=100%Icu.MARCA ABB (REFERENCIA T5S  630 TMA 500-5000 3P FF), SIEMENS, EATON O MERLIN GERIN.</v>
          </cell>
        </row>
        <row r="347">
          <cell r="B347" t="str">
            <v>BREAKER TOTALIZADOR  INDUSTRIAL 3X500A  220 V. AJUSTABLE TÈRMICA Y MAGNÈTICAMENTE (350-500A),  Icu=100KA. Ics=100%Icu.MARCA ABB (REFERENCIA T5H  630 TMA 500-50003P FF), SIEMENS, EATON O MERLIN GERIN.</v>
          </cell>
        </row>
        <row r="348">
          <cell r="B348" t="str">
            <v>BREAKER TOTALIZADOR  INDUSTRIAL 3X400A  220 V. AJUSTABLE TÈRMICA Y MAGNÈTICAMENTE (280-400A),  Icu=70 KA. Ics=100%Icu.MARCA ABB (REFERENCIA T5N  400 TMA 400-4000 3P FF), SIEMENS, EATON O MERLIN GERIN.</v>
          </cell>
        </row>
        <row r="349">
          <cell r="B349" t="str">
            <v>BREAKER TOTALIZADOR  INDUSTRIAL 3X400A  220 V. AJUSTABLE TÈRMICA Y MAGNÈTICAMENTE (280-400A),  Icu=85KA. Ics=100%Icu.MARCA ABB (REFERENCIA T5S  400 TMA 400-4000 3P FF), SIEMENS, EATON O MERLIN GERIN.</v>
          </cell>
        </row>
        <row r="350">
          <cell r="B350" t="str">
            <v>BREAKER TOTALIZADOR  INDUSTRIAL 3X400A  220 V. AJUSTABLE TÈRMICA Y MAGNÈTICAMENTE (280-400A),  Icu=100KA. Ics=100%Icu.MARCA ABB (REFERENCIA T5H  400 TMA 400-40003P FF), SIEMENS, EATON O MERLIN GERIN.</v>
          </cell>
        </row>
        <row r="351">
          <cell r="B351" t="str">
            <v>BREAKER TOTALIZADOR  INDUSTRIAL 3X320A  220 V. AJUSTABLE TÈRMICA Y MAGNÈTICAMENTE (224-320A),  Icu=100KA. Ics=100%Icu.MARCA ABB (REFERENCIA T5H  320 TMA 320-3200 3P FF), SIEMENS, EATON O MERLIN GERIN.</v>
          </cell>
        </row>
        <row r="352">
          <cell r="B352" t="str">
            <v>BREAKER TOTALIZADOR  INDUSTRIAL 3X250A  220 V. AJUSTABLE TÈRMICA Y MAGNÈTICAMENTE (175-250A),  Icu=100KA. Ics=100%Icu.MARCA ABB (REFERENCIA XT4H 250 TMA 250-2500 3P FF), SIEMENS, EATON O MERLIN GERIN.</v>
          </cell>
        </row>
        <row r="353">
          <cell r="B353" t="str">
            <v>BREAKER TOTALIZADOR  INDUSTRIAL 3X200A  220 V. AJUSTABLE TÈRMICA Y MAGNÈTICAMENTE (140-200A),  Icu=100KA. Ics=100%Icu.MARCA ABB (REFERENCIA XT4H 250 TMA 200-2000 3P FF), SIEMENS, EATON O MERLIN GERIN.</v>
          </cell>
        </row>
        <row r="354">
          <cell r="B354" t="str">
            <v>BREAKER TOTALIZADOR  INDUSTRIAL 3X160A  220 V. AJUSTABLE TÈRMICA Y MAGNÈTICAMENTE (112-160A),  Icu=100KA. Ics=100%Icu.MARCA ABB (REFERENCIA XT2H 160 TMA 160-1600 3P FF), SIEMENS, EATON O MERLIN GERIN.</v>
          </cell>
        </row>
        <row r="355">
          <cell r="B355" t="str">
            <v>BREAKER TOTALIZADOR  INDUSTRIAL 3X125A  220 V. AJUSTABLE TÈRMICA Y MAGNÈTICAMENTE (87,5-125A),  Icu=100KA. Ics=100%Icu.MARCA ABB (REFERENCIA XT2H 160 TMA 125-1250 3P FF), SIEMENS, EATON O MERLIN GERIN.</v>
          </cell>
        </row>
        <row r="356">
          <cell r="B356" t="str">
            <v>BREAKER TOTALIZADOR  INDUSTRIAL 3X100A  220 V. AJUSTABLE TÈRMICA Y MAGNÈTICAMENTE (70-100A),  Icu=100KA. Ics=100%Icu.MARCA ABB (REFERENCIA XT2H 160 TMA 100-1000 3P FF), SIEMENS, EATON O MERLIN GERIN.</v>
          </cell>
        </row>
        <row r="357">
          <cell r="B357" t="str">
            <v>BREAKER 3X15A  220 V,  25 KA INDUSTRIAL ABB(A1B 125 TMF 15-300 3P FF), SIEMENS, EATON O MERLIN GERIN</v>
          </cell>
        </row>
        <row r="358">
          <cell r="B358" t="str">
            <v>BREAKER 3X15A  220 V,  100 KA INDUSTRIAL ABB(A1N 125 TMF 15-300 3P FF), SIEMENS, EATON O MERLIN GERIN</v>
          </cell>
        </row>
        <row r="359">
          <cell r="B359" t="str">
            <v>BREAKER 3X20A  220 V,  25 KA INDUSTRIAL ABB(A1B 125 TMF 20-300 3P FF), SIEMENS, EATON O MERLIN GERIN</v>
          </cell>
        </row>
        <row r="360">
          <cell r="B360" t="str">
            <v>BREAKER 3X20A  220 V,  100 KA INDUSTRIAL ABB(A1N 125 TMF 20-300 3P FF), SIEMENS, EATON O MERLIN GERIN</v>
          </cell>
        </row>
        <row r="361">
          <cell r="B361" t="str">
            <v>BREAKER 3X30A  220 V,  25 KA INDUSTRIAL ABB(A1B 125 TMF 30-300 3P FF), SIEMENS, EATON O MERLIN GERIN</v>
          </cell>
        </row>
        <row r="362">
          <cell r="B362" t="str">
            <v>BREAKER 3X30A  220 V,  100 KA INDUSTRIAL ABB(A1N 125 TMF 30-300 3P FF), SIEMENS, EATON O MERLIN GERIN</v>
          </cell>
        </row>
        <row r="363">
          <cell r="B363" t="str">
            <v>BREAKER 3X40A  220 V,  25 KA INDUSTRIAL ABB(A1B 125 TMF 40-400 3P FF), SIEMENS, EATON O MERLIN GERIN</v>
          </cell>
        </row>
        <row r="364">
          <cell r="B364" t="str">
            <v>BREAKER 3X40A  220 V,  100 KA INDUSTRIAL ABB(A1N 125 TMF 40-400 3P FF), SIEMENS, EATON O MERLIN GERIN</v>
          </cell>
        </row>
        <row r="365">
          <cell r="B365" t="str">
            <v>BREAKER 3X50A  220 V,  25 KA INDUSTRIAL ABB(A1B 125 TMF 50-500 3P FF), SIEMENS, EATON O MERLIN GERIN</v>
          </cell>
        </row>
        <row r="366">
          <cell r="B366" t="str">
            <v>BREAKER 3X50A  220 V,  100 KA INDUSTRIAL ABB(A1N 125 TMF 50-500 3P FF), SIEMENS, EATON O MERLIN GERIN</v>
          </cell>
        </row>
        <row r="367">
          <cell r="B367" t="str">
            <v>BREAKER 3X60A  220 V,  25 KA INDUSTRIAL ABB(A1B 125 TMF 60-600 3P FF), SIEMENS, EATON O MERLIN GERIN</v>
          </cell>
        </row>
        <row r="368">
          <cell r="B368" t="str">
            <v>BREAKER 3X60A  220 V,  100 KA INDUSTRIAL ABB(A1N 125 TMF 60-600 3P FF), SIEMENS, EATON O MERLIN GERIN</v>
          </cell>
        </row>
        <row r="369">
          <cell r="B369" t="str">
            <v>BREAKER 3X70A  220 V,  25 KA INDUSTRIAL ABB(A1B 125 TMF 70-700 3P FF), SIEMENS, EATON O MERLIN GERIN</v>
          </cell>
        </row>
        <row r="370">
          <cell r="B370" t="str">
            <v>BREAKER 3X70A  220 V,  100 KA INDUSTRIAL ABB(A1N 125 TMF 70-700 3P FF), SIEMENS, EATON O MERLIN GERIN</v>
          </cell>
        </row>
        <row r="371">
          <cell r="B371" t="str">
            <v>BREAKER 3X80A  220 V,  25 KA INDUSTRIAL ABB(A1B 125 TMF 80-800 3P FF), SIEMENS, EATON O MERLIN GERIN</v>
          </cell>
        </row>
        <row r="372">
          <cell r="B372" t="str">
            <v>BREAKER 3X80A  220 V,  100 KA INDUSTRIAL ABB(A1N 125 TMF 80-800 3P FF), SIEMENS, EATON O MERLIN GERIN</v>
          </cell>
        </row>
        <row r="373">
          <cell r="B373" t="str">
            <v>BREAKER 3X100A  220 V,  25 KA INDUSTRIAL ABB(A1B 125 TMF 100-1000 3P FF), SIEMENS, EATON O MERLIN GERIN</v>
          </cell>
        </row>
        <row r="374">
          <cell r="B374" t="str">
            <v>BREAKER 3X100A  220 V,  100 KA INDUSTRIAL ABB(A1N 125 TMF 100-1000 3P FF), SIEMENS, EATON O MERLIN GERIN</v>
          </cell>
        </row>
        <row r="375">
          <cell r="B375" t="str">
            <v>BREAKER 3X125A  220 V,  25 KA INDUSTRIAL ABB(A1B 125 TMF 125-1250 3P FF), SIEMENS, EATON O MERLIN GERIN</v>
          </cell>
        </row>
        <row r="376">
          <cell r="B376" t="str">
            <v>BREAKER 3X125A  220 V,  100 KA INDUSTRIAL ABB(A1N 125 TMF 125-1250 3P FF), SIEMENS, EATON O MERLIN GERIN</v>
          </cell>
        </row>
        <row r="377">
          <cell r="B377" t="str">
            <v>BREAKER 3X150A  220 V,  85 KA INDUSTRIAL ABB(A2N 250 TMF 150-1500 3P FF), SIEMENS, EATON O MERLIN GERIN</v>
          </cell>
        </row>
        <row r="378">
          <cell r="B378" t="str">
            <v>BREAKER 3X160A  220 V,  85 KA INDUSTRIAL ABB(A2N 250 TMF 160-1600 3P FF), SIEMENS, EATON O MERLIN GERIN</v>
          </cell>
        </row>
        <row r="379">
          <cell r="B379" t="str">
            <v>BREAKER 3X175A  220 V,  85 KA INDUSTRIAL ABB(A2N 250 TMF 150-1750 3P FF), SIEMENS, EATON O MERLIN GERIN</v>
          </cell>
        </row>
        <row r="380">
          <cell r="B380" t="str">
            <v>BREAKER 3X200A  220 V,  85 KA INDUSTRIAL ABB(A2N 250 TMF 200-2000 3P FF), SIEMENS, EATON O MERLIN GERIN</v>
          </cell>
        </row>
        <row r="381">
          <cell r="B381" t="str">
            <v>BREAKER 3X225A  220 V,  85 KA INDUSTRIAL ABB(A2N 250 TMF 225-2250 3P FF), SIEMENS, EATON O MERLIN GERIN</v>
          </cell>
        </row>
        <row r="382">
          <cell r="B382" t="str">
            <v>BREAKER 3X250A  220 V,  85 KA INDUSTRIAL ABB(A2N 250 TMF 250-2500 3P FF), SIEMENS, EATON O MERLIN GERIN</v>
          </cell>
        </row>
        <row r="383">
          <cell r="B383" t="str">
            <v>BREAKER 3X320A  220 V,  85 KA INDUSTRIAL ABB(A3N 400 TMF 320-3200 3P FF), SIEMENS, EATON O MERLIN GERIN</v>
          </cell>
        </row>
        <row r="384">
          <cell r="B384" t="str">
            <v>BREAKER 3X400A  220 V,  85 KA INDUSTRIAL ABB(A3N 400 TMF 400-4000 3P FF), SIEMENS, EATON O MERLIN GERIN</v>
          </cell>
        </row>
        <row r="385">
          <cell r="B385" t="str">
            <v>BREAKER 3X500A  220 V,  85 KA INDUSTRIAL ABB(A3N 630 TMF 500-5000 3P FF), SIEMENS, EATON O MERLIN GERIN</v>
          </cell>
        </row>
        <row r="386">
          <cell r="B386" t="str">
            <v>BREAKER 3X630A  220 V,  85 KA INDUSTRIAL ABB(A3N 630 ELT-LI In=630  3P FF-CON RELÈ ELECTRÒNICO CON PROTECCIÒN DE SOBRECARGA), SIEMENS, EATON O MERLIN GERIN</v>
          </cell>
        </row>
        <row r="387">
          <cell r="B387" t="str">
            <v>BREAKER TOTALIZADOR  INDUSTRIAL 3X600A  220 V. TERMOMAGNÉTICO, Icu=85KA. Ics=50%Icu.MARCA SCHNEIDER ELECTRIC (REFERENCIA EZC630N3600), SIEMENS, EATON O ABB.</v>
          </cell>
        </row>
        <row r="388">
          <cell r="B388" t="str">
            <v>BREAKER TOTALIZADOR  INDUSTRIAL 3X500A  220 V. TERMOMAGNÉTICO, Icu=85KA. Ics=50%Icu.MARCA SCHNEIDER ELECTRIC (REFERENCIA EZC630N3500), SIEMENS, EATON O ABB.</v>
          </cell>
        </row>
        <row r="389">
          <cell r="B389" t="str">
            <v>BREAKER TOTALIZADOR  INDUSTRIAL 3X400A  220 V. TERMOMAGNÉTICO, Icu=85KA. Ics=50%Icu.MARCA SCHNEIDER ELECTRIC (REFERENCIA EZC400N3400), SIEMENS, EATON O ABB.</v>
          </cell>
        </row>
        <row r="390">
          <cell r="B390" t="str">
            <v>BREAKER TOTALIZADOR  INDUSTRIAL 3X350A  220 V. TERMOMAGNÉTICO, Icu=85KA. Ics=50%Icu.MARCA SCHNEIDER ELECTRIC (REFERENCIA EZC400N3350), SIEMENS, EATON O ABB.</v>
          </cell>
        </row>
        <row r="391">
          <cell r="B391" t="str">
            <v>BREAKER TOTALIZADOR  INDUSTRIAL 3X300A  220 V. TERMOMAGNÉTICO, Icu=85KA. Ics=50%Icu.MARCA SCHNEIDER ELECTRIC (REFERENCIA EZC400N3300), SIEMENS, EATON O ABB.</v>
          </cell>
        </row>
        <row r="392">
          <cell r="B392" t="str">
            <v>BREAKER TOTALIZADOR  INDUSTRIAL 3X250A  220 V. TERMOMAGNÉTICO, Icu=50KA. Ics=50%Icu.MARCA SCHNEIDER ELECTRIC (REFERENCIA EZC250N3250), SIEMENS, EATON O ABB.</v>
          </cell>
        </row>
        <row r="393">
          <cell r="B393" t="str">
            <v>BREAKER TOTALIZADOR  INDUSTRIAL 3X225A  220 V. TERMOMAGNÉTICO, Icu=50KA. Ics=50%Icu.MARCA SCHNEIDER ELECTRIC (REFERENCIA EZC250N3225), SIEMENS, EATON O ABB.</v>
          </cell>
        </row>
        <row r="394">
          <cell r="B394" t="str">
            <v>BREAKER TOTALIZADOR  INDUSTRIAL 3X200A  220 V. TERMOMAGNÉTICO, Icu=50KA. Ics=50%Icu.MARCA SCHNEIDER ELECTRIC (REFERENCIA EZC250N3200), SIEMENS, EATON O ABB.</v>
          </cell>
        </row>
        <row r="395">
          <cell r="B395" t="str">
            <v>BREAKER TOTALIZADOR  INDUSTRIAL 3X175A  220 V. TERMOMAGNÉTICO, Icu=50KA. Ics=50%Icu.MARCA SCHNEIDER ELECTRIC (REFERENCIA EZC250N3175), SIEMENS, EATON O ABB.</v>
          </cell>
        </row>
        <row r="396">
          <cell r="B396" t="str">
            <v>BREAKER TOTALIZADOR  INDUSTRIAL 3X160A  220 V. TERMOMAGNÉTICO, Icu=50KA. Ics=50%Icu.MARCA SCHNEIDER ELECTRIC (REFERENCIA EZC250N3160), SIEMENS, EATON O ABB.</v>
          </cell>
        </row>
        <row r="397">
          <cell r="B397" t="str">
            <v>BREAKER TOTALIZADOR  INDUSTRIAL 3X150A  220 V. TERMOMAGNÉTICO, Icu=50KA. Ics=50%Icu.MARCA SCHNEIDER ELECTRIC (REFERENCIA EZC250N3150), SIEMENS, EATON O ABB.</v>
          </cell>
        </row>
        <row r="398">
          <cell r="B398" t="str">
            <v>BREAKER TOTALIZADOR  INDUSTRIAL 3X125A  220 V. TERMOMAGNÉTICO, Icu=50KA. Ics=50%Icu.MARCA SCHNEIDER ELECTRIC (REFERENCIA EZC250N3125), SIEMENS, EATON O ABB.</v>
          </cell>
        </row>
        <row r="399">
          <cell r="B399" t="str">
            <v>BREAKER TOTALIZADOR  INDUSTRIAL 3X100A  220 V. TERMOMAGNÉTICO, Icu=25KA. Ics=50%Icu.MARCA SCHNEIDER ELECTRIC (REFERENCIA EZC100N3100), SIEMENS, EATON O ABB.</v>
          </cell>
        </row>
        <row r="400">
          <cell r="B400" t="str">
            <v>BREAKER TOTALIZADOR  INDUSTRIAL 3X80A  220 V. TERMOMAGNÉTICO, Icu=25KA. Ics=50%Icu.MARCA SCHNEIDER ELECTRIC (REFERENCIA EZC100N3080), SIEMENS, EATON O ABB.</v>
          </cell>
        </row>
        <row r="401">
          <cell r="B401" t="str">
            <v>BREAKER TOTALIZADOR  INDUSTRIAL 3X60A  220 V. TERMOMAGNÉTICO, Icu=25KA. Ics=50%Icu.MARCA SCHNEIDER ELECTRIC (REFERENCIA EZC100N3060), SIEMENS, EATON O ABB.</v>
          </cell>
        </row>
        <row r="402">
          <cell r="B402" t="str">
            <v>BREAKER TOTALIZADOR  INDUSTRIAL 3X50A  220 V. TERMOMAGNÉTICO, Icu=25KA. Ics=50%Icu.MARCA SCHNEIDER ELECTRIC (REFERENCIA EZC100N3050), SIEMENS, EATON O ABB.</v>
          </cell>
        </row>
        <row r="403">
          <cell r="B403" t="str">
            <v>BREAKER TOTALIZADOR  INDUSTRIAL 3X40A  220 V. TERMOMAGNÉTICO, Icu=25KA. Ics=50%Icu.MARCA SCHNEIDER ELECTRIC (REFERENCIA EZC100N3040), SIEMENS, EATON O ABB.</v>
          </cell>
        </row>
        <row r="404">
          <cell r="B404" t="str">
            <v>BREAKER TOTALIZADOR  INDUSTRIAL 3X30A  220 V. TERMOMAGNÉTICO, Icu=25KA. Ics=50%Icu.MARCA SCHNEIDER ELECTRIC (REFERENCIA EZC100N3030), SIEMENS, EATON O ABB.</v>
          </cell>
        </row>
        <row r="405">
          <cell r="B405" t="str">
            <v>BREAKER TOTALIZADOR  INDUSTRIAL 3X20A  220 V. TERMOMAGNÉTICO, Icu=25KA. Ics=50%Icu.MARCA SCHNEIDER ELECTRIC (REFERENCIA EZC100N3020), SIEMENS, EATON O ABB.</v>
          </cell>
        </row>
        <row r="406">
          <cell r="B406" t="str">
            <v>BREAKER TOTALIZADOR  INDUSTRIAL 3X600A  220 V. AJUSTABLE TÈRMICA Y MAGNÈTICAMENTE (420-600A),  Icu=40KA. Ics=100%Icu.MARCA SCHNEIDER ELECTRIC (REFERENCIA LV563306), SIEMENS, EATON O ABB.</v>
          </cell>
        </row>
        <row r="407">
          <cell r="B407" t="str">
            <v>BREAKER TOTALIZADOR  INDUSTRIAL 3X500A  220 V. AJUSTABLE TÈRMICA Y MAGNÈTICAMENTE (350-500A),  Icu=40KA. Ics=100%Icu.MARCA SCHNEIDER ELECTRIC (REFERENCIA LV563305), SIEMENS, EATON O ABB.</v>
          </cell>
        </row>
        <row r="408">
          <cell r="B408" t="str">
            <v>BREAKER TOTALIZADOR  INDUSTRIAL 3X400A  220 V. AJUSTABLE TÈRMICA Y MAGNÈTICAMENTE (280-400A),  Icu=40KA. Ics=100%Icu.MARCA SCHNEIDER ELECTRIC (REFERENCIA LV540306), SIEMENS, EATON O ABB.</v>
          </cell>
        </row>
        <row r="409">
          <cell r="B409" t="str">
            <v>BREAKER TOTALIZADOR  INDUSTRIAL 3X320A  220 V. AJUSTABLE TÈRMICA Y MAGNÈTICAMENTE (224-350A),  Icu=40KA. Ics=100%Icu.MARCA SCHNEIDER ELECTRIC (REFERENCIA LV540305), SIEMENS, EATON O ABB.</v>
          </cell>
        </row>
        <row r="410">
          <cell r="B410" t="str">
            <v>BREAKER TOTALIZADOR  INDUSTRIAL 3X250A  220 V. AJUSTABLE TÈRMICA Y MAGNÈTICAMENTE (175-250A),  Icu=40KA. Ics=100%Icu.MARCA SCHNEIDER ELECTRIC (REFERENCIA LV525303), SIEMENS, EATON O ABB.</v>
          </cell>
        </row>
        <row r="411">
          <cell r="B411" t="str">
            <v>BREAKER TOTALIZADOR  INDUSTRIAL 3X200A  220 V. AJUSTABLE TÈRMICA Y MAGNÈTICAMENTE (140-200A),  Icu=40KA. Ics=100%Icu.MARCA SCHNEIDER ELECTRIC (REFERENCIA LV525302), SIEMENS, EATON O ABB.</v>
          </cell>
        </row>
        <row r="412">
          <cell r="B412" t="str">
            <v>BREAKER TOTALIZADOR  INDUSTRIAL 3X160A  220 V. AJUSTABLE TÈRMICA Y MAGNÈTICAMENTE (112-160A),  Icu=40KA. Ics=100%Icu.MARCA SCHNEIDER ELECTRIC (REFERENCIA LV516303), SIEMENS, EATON O ABB.</v>
          </cell>
        </row>
        <row r="413">
          <cell r="B413" t="str">
            <v>BREAKER TOTALIZADOR  INDUSTRIAL 3X125A  220 V. AJUSTABLE TÈRMICA Y MAGNÈTICAMENTE (87-125A),  Icu=40KA. Ics=100%Icu.MARCA SCHNEIDER ELECTRIC (REFERENCIA LV516302), SIEMENS, EATON O ABB.</v>
          </cell>
        </row>
        <row r="414">
          <cell r="B414" t="str">
            <v>BREAKER TOTALIZADOR  INDUSTRIAL 3X100A  220 V. AJUSTABLE TÈRMICA Y MAGNÈTICAMENTE (70-100A),  Icu=40KA. Ics=100%Icu.MARCA SCHNEIDER ELECTRIC (REFERENCIA LV510307), SIEMENS, EATON O ABB.</v>
          </cell>
        </row>
        <row r="415">
          <cell r="B415" t="str">
            <v>BREAKER TOTALIZADOR  INDUSTRIAL 3X80A  220 V. AJUSTABLE TÈRMICA Y MAGNÈTICAMENTE (56-80A),  Icu=40KA. Ics=100%Icu.MARCA SCHNEIDER ELECTRIC (REFERENCIA LV510306), SIEMENS, EATON O ABB.</v>
          </cell>
        </row>
        <row r="416">
          <cell r="B416" t="str">
            <v>BREAKER TOTALIZADOR  INDUSTRIAL 3X63A  220 V. AJUSTABLE TÈRMICA Y MAGNÈTICAMENTE (44-63A),  Icu=40KA. Ics=100%Icu.MARCA SCHNEIDER ELECTRIC (REFERENCIA LV510305), SIEMENS, EATON O ABB.</v>
          </cell>
        </row>
        <row r="417">
          <cell r="B417" t="str">
            <v>BREAKER TOTALIZADOR  INDUSTRIAL 3X50A  220 V. AJUSTABLE TÈRMICA Y MAGNÈTICAMENTE (22-32A),  Icu=40KA. Ics=100%Icu.MARCA SCHNEIDER ELECTRIC (REFERENCIA LV516304), SIEMENS, EATON O ABB.</v>
          </cell>
        </row>
        <row r="418">
          <cell r="B418" t="str">
            <v>BREAKER TOTALIZADOR  INDUSTRIAL 3X40A  220 V. AJUSTABLE TÈRMICA Y MAGNÈTICAMENTE (22-32A),  Icu=40KA. Ics=100%Icu.MARCA SCHNEIDER ELECTRIC (REFERENCIA LV516303), SIEMENS, EATON O ABB.</v>
          </cell>
        </row>
        <row r="419">
          <cell r="B419" t="str">
            <v>BREAKER TOTALIZADOR  INDUSTRIAL 3X32A  220 V. AJUSTABLE TÈRMICA Y MAGNÈTICAMENTE (22-32A),  Icu=40KA. Ics=100%Icu.MARCA SCHNEIDER ELECTRIC (REFERENCIA LV516302), SIEMENS, EATON O ABB.</v>
          </cell>
        </row>
        <row r="420">
          <cell r="B420" t="str">
            <v>BREAKER TOTALIZADOR  INDUSTRIAL 3X25A  220 V. AJUSTABLE TÈRMICA Y MAGNÈTICAMENTE (18-25A),  Icu=40KA. Ics=100%Icu.MARCA SCHNEIDER ELECTRIC (REFERENCIA LV510301), SIEMENS, EATON O ABB.</v>
          </cell>
        </row>
        <row r="421">
          <cell r="B421" t="str">
            <v>Contactor tripolar Automático 220V, 65A, AC3 (Contactos Aux: 1NA+1NC). MARCA SCHNEIDER ELECTRIC (REFERENCIA LC1E65), SIEMENS, EATON O ABB.</v>
          </cell>
        </row>
        <row r="422">
          <cell r="B422" t="str">
            <v>Contactor tripolar Automático 220V, 18A, AC3 (Contactos Aux: 1NA). MARCA SCHNEIDER ELECTRIC (REFERENCIA LC1E1810), SIEMENS, EATON O ABB.</v>
          </cell>
        </row>
        <row r="423">
          <cell r="B423" t="str">
            <v>Contactor tripolar LC1E0910F6 o equivalente AC125</v>
          </cell>
        </row>
        <row r="424">
          <cell r="B424" t="str">
            <v>Contactor tripolar Automático 220V, 25A, AC1 (Contactos Aux: 1NA+1NC). MARCA SCHNEIDER ELECTRIC (REFERENCIA LC1D09B7), SIEMENS, EATON O ABB.</v>
          </cell>
        </row>
        <row r="425">
          <cell r="B425" t="str">
            <v>Temporizador eléctrónico programable y multifunción para montaje en riel, Rango: Multiescala 0,1seg a 10 días, ON fijo OFF fijo, 1 contacto conmutado, 12-240VAC/DC</v>
          </cell>
        </row>
        <row r="426">
          <cell r="B426" t="str">
            <v>Rele de estado solido monopolar 25A</v>
          </cell>
        </row>
        <row r="427">
          <cell r="B427" t="str">
            <v>Pulsador tipo superficie plana, diametro 22mm, IP65, 10A, contacto NA.</v>
          </cell>
        </row>
        <row r="428">
          <cell r="B428" t="str">
            <v xml:space="preserve">BREAKER MONOPOLAR ENCHUFABLE. TACO SIEMENS Q115. 1x15 </v>
          </cell>
        </row>
        <row r="429">
          <cell r="B429" t="str">
            <v xml:space="preserve">BREAKER MONOPOLAR ENCHUFABLE.TACO SIEMENS Q120 1x20 </v>
          </cell>
        </row>
        <row r="430">
          <cell r="B430" t="str">
            <v xml:space="preserve">BREAKER MONOPOLAR.TACO SIEMENS Q130 1x30 </v>
          </cell>
        </row>
        <row r="431">
          <cell r="B431" t="str">
            <v xml:space="preserve">BREAKER MONOPOLAR ENCHUFABLE.TACO SIEMENS Q140 1x40 </v>
          </cell>
        </row>
        <row r="432">
          <cell r="B432" t="str">
            <v xml:space="preserve">BREAKER MONOPOLAR ENCHUFABLE.TACO SIEMENS Q150 1x50 </v>
          </cell>
        </row>
        <row r="433">
          <cell r="B433" t="str">
            <v xml:space="preserve">BREAKER MONOPOLAR ENCHUFABLE.TACO SIEMENS Q160 1x60 </v>
          </cell>
        </row>
        <row r="434">
          <cell r="B434" t="str">
            <v xml:space="preserve">BREAKER MONOPOLAR ENCHUFABLE.TACO SIEMENS Q170 1x70 </v>
          </cell>
        </row>
        <row r="435">
          <cell r="B435" t="str">
            <v>BREAKER BIPOLAR ENCHUFABLE.TACO SIEMENS Q2100 2x100</v>
          </cell>
        </row>
        <row r="436">
          <cell r="B436" t="str">
            <v xml:space="preserve">BREAKER BIPOLAR ENCHUFABLE.TACO SIEMENS Q215 2x15 </v>
          </cell>
        </row>
        <row r="437">
          <cell r="B437" t="str">
            <v xml:space="preserve">BREAKER BIPOLAR ENCHUFABLE.TACO SIEMENS Q220 2x20 </v>
          </cell>
        </row>
        <row r="438">
          <cell r="B438" t="str">
            <v>BREAKER BIPOLAR ENCHUFABLE.TACO SIEMENS Q230 2x30</v>
          </cell>
        </row>
        <row r="439">
          <cell r="B439" t="str">
            <v>BREAKER BIPOLAR ENCHUFABLE.TACO SIEMENS Q240 2x40</v>
          </cell>
        </row>
        <row r="440">
          <cell r="B440" t="str">
            <v>BREAKER BIPOLAR ENCHUFABLE.TACO SIEMENS Q250 2x50</v>
          </cell>
        </row>
        <row r="441">
          <cell r="B441" t="str">
            <v>BREAKER BIPOLAR ENCHUFABLE.TACO SIEMENS Q260 2x60</v>
          </cell>
        </row>
        <row r="442">
          <cell r="B442" t="str">
            <v xml:space="preserve">BREAKER BIPOLAR ENCHUFABLE.TACO SIEMENS Q270 2x70 </v>
          </cell>
        </row>
        <row r="443">
          <cell r="B443" t="str">
            <v>BREAKER BIPOLAR ENCHUFABLE.TACO SIEMENS Q280 2x80</v>
          </cell>
        </row>
        <row r="444">
          <cell r="B444" t="str">
            <v xml:space="preserve">BREAKER TRIPOLAR ENCHUFABLE.TACO SIEMENS Q3100 3x100 </v>
          </cell>
        </row>
        <row r="445">
          <cell r="B445" t="str">
            <v xml:space="preserve">BREAKER TRIPOLAR ENCHUFABLE.TACO SIEMENS Q315 3x15 </v>
          </cell>
        </row>
        <row r="446">
          <cell r="B446" t="str">
            <v xml:space="preserve">BREAKER TRIPOLAR ENCHUFABLE.TACO SIEMENS Q320 3x20 </v>
          </cell>
        </row>
        <row r="447">
          <cell r="B447" t="str">
            <v xml:space="preserve">BREAKER TRIPOLAR ENCHUFABLE.TACO SIEMENS Q330 3x30 </v>
          </cell>
        </row>
        <row r="448">
          <cell r="B448" t="str">
            <v xml:space="preserve">BREAKER TRIPOLAR ENCHUFABLE.TACO SIEMENS Q340 3x40 </v>
          </cell>
        </row>
        <row r="449">
          <cell r="B449" t="str">
            <v>BREAKER TRIPOLAR ENCHUFABLE.TACO SIEMENS Q350 3x50</v>
          </cell>
        </row>
        <row r="450">
          <cell r="B450" t="str">
            <v>BREAKER TRIPOLAR ENCHUFABLE.TACO SIEMENS Q360 3x60</v>
          </cell>
        </row>
        <row r="451">
          <cell r="B451" t="str">
            <v>BREAKER TRIPOLAR ENCHUFABLE.TACO SIEMENS Q370 3x70</v>
          </cell>
        </row>
        <row r="452">
          <cell r="B452" t="str">
            <v>BREAKERS CINTAS DE MARCACION Y ANILLOS DE MARCACION</v>
          </cell>
        </row>
        <row r="453">
          <cell r="B453" t="str">
            <v>TUBERÍA MÉTALICA Y ACCESORIOS</v>
          </cell>
        </row>
        <row r="454">
          <cell r="B454" t="str">
            <v>Elementos de fijación tubería EMT 3/4", 1".</v>
          </cell>
        </row>
        <row r="455">
          <cell r="B455" t="str">
            <v>Grapa doble ala galvanizada en caliente 1/2''</v>
          </cell>
        </row>
        <row r="456">
          <cell r="B456" t="str">
            <v>Grapa doble ala galvanizada en caliente 3/4''</v>
          </cell>
        </row>
        <row r="457">
          <cell r="B457" t="str">
            <v>Grapa doble ala galvanizada en caliente 1''</v>
          </cell>
        </row>
        <row r="458">
          <cell r="B458" t="str">
            <v>Grapa doble ala galvanizada en caliente 1 1/4''</v>
          </cell>
        </row>
        <row r="459">
          <cell r="B459" t="str">
            <v>Chazos Plasticos de 1/4''</v>
          </cell>
        </row>
        <row r="460">
          <cell r="B460" t="str">
            <v>Tornillo de Ensable 1/4''x2''</v>
          </cell>
        </row>
        <row r="461">
          <cell r="B461" t="str">
            <v>Tubería EMT 1/2"</v>
          </cell>
        </row>
        <row r="462">
          <cell r="B462" t="str">
            <v>Tubería EMT 3/4"</v>
          </cell>
        </row>
        <row r="463">
          <cell r="B463" t="str">
            <v>Tubería EMT 1''</v>
          </cell>
        </row>
        <row r="464">
          <cell r="B464" t="str">
            <v>Tubería EMT 1 1/4''</v>
          </cell>
        </row>
        <row r="465">
          <cell r="B465" t="str">
            <v>Tubería EMT 3''</v>
          </cell>
        </row>
        <row r="466">
          <cell r="B466" t="str">
            <v>Tubería EMT 2''</v>
          </cell>
        </row>
        <row r="467">
          <cell r="B467" t="str">
            <v>TUBO GALVANIZADO 1.1/2 EMT</v>
          </cell>
        </row>
        <row r="468">
          <cell r="B468" t="str">
            <v>TUBO GALVANIZADO 1.1/4 C/U</v>
          </cell>
        </row>
        <row r="469">
          <cell r="B469" t="str">
            <v>TUBO GALVANIZADO 1.1/4 EMT</v>
          </cell>
        </row>
        <row r="470">
          <cell r="B470" t="str">
            <v>TUBO GALVANIZADO 1/2 C/U</v>
          </cell>
        </row>
        <row r="471">
          <cell r="B471" t="str">
            <v>TUBO GALVANIZADO 1/2 EMT</v>
          </cell>
        </row>
        <row r="472">
          <cell r="B472" t="str">
            <v>TUBO GALVANIZADO 2 C/U</v>
          </cell>
        </row>
        <row r="473">
          <cell r="B473" t="str">
            <v>TUBO GALVANIZADO 2 EMT</v>
          </cell>
        </row>
        <row r="474">
          <cell r="B474" t="str">
            <v>TUBO GALVANIZADO 2 1/2 EMT</v>
          </cell>
        </row>
        <row r="475">
          <cell r="B475" t="str">
            <v>TUBO GALVANIZADO 3 C/U</v>
          </cell>
        </row>
        <row r="476">
          <cell r="B476" t="str">
            <v>TUBO GALVANIZADO 3 EMT</v>
          </cell>
        </row>
        <row r="477">
          <cell r="B477" t="str">
            <v>TUBO GALVANIZADO 3/4 C/U</v>
          </cell>
        </row>
        <row r="478">
          <cell r="B478" t="str">
            <v>TUBO GALVANIZADO 3/4 EMT</v>
          </cell>
        </row>
        <row r="479">
          <cell r="B479" t="str">
            <v>TUBO GALVANIZADO 4 C/U</v>
          </cell>
        </row>
        <row r="480">
          <cell r="B480" t="str">
            <v>TUBO GALVANIZADO 3/4 C/U</v>
          </cell>
        </row>
        <row r="481">
          <cell r="B481" t="str">
            <v>TUBO GALVANIZADO 1 C/U</v>
          </cell>
        </row>
        <row r="482">
          <cell r="B482" t="str">
            <v>TUBO GALVANIZADO 1 EMT</v>
          </cell>
        </row>
        <row r="483">
          <cell r="B483" t="str">
            <v>TUBO GALVANIZADO 1.1/2 C/U</v>
          </cell>
        </row>
        <row r="484">
          <cell r="B484" t="str">
            <v>Unión EMT 1/2''</v>
          </cell>
        </row>
        <row r="485">
          <cell r="B485" t="str">
            <v>Unión EMT 3/4''</v>
          </cell>
        </row>
        <row r="486">
          <cell r="B486" t="str">
            <v>Unión EMT 1''</v>
          </cell>
        </row>
        <row r="487">
          <cell r="B487" t="str">
            <v>Unión EMT 1''</v>
          </cell>
        </row>
        <row r="488">
          <cell r="B488" t="str">
            <v>Unión EMT 1 1/4''</v>
          </cell>
        </row>
        <row r="489">
          <cell r="B489" t="str">
            <v>Unión EMT 1 1/2''</v>
          </cell>
        </row>
        <row r="490">
          <cell r="B490" t="str">
            <v>Unión EMT 3''</v>
          </cell>
        </row>
        <row r="491">
          <cell r="B491" t="str">
            <v>Unión EMT 2''</v>
          </cell>
        </row>
        <row r="492">
          <cell r="B492" t="str">
            <v>UNIÓN METÁLICA GALVANIZADA DE 1,1/2</v>
          </cell>
        </row>
        <row r="493">
          <cell r="B493" t="str">
            <v>UNIÓN METÁLICA GALVANIZADA DE 3/4</v>
          </cell>
        </row>
        <row r="494">
          <cell r="B494" t="str">
            <v>UNIÓN METÁLICA GALVANIZADA DE 1</v>
          </cell>
        </row>
        <row r="495">
          <cell r="B495" t="str">
            <v>Entrada a Caja EMT 1/2''</v>
          </cell>
        </row>
        <row r="496">
          <cell r="B496" t="str">
            <v>Entrada a Caja EMT 3/4''</v>
          </cell>
        </row>
        <row r="497">
          <cell r="B497" t="str">
            <v>Entrada a Caja EMT 1 1/4''</v>
          </cell>
        </row>
        <row r="498">
          <cell r="B498" t="str">
            <v>Entrada a Caja EMT 1 1/2''</v>
          </cell>
        </row>
        <row r="499">
          <cell r="B499" t="str">
            <v>Entrada a Caja EMT 3''</v>
          </cell>
        </row>
        <row r="500">
          <cell r="B500" t="str">
            <v>Entrada a Caja EMT 2''</v>
          </cell>
        </row>
        <row r="501">
          <cell r="B501" t="str">
            <v>Curva EMT 3''</v>
          </cell>
        </row>
        <row r="502">
          <cell r="B502" t="str">
            <v>Curva EMT 2''</v>
          </cell>
        </row>
        <row r="503">
          <cell r="B503" t="str">
            <v>CURVA GALVANIZADA DE 1"</v>
          </cell>
        </row>
        <row r="504">
          <cell r="B504" t="str">
            <v>CURVA GALVANIZADA DE 3/4"</v>
          </cell>
        </row>
        <row r="505">
          <cell r="B505" t="str">
            <v>Conduleta en L 1/2''</v>
          </cell>
        </row>
        <row r="506">
          <cell r="B506" t="str">
            <v>Conduleta en L 3/4''</v>
          </cell>
        </row>
        <row r="507">
          <cell r="B507" t="str">
            <v>Conduleta en L 1''</v>
          </cell>
        </row>
        <row r="508">
          <cell r="B508" t="str">
            <v>Conduleta en L 1 1/4''</v>
          </cell>
        </row>
        <row r="509">
          <cell r="B509" t="str">
            <v>Conduleta en L 2''</v>
          </cell>
        </row>
        <row r="510">
          <cell r="B510" t="str">
            <v>CORAZA METÁLICA 3/4"</v>
          </cell>
        </row>
        <row r="511">
          <cell r="B511" t="str">
            <v>CORAZA METÁLICA 1"</v>
          </cell>
        </row>
        <row r="512">
          <cell r="B512" t="str">
            <v>CORAZA METÁLICA 1. 1/2"</v>
          </cell>
        </row>
        <row r="513">
          <cell r="B513" t="str">
            <v>CORAZA METÁLICA 2"</v>
          </cell>
        </row>
        <row r="514">
          <cell r="B514" t="str">
            <v>CORAZA METÁLICA 3"</v>
          </cell>
        </row>
        <row r="515">
          <cell r="B515" t="str">
            <v>CORAZA METÁLICA AMERICANA 1"</v>
          </cell>
        </row>
        <row r="516">
          <cell r="B516" t="str">
            <v>CONECTOR RECTO 3/4"</v>
          </cell>
        </row>
        <row r="517">
          <cell r="B517" t="str">
            <v>CONECTOR CURVO 3/4"</v>
          </cell>
        </row>
        <row r="518">
          <cell r="B518" t="str">
            <v>CONECTOR RECTO 1"</v>
          </cell>
        </row>
        <row r="519">
          <cell r="B519" t="str">
            <v>CONECTOR CURVO 1"</v>
          </cell>
        </row>
        <row r="520">
          <cell r="B520" t="str">
            <v>CONECTOR CURVO 2"</v>
          </cell>
        </row>
        <row r="521">
          <cell r="B521" t="str">
            <v>CONECTOR CURVO 3"</v>
          </cell>
        </row>
        <row r="522">
          <cell r="B522" t="str">
            <v>CONECTOR RECTO 1,1/2"</v>
          </cell>
        </row>
        <row r="523">
          <cell r="B523" t="str">
            <v>CONECTOR RECTO 2"</v>
          </cell>
        </row>
        <row r="524">
          <cell r="B524" t="str">
            <v>CONECTOR RECTO 3"</v>
          </cell>
        </row>
        <row r="525">
          <cell r="B525" t="str">
            <v>CONECTOR CURVO 1,1/2"</v>
          </cell>
        </row>
        <row r="526">
          <cell r="B526" t="str">
            <v>TUBERÍA PLASTICA Y ACCESORIOS</v>
          </cell>
        </row>
        <row r="527">
          <cell r="B527" t="str">
            <v>Tubo PVC DB60 1/2''</v>
          </cell>
        </row>
        <row r="528">
          <cell r="B528" t="str">
            <v>Tubo PVC DB60 3/4''</v>
          </cell>
        </row>
        <row r="529">
          <cell r="B529" t="str">
            <v>Tubo PVC DB60 1''</v>
          </cell>
        </row>
        <row r="530">
          <cell r="B530" t="str">
            <v>Tubo PVC DB60 2''</v>
          </cell>
        </row>
        <row r="531">
          <cell r="B531" t="str">
            <v>Curva PVC 1/2''</v>
          </cell>
        </row>
        <row r="532">
          <cell r="B532" t="str">
            <v>Curva PVC 3/4''</v>
          </cell>
        </row>
        <row r="533">
          <cell r="B533" t="str">
            <v>Curva PVC 1''</v>
          </cell>
        </row>
        <row r="534">
          <cell r="B534" t="str">
            <v>Entrada a Caja PVC 1/2''</v>
          </cell>
        </row>
        <row r="535">
          <cell r="B535" t="str">
            <v>Entrada a Caja PVC 3/4''</v>
          </cell>
        </row>
        <row r="536">
          <cell r="B536" t="str">
            <v>Entrada a Caja PVC 1''</v>
          </cell>
        </row>
        <row r="537">
          <cell r="B537" t="str">
            <v>Unión PVC 1/2''</v>
          </cell>
        </row>
        <row r="538">
          <cell r="B538" t="str">
            <v>Unión PVC 3/4''</v>
          </cell>
        </row>
        <row r="539">
          <cell r="B539" t="str">
            <v>Unión PVC 1''</v>
          </cell>
        </row>
        <row r="540">
          <cell r="B540" t="str">
            <v>Tubería PVC 1"</v>
          </cell>
        </row>
        <row r="541">
          <cell r="B541" t="str">
            <v>TUBO PVC 1" PLASTIMEC</v>
          </cell>
        </row>
        <row r="542">
          <cell r="B542" t="str">
            <v>TUBO PVC 1/2 PLASTIMEC</v>
          </cell>
        </row>
        <row r="543">
          <cell r="B543" t="str">
            <v>TUBO PVC 11/2 PLASTIMEC</v>
          </cell>
        </row>
        <row r="544">
          <cell r="B544" t="str">
            <v>TUBO PVC 11/4 PLASTIMEC</v>
          </cell>
        </row>
        <row r="545">
          <cell r="B545" t="str">
            <v>TUBO PVC 2" PLASTIMEC</v>
          </cell>
        </row>
        <row r="546">
          <cell r="B546" t="str">
            <v>TUBO PVC 3/4 PLASTIMEC</v>
          </cell>
        </row>
        <row r="547">
          <cell r="B547" t="str">
            <v>PUESTA A TIERRA</v>
          </cell>
        </row>
        <row r="548">
          <cell r="B548" t="str">
            <v>VARILLA COBRE - COBRE 1/2 x 2,40 MT</v>
          </cell>
        </row>
        <row r="549">
          <cell r="B549" t="str">
            <v>VARILLA COOPER WELL 5/8 x 1 MT</v>
          </cell>
        </row>
        <row r="550">
          <cell r="B550" t="str">
            <v>VARILLA COOPER WELL 5/8 x 1.5 MT</v>
          </cell>
        </row>
        <row r="551">
          <cell r="B551" t="str">
            <v>VARILLA COOPER WELL 5/8 x 1.8 MT</v>
          </cell>
        </row>
        <row r="552">
          <cell r="B552" t="str">
            <v>VARILLA COOPER WELL 5/8 x 2.4 MT</v>
          </cell>
        </row>
        <row r="553">
          <cell r="B553" t="str">
            <v>GRAPA P/VARILLA COOPER WELL T/EPM</v>
          </cell>
        </row>
        <row r="554">
          <cell r="B554" t="str">
            <v>SOLDADURA EXOTERMICA  90G</v>
          </cell>
        </row>
        <row r="555">
          <cell r="B555" t="str">
            <v>SOLDADURA EXOTERMICA 115G</v>
          </cell>
        </row>
        <row r="556">
          <cell r="B556" t="str">
            <v>SOLDADURA EXOTERMICA 150G</v>
          </cell>
        </row>
        <row r="557">
          <cell r="B557" t="str">
            <v xml:space="preserve">Soporte Dehn snap roof conductor holder StSt para teja de barro ref: 204129 </v>
          </cell>
        </row>
        <row r="558">
          <cell r="B558" t="str">
            <v>TABLEROS</v>
          </cell>
        </row>
        <row r="559">
          <cell r="B559" t="str">
            <v>TABLERO TRIFASICO NTQ-412-T  611096</v>
          </cell>
        </row>
        <row r="560">
          <cell r="B560" t="str">
            <v>TABLERO TRIFASICO NTQ-418-T  611099</v>
          </cell>
        </row>
        <row r="561">
          <cell r="B561" t="str">
            <v>TABLERO TRIFASICO NTQ-424-T  611102</v>
          </cell>
        </row>
        <row r="562">
          <cell r="B562" t="str">
            <v>TABLERO TRIFASICO NTQ-430-T  611105</v>
          </cell>
        </row>
        <row r="563">
          <cell r="B563" t="str">
            <v>TABLERO TRIFASICO NTQ-436-T  611108</v>
          </cell>
        </row>
        <row r="564">
          <cell r="B564" t="str">
            <v>TABLERO TRIFASICO NTQ-442-T  611111</v>
          </cell>
        </row>
        <row r="565">
          <cell r="B565" t="str">
            <v>TABLERO TRIFASICO NTQ-442-T  SIN ESPACIO</v>
          </cell>
        </row>
        <row r="566">
          <cell r="B566" t="str">
            <v>TABLERO 01 4CTOS TERCOL 104 RETIE</v>
          </cell>
        </row>
        <row r="567">
          <cell r="B567" t="str">
            <v>TABLERO 01 6CTOS TERCOL 106 RETIE</v>
          </cell>
        </row>
        <row r="568">
          <cell r="B568" t="str">
            <v>TABLERO 01  8 CTOS.TERCOL TEP 108  RETIE</v>
          </cell>
        </row>
        <row r="569">
          <cell r="B569" t="str">
            <v>TABLERO MONOFASICO TQ-CP-12  611051</v>
          </cell>
        </row>
        <row r="570">
          <cell r="B570" t="str">
            <v>TABLERO MONOFASICO TQ-CP-18  611054</v>
          </cell>
        </row>
        <row r="571">
          <cell r="B571" t="str">
            <v>TABLERO MONOFASICO TQ-CP-24  611057</v>
          </cell>
        </row>
        <row r="572">
          <cell r="B572" t="str">
            <v xml:space="preserve">TABLERO MONOFASICO TQ-CP-30  </v>
          </cell>
        </row>
        <row r="573">
          <cell r="B573" t="str">
            <v>TABLERO MONOFASICO TQ-CP-36</v>
          </cell>
        </row>
        <row r="574">
          <cell r="B574" t="str">
            <v>TABLERO BIFASICO 24</v>
          </cell>
        </row>
        <row r="575">
          <cell r="B575" t="str">
            <v>TABLERO 03 12CTOS.TERCOL TRP 312  RETIE</v>
          </cell>
        </row>
        <row r="576">
          <cell r="B576" t="str">
            <v xml:space="preserve">TABLERO DE 18 CTOS TRIFASICA C/P 225A RETIE TERCOL TRP318 </v>
          </cell>
        </row>
        <row r="577">
          <cell r="B577" t="str">
            <v xml:space="preserve">TABLERO DE 18 CTOS TRIF C/P ESP/TOTALIZADOR RETIE TERCOL TRP318T </v>
          </cell>
        </row>
        <row r="578">
          <cell r="B578" t="str">
            <v>TABLERO 03 18CTOS.TERCOL TRP 318  RETIE</v>
          </cell>
        </row>
        <row r="579">
          <cell r="B579" t="str">
            <v xml:space="preserve">TABLERO DE 24 CTOS TRIFASICA C/P ESP/TOTALIZ 225A TERCOL TRP324T </v>
          </cell>
        </row>
        <row r="580">
          <cell r="B580" t="str">
            <v>TABLERO 03 24CTOS.TERCOL TRP 324  RETIE</v>
          </cell>
        </row>
        <row r="581">
          <cell r="B581" t="str">
            <v xml:space="preserve">TABLERO DE 30 CTOS TRIF ESP PARA TOTALIZADOR TRP330T </v>
          </cell>
        </row>
        <row r="582">
          <cell r="B582" t="str">
            <v>TABLERO 03 30CTOS.TERCOL TRP 330  RETIE</v>
          </cell>
        </row>
        <row r="583">
          <cell r="B583" t="str">
            <v>TABLERO 03 36CTOS.TERCOL TRP 336  RETIE</v>
          </cell>
        </row>
        <row r="584">
          <cell r="B584" t="str">
            <v>TABLERO 42 CTOS TRIF C/P ESP/TOTALIZADOR RETIE TERCOL TRP342T</v>
          </cell>
        </row>
        <row r="585">
          <cell r="B585" t="str">
            <v>TABLERO 03 42CTOS.TERCOL TRP 342  RETIE</v>
          </cell>
        </row>
        <row r="586">
          <cell r="B586" t="str">
            <v>Barraje trifásico de cobre 100A, con barras para neutro y tierra</v>
          </cell>
        </row>
        <row r="587">
          <cell r="B587" t="str">
            <v>Suministro e instalación de tubería PVC para red de agua fría  chiller</v>
          </cell>
        </row>
        <row r="588">
          <cell r="B588" t="str">
            <v>Suministro e instalación de accesorios para instalación de chiller (válvulas, manómetros, filtro, etc)</v>
          </cell>
        </row>
        <row r="589">
          <cell r="B589" t="str">
            <v>Acondicionador de tensión trifásico 208/120V, 25kVA, con transformador de aislamento apantallado tipo seco, IP20, DPS de entrada y salida.</v>
          </cell>
        </row>
        <row r="590">
          <cell r="B590" t="str">
            <v>Traslado de Acondicionador de tensión de 10kVA, 2Ø, 230/115V</v>
          </cell>
        </row>
        <row r="591">
          <cell r="B591" t="str">
            <v>Acondicionador de voltaje con transformador de aislamiento bifasico 4 kVA 240 V.</v>
          </cell>
        </row>
        <row r="592">
          <cell r="B592" t="str">
            <v>Conjunto de andamio, canes y linea de vida</v>
          </cell>
        </row>
        <row r="593">
          <cell r="B593" t="str">
            <v xml:space="preserve">PARARRAYO POLIMERICO 12KV 10KA </v>
          </cell>
        </row>
        <row r="594">
          <cell r="B594" t="str">
            <v>ASTA PARA PARARRAYOS</v>
          </cell>
        </row>
        <row r="595">
          <cell r="B595" t="str">
            <v>Borneras de conexión</v>
          </cell>
        </row>
        <row r="596">
          <cell r="B596" t="str">
            <v>Caja 10x10 plástica intemperie</v>
          </cell>
        </row>
        <row r="597">
          <cell r="B597" t="str">
            <v>Breaker industrial 3x100A 25kA EZC100N3100</v>
          </cell>
        </row>
        <row r="598">
          <cell r="B598" t="str">
            <v>Breaker industrial 3x(175-250)A 25kA Ics=100%Icu CVS TMD160</v>
          </cell>
        </row>
        <row r="599">
          <cell r="B599" t="str">
            <v>Luminaria de emergencia sylvania 110Lm, 4,5W</v>
          </cell>
        </row>
        <row r="600">
          <cell r="B600" t="str">
            <v>Conector en C puesta a tierra</v>
          </cell>
        </row>
        <row r="601">
          <cell r="B601" t="str">
            <v>Canaleta ranurada 40x40mm 2m</v>
          </cell>
        </row>
        <row r="602">
          <cell r="B602" t="str">
            <v>CAJA PRIMARIA 15 KVA 20 KA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 val="DESPLEGABLE"/>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ow r="1">
          <cell r="A1" t="str">
            <v>CODIGO</v>
          </cell>
        </row>
      </sheetData>
      <sheetData sheetId="19"/>
      <sheetData sheetId="20">
        <row r="1">
          <cell r="A1" t="str">
            <v>CODIGO</v>
          </cell>
        </row>
      </sheetData>
      <sheetData sheetId="21"/>
      <sheetData sheetId="22">
        <row r="1">
          <cell r="A1" t="str">
            <v>CODIGO</v>
          </cell>
        </row>
      </sheetData>
      <sheetData sheetId="23"/>
      <sheetData sheetId="24" refreshError="1"/>
      <sheetData sheetId="25" refreshError="1"/>
      <sheetData sheetId="26" refreshError="1"/>
      <sheetData sheetId="27" refreshError="1"/>
      <sheetData sheetId="28">
        <row r="1">
          <cell r="A1" t="str">
            <v>CODIGO</v>
          </cell>
        </row>
      </sheetData>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row r="8">
          <cell r="D8">
            <v>0.60000000000000009</v>
          </cell>
        </row>
        <row r="11">
          <cell r="D11">
            <v>78600</v>
          </cell>
        </row>
        <row r="13">
          <cell r="D13">
            <v>37728</v>
          </cell>
        </row>
        <row r="26">
          <cell r="D26">
            <v>2300</v>
          </cell>
        </row>
        <row r="36">
          <cell r="D36">
            <v>295358.34999999998</v>
          </cell>
        </row>
        <row r="1648">
          <cell r="D1648">
            <v>77720</v>
          </cell>
        </row>
        <row r="1650">
          <cell r="D1650">
            <v>1632</v>
          </cell>
        </row>
        <row r="1676">
          <cell r="D1676">
            <v>2958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 val="Costos Totales"/>
      <sheetName val="Análisis A.U."/>
      <sheetName val="Costos Direcos Unitarios"/>
      <sheetName val="APU's Obra Civil"/>
      <sheetName val="Prima Polizas"/>
      <sheetName val="F.P. Profesionales"/>
      <sheetName val="F.P. Mano de Obra"/>
      <sheetName val="Inversión Ambiental"/>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2_APERTURA DE SOBRES"/>
      <sheetName val="5,1. REQUISITOS JURÍDICOS"/>
      <sheetName val="5.2.1 EXPERIENCIA GRAL"/>
      <sheetName val="5.3 CAP FINANCIERA"/>
      <sheetName val="5.5 REQUISITOS COMERCIALES"/>
      <sheetName val="PRESUPUESTO"/>
      <sheetName val="VALOR TOTAL DE LA PROPUESTA "/>
      <sheetName val="VIATICOS"/>
      <sheetName val="RESUMEN"/>
      <sheetName val="10. EVALUACIÓN"/>
    </sheetNames>
    <sheetDataSet>
      <sheetData sheetId="0" refreshError="1">
        <row r="1">
          <cell r="A1" t="str">
            <v>UNIVERSIDAD DE ANTIOQUIA</v>
          </cell>
        </row>
        <row r="2">
          <cell r="A2" t="str">
            <v>Invitación Pública N° VA-011-2022</v>
          </cell>
        </row>
        <row r="7">
          <cell r="A7" t="str">
            <v>NRO</v>
          </cell>
        </row>
        <row r="8">
          <cell r="A8">
            <v>1</v>
          </cell>
          <cell r="B8" t="str">
            <v>Comercial y Servicios Larco S.A.S</v>
          </cell>
        </row>
        <row r="9">
          <cell r="A9">
            <v>2</v>
          </cell>
        </row>
        <row r="10">
          <cell r="A10">
            <v>3</v>
          </cell>
        </row>
        <row r="11">
          <cell r="A11">
            <v>4</v>
          </cell>
        </row>
        <row r="12">
          <cell r="A12">
            <v>5</v>
          </cell>
        </row>
        <row r="13">
          <cell r="A13">
            <v>6</v>
          </cell>
        </row>
        <row r="14">
          <cell r="A14">
            <v>7</v>
          </cell>
        </row>
        <row r="15">
          <cell r="A15">
            <v>8</v>
          </cell>
        </row>
        <row r="16">
          <cell r="A16">
            <v>9</v>
          </cell>
        </row>
        <row r="17">
          <cell r="A17">
            <v>10</v>
          </cell>
        </row>
        <row r="18">
          <cell r="A18">
            <v>11</v>
          </cell>
        </row>
        <row r="19">
          <cell r="A19">
            <v>12</v>
          </cell>
        </row>
        <row r="20">
          <cell r="A20">
            <v>13</v>
          </cell>
        </row>
        <row r="21">
          <cell r="A21">
            <v>14</v>
          </cell>
        </row>
        <row r="22">
          <cell r="A22">
            <v>15</v>
          </cell>
        </row>
        <row r="23">
          <cell r="A23">
            <v>16</v>
          </cell>
        </row>
        <row r="24">
          <cell r="A24">
            <v>17</v>
          </cell>
        </row>
        <row r="25">
          <cell r="A25">
            <v>18</v>
          </cell>
        </row>
        <row r="26">
          <cell r="A26">
            <v>19</v>
          </cell>
        </row>
        <row r="27">
          <cell r="A27">
            <v>20</v>
          </cell>
        </row>
        <row r="28">
          <cell r="A28">
            <v>21</v>
          </cell>
        </row>
        <row r="29">
          <cell r="A29">
            <v>22</v>
          </cell>
        </row>
        <row r="30">
          <cell r="A30">
            <v>23</v>
          </cell>
        </row>
        <row r="31">
          <cell r="A31">
            <v>24</v>
          </cell>
        </row>
        <row r="32">
          <cell r="A32">
            <v>25</v>
          </cell>
        </row>
        <row r="33">
          <cell r="A33">
            <v>26</v>
          </cell>
        </row>
        <row r="34">
          <cell r="A34">
            <v>27</v>
          </cell>
        </row>
        <row r="35">
          <cell r="A35">
            <v>28</v>
          </cell>
        </row>
        <row r="36">
          <cell r="A36">
            <v>29</v>
          </cell>
        </row>
        <row r="37">
          <cell r="A37">
            <v>30</v>
          </cell>
        </row>
      </sheetData>
      <sheetData sheetId="1" refreshError="1">
        <row r="7">
          <cell r="A7">
            <v>1</v>
          </cell>
          <cell r="B7" t="str">
            <v>Proponente</v>
          </cell>
          <cell r="C7" t="str">
            <v>Comercial y Servicios Larco S.A.S</v>
          </cell>
          <cell r="D7">
            <v>890930614</v>
          </cell>
          <cell r="E7" t="str">
            <v>Alberto Guerrero Lee</v>
          </cell>
          <cell r="F7" t="str">
            <v>M-100168977</v>
          </cell>
          <cell r="G7">
            <v>1238391640</v>
          </cell>
          <cell r="H7" t="str">
            <v>12.5%</v>
          </cell>
          <cell r="I7">
            <v>0.04</v>
          </cell>
          <cell r="J7">
            <v>1716844250</v>
          </cell>
          <cell r="K7" t="str">
            <v>No se presentaron observaciones durante el recibo de las propuestas</v>
          </cell>
        </row>
        <row r="8">
          <cell r="A8">
            <v>2</v>
          </cell>
          <cell r="B8" t="str">
            <v>NIT o Cédula</v>
          </cell>
          <cell r="D8">
            <v>0</v>
          </cell>
        </row>
        <row r="9">
          <cell r="A9">
            <v>3</v>
          </cell>
          <cell r="B9" t="str">
            <v>Nombre Representante Legal</v>
          </cell>
          <cell r="D9">
            <v>0</v>
          </cell>
        </row>
        <row r="10">
          <cell r="A10">
            <v>4</v>
          </cell>
          <cell r="B10" t="str">
            <v>No. póliza seriedad de oferta</v>
          </cell>
          <cell r="D10">
            <v>0</v>
          </cell>
        </row>
        <row r="11">
          <cell r="A11">
            <v>5</v>
          </cell>
          <cell r="B11" t="str">
            <v>Costo Directo de la propuesta</v>
          </cell>
          <cell r="D11">
            <v>0</v>
          </cell>
        </row>
        <row r="12">
          <cell r="A12">
            <v>6</v>
          </cell>
          <cell r="B12" t="str">
            <v>Porcentaje de Administración</v>
          </cell>
          <cell r="D12">
            <v>0</v>
          </cell>
        </row>
        <row r="13">
          <cell r="A13">
            <v>7</v>
          </cell>
          <cell r="B13" t="str">
            <v>Porcentaje de Utilidad</v>
          </cell>
          <cell r="D13">
            <v>0</v>
          </cell>
        </row>
        <row r="14">
          <cell r="A14">
            <v>8</v>
          </cell>
          <cell r="B14" t="str">
            <v>Costo total de la propuesta</v>
          </cell>
          <cell r="D14">
            <v>0</v>
          </cell>
        </row>
        <row r="15">
          <cell r="A15">
            <v>9</v>
          </cell>
          <cell r="D15">
            <v>0</v>
          </cell>
        </row>
        <row r="16">
          <cell r="A16">
            <v>10</v>
          </cell>
          <cell r="D16">
            <v>0</v>
          </cell>
        </row>
        <row r="17">
          <cell r="A17">
            <v>11</v>
          </cell>
          <cell r="D17">
            <v>0</v>
          </cell>
        </row>
        <row r="18">
          <cell r="A18">
            <v>12</v>
          </cell>
          <cell r="D18">
            <v>0</v>
          </cell>
        </row>
        <row r="19">
          <cell r="A19">
            <v>13</v>
          </cell>
          <cell r="D19">
            <v>0</v>
          </cell>
        </row>
        <row r="20">
          <cell r="A20">
            <v>14</v>
          </cell>
          <cell r="D20">
            <v>0</v>
          </cell>
        </row>
        <row r="21">
          <cell r="A21">
            <v>15</v>
          </cell>
          <cell r="D21">
            <v>0</v>
          </cell>
        </row>
        <row r="22">
          <cell r="A22">
            <v>16</v>
          </cell>
          <cell r="D22">
            <v>0</v>
          </cell>
        </row>
        <row r="23">
          <cell r="A23">
            <v>17</v>
          </cell>
          <cell r="D23">
            <v>0</v>
          </cell>
        </row>
        <row r="24">
          <cell r="A24">
            <v>18</v>
          </cell>
          <cell r="D24">
            <v>0</v>
          </cell>
        </row>
        <row r="25">
          <cell r="A25">
            <v>19</v>
          </cell>
          <cell r="D25">
            <v>0</v>
          </cell>
        </row>
        <row r="26">
          <cell r="A26">
            <v>20</v>
          </cell>
          <cell r="D26">
            <v>0</v>
          </cell>
        </row>
        <row r="27">
          <cell r="A27">
            <v>21</v>
          </cell>
          <cell r="D27">
            <v>0</v>
          </cell>
        </row>
        <row r="28">
          <cell r="A28">
            <v>22</v>
          </cell>
          <cell r="D28">
            <v>0</v>
          </cell>
        </row>
        <row r="29">
          <cell r="A29">
            <v>23</v>
          </cell>
          <cell r="D29">
            <v>0</v>
          </cell>
        </row>
        <row r="30">
          <cell r="A30">
            <v>24</v>
          </cell>
          <cell r="D30">
            <v>0</v>
          </cell>
        </row>
        <row r="31">
          <cell r="A31">
            <v>25</v>
          </cell>
          <cell r="D31">
            <v>0</v>
          </cell>
        </row>
        <row r="32">
          <cell r="A32">
            <v>26</v>
          </cell>
          <cell r="D32">
            <v>0</v>
          </cell>
        </row>
        <row r="33">
          <cell r="A33">
            <v>27</v>
          </cell>
          <cell r="D33">
            <v>0</v>
          </cell>
        </row>
        <row r="34">
          <cell r="A34">
            <v>28</v>
          </cell>
          <cell r="D34">
            <v>0</v>
          </cell>
        </row>
        <row r="35">
          <cell r="A35">
            <v>29</v>
          </cell>
          <cell r="D35">
            <v>0</v>
          </cell>
        </row>
        <row r="36">
          <cell r="A36">
            <v>30</v>
          </cell>
          <cell r="D36">
            <v>0</v>
          </cell>
        </row>
      </sheetData>
      <sheetData sheetId="2" refreshError="1"/>
      <sheetData sheetId="3" refreshError="1">
        <row r="6">
          <cell r="N6">
            <v>1719268792</v>
          </cell>
        </row>
        <row r="12">
          <cell r="W12">
            <v>1</v>
          </cell>
          <cell r="X12" t="str">
            <v>Comercial y Servicios Larco S.A.S</v>
          </cell>
          <cell r="Y12" t="str">
            <v>NO CUMPLE</v>
          </cell>
          <cell r="Z12" t="str">
            <v>NH</v>
          </cell>
        </row>
        <row r="13">
          <cell r="W13">
            <v>2</v>
          </cell>
          <cell r="X13">
            <v>0</v>
          </cell>
          <cell r="Y13" t="str">
            <v>NO CUMPLE</v>
          </cell>
          <cell r="Z13" t="str">
            <v>NH</v>
          </cell>
        </row>
        <row r="14">
          <cell r="W14">
            <v>3</v>
          </cell>
          <cell r="X14">
            <v>0</v>
          </cell>
          <cell r="Y14" t="str">
            <v>NO CUMPLE</v>
          </cell>
          <cell r="Z14" t="str">
            <v>NH</v>
          </cell>
        </row>
        <row r="15">
          <cell r="W15">
            <v>4</v>
          </cell>
          <cell r="X15">
            <v>0</v>
          </cell>
          <cell r="Y15" t="str">
            <v>NO CUMPLE</v>
          </cell>
          <cell r="Z15" t="str">
            <v>NH</v>
          </cell>
        </row>
        <row r="16">
          <cell r="W16">
            <v>5</v>
          </cell>
          <cell r="X16">
            <v>0</v>
          </cell>
          <cell r="Y16" t="str">
            <v>NO CUMPLE</v>
          </cell>
          <cell r="Z16" t="str">
            <v>NH</v>
          </cell>
        </row>
        <row r="17">
          <cell r="W17">
            <v>6</v>
          </cell>
          <cell r="X17">
            <v>0</v>
          </cell>
          <cell r="Y17" t="str">
            <v>NO CUMPLE</v>
          </cell>
          <cell r="Z17" t="str">
            <v>NH</v>
          </cell>
        </row>
        <row r="18">
          <cell r="W18">
            <v>7</v>
          </cell>
          <cell r="X18">
            <v>0</v>
          </cell>
          <cell r="Y18" t="str">
            <v>NO CUMPLE</v>
          </cell>
          <cell r="Z18" t="str">
            <v>NH</v>
          </cell>
        </row>
        <row r="19">
          <cell r="W19">
            <v>8</v>
          </cell>
          <cell r="X19">
            <v>0</v>
          </cell>
          <cell r="Y19" t="str">
            <v>NO CUMPLE</v>
          </cell>
          <cell r="Z19" t="str">
            <v>NH</v>
          </cell>
        </row>
        <row r="20">
          <cell r="W20">
            <v>9</v>
          </cell>
          <cell r="X20">
            <v>0</v>
          </cell>
          <cell r="Y20" t="str">
            <v>NO CUMPLE</v>
          </cell>
          <cell r="Z20" t="str">
            <v>NH</v>
          </cell>
        </row>
        <row r="21">
          <cell r="W21">
            <v>10</v>
          </cell>
          <cell r="X21">
            <v>0</v>
          </cell>
          <cell r="Y21" t="str">
            <v>NO CUMPLE</v>
          </cell>
          <cell r="Z21" t="str">
            <v>NH</v>
          </cell>
        </row>
        <row r="22">
          <cell r="W22">
            <v>11</v>
          </cell>
          <cell r="X22">
            <v>0</v>
          </cell>
          <cell r="Y22" t="str">
            <v>NO CUMPLE</v>
          </cell>
          <cell r="Z22" t="str">
            <v>NH</v>
          </cell>
        </row>
        <row r="23">
          <cell r="W23">
            <v>12</v>
          </cell>
          <cell r="X23">
            <v>0</v>
          </cell>
          <cell r="Y23" t="str">
            <v>NO CUMPLE</v>
          </cell>
          <cell r="Z23" t="str">
            <v>NH</v>
          </cell>
        </row>
        <row r="24">
          <cell r="W24">
            <v>13</v>
          </cell>
          <cell r="X24">
            <v>0</v>
          </cell>
          <cell r="Y24" t="str">
            <v>NO CUMPLE</v>
          </cell>
          <cell r="Z24" t="str">
            <v>NH</v>
          </cell>
        </row>
        <row r="25">
          <cell r="W25">
            <v>14</v>
          </cell>
          <cell r="X25">
            <v>0</v>
          </cell>
          <cell r="Y25" t="str">
            <v>NO CUMPLE</v>
          </cell>
          <cell r="Z25" t="str">
            <v>NH</v>
          </cell>
        </row>
        <row r="26">
          <cell r="W26">
            <v>15</v>
          </cell>
          <cell r="X26">
            <v>0</v>
          </cell>
          <cell r="Y26" t="str">
            <v>NO CUMPLE</v>
          </cell>
          <cell r="Z26" t="str">
            <v>NH</v>
          </cell>
        </row>
        <row r="27">
          <cell r="W27">
            <v>16</v>
          </cell>
          <cell r="X27">
            <v>0</v>
          </cell>
          <cell r="Y27" t="str">
            <v>NO CUMPLE</v>
          </cell>
          <cell r="Z27" t="str">
            <v>NH</v>
          </cell>
        </row>
        <row r="28">
          <cell r="W28">
            <v>17</v>
          </cell>
          <cell r="X28">
            <v>0</v>
          </cell>
          <cell r="Y28" t="str">
            <v>NO CUMPLE</v>
          </cell>
          <cell r="Z28" t="str">
            <v>NH</v>
          </cell>
        </row>
        <row r="29">
          <cell r="W29">
            <v>18</v>
          </cell>
          <cell r="X29">
            <v>0</v>
          </cell>
          <cell r="Y29" t="str">
            <v>NO CUMPLE</v>
          </cell>
          <cell r="Z29" t="str">
            <v>NH</v>
          </cell>
        </row>
        <row r="30">
          <cell r="W30">
            <v>19</v>
          </cell>
          <cell r="X30">
            <v>0</v>
          </cell>
          <cell r="Y30" t="str">
            <v>NO CUMPLE</v>
          </cell>
          <cell r="Z30" t="str">
            <v>NH</v>
          </cell>
        </row>
        <row r="31">
          <cell r="W31">
            <v>20</v>
          </cell>
          <cell r="X31">
            <v>0</v>
          </cell>
          <cell r="Y31" t="str">
            <v>NO CUMPLE</v>
          </cell>
          <cell r="Z31" t="str">
            <v>NH</v>
          </cell>
        </row>
        <row r="32">
          <cell r="W32">
            <v>21</v>
          </cell>
          <cell r="X32">
            <v>0</v>
          </cell>
          <cell r="Y32" t="str">
            <v>NO CUMPLE</v>
          </cell>
          <cell r="Z32" t="str">
            <v>NH</v>
          </cell>
        </row>
        <row r="33">
          <cell r="W33">
            <v>22</v>
          </cell>
          <cell r="X33">
            <v>0</v>
          </cell>
          <cell r="Y33" t="str">
            <v>NO CUMPLE</v>
          </cell>
          <cell r="Z33" t="str">
            <v>NH</v>
          </cell>
        </row>
        <row r="34">
          <cell r="W34">
            <v>23</v>
          </cell>
          <cell r="X34">
            <v>0</v>
          </cell>
          <cell r="Y34" t="str">
            <v>NO CUMPLE</v>
          </cell>
          <cell r="Z34" t="str">
            <v>NH</v>
          </cell>
        </row>
        <row r="35">
          <cell r="W35">
            <v>24</v>
          </cell>
          <cell r="X35">
            <v>0</v>
          </cell>
          <cell r="Y35" t="str">
            <v>NO CUMPLE</v>
          </cell>
          <cell r="Z35" t="str">
            <v>NH</v>
          </cell>
        </row>
        <row r="36">
          <cell r="W36">
            <v>25</v>
          </cell>
          <cell r="X36">
            <v>0</v>
          </cell>
          <cell r="Y36" t="str">
            <v>NO CUMPLE</v>
          </cell>
          <cell r="Z36" t="str">
            <v>NH</v>
          </cell>
        </row>
        <row r="37">
          <cell r="W37">
            <v>26</v>
          </cell>
          <cell r="X37">
            <v>0</v>
          </cell>
          <cell r="Y37" t="str">
            <v>NO CUMPLE</v>
          </cell>
          <cell r="Z37" t="str">
            <v>NH</v>
          </cell>
        </row>
        <row r="38">
          <cell r="W38">
            <v>27</v>
          </cell>
          <cell r="X38">
            <v>0</v>
          </cell>
          <cell r="Y38" t="str">
            <v>NO CUMPLE</v>
          </cell>
          <cell r="Z38" t="str">
            <v>NH</v>
          </cell>
        </row>
        <row r="39">
          <cell r="W39">
            <v>28</v>
          </cell>
          <cell r="X39">
            <v>0</v>
          </cell>
          <cell r="Y39" t="str">
            <v>NO CUMPLE</v>
          </cell>
          <cell r="Z39" t="str">
            <v>NH</v>
          </cell>
        </row>
        <row r="40">
          <cell r="W40">
            <v>29</v>
          </cell>
          <cell r="X40">
            <v>0</v>
          </cell>
          <cell r="Y40" t="str">
            <v>NO CUMPLE</v>
          </cell>
          <cell r="Z40" t="str">
            <v>NH</v>
          </cell>
        </row>
        <row r="41">
          <cell r="W41">
            <v>30</v>
          </cell>
          <cell r="X41">
            <v>0</v>
          </cell>
          <cell r="Y41" t="str">
            <v>NO CUMPLE</v>
          </cell>
          <cell r="Z41" t="str">
            <v>NH</v>
          </cell>
        </row>
      </sheetData>
      <sheetData sheetId="4" refreshError="1">
        <row r="6">
          <cell r="Q6">
            <v>1</v>
          </cell>
          <cell r="R6" t="str">
            <v>Comercial y Servicios Larco S.A.S</v>
          </cell>
          <cell r="S6" t="e">
            <v>#DIV/0!</v>
          </cell>
        </row>
        <row r="7">
          <cell r="Q7">
            <v>2</v>
          </cell>
          <cell r="R7">
            <v>0</v>
          </cell>
          <cell r="S7" t="e">
            <v>#DIV/0!</v>
          </cell>
        </row>
        <row r="8">
          <cell r="Q8">
            <v>3</v>
          </cell>
          <cell r="R8">
            <v>0</v>
          </cell>
          <cell r="S8" t="e">
            <v>#DIV/0!</v>
          </cell>
        </row>
        <row r="9">
          <cell r="Q9">
            <v>4</v>
          </cell>
          <cell r="R9">
            <v>0</v>
          </cell>
          <cell r="S9" t="e">
            <v>#DIV/0!</v>
          </cell>
        </row>
        <row r="10">
          <cell r="Q10">
            <v>5</v>
          </cell>
          <cell r="R10">
            <v>0</v>
          </cell>
          <cell r="S10" t="e">
            <v>#DIV/0!</v>
          </cell>
        </row>
        <row r="11">
          <cell r="Q11">
            <v>6</v>
          </cell>
          <cell r="R11">
            <v>0</v>
          </cell>
          <cell r="S11" t="e">
            <v>#DIV/0!</v>
          </cell>
        </row>
        <row r="12">
          <cell r="Q12">
            <v>7</v>
          </cell>
          <cell r="R12">
            <v>0</v>
          </cell>
          <cell r="S12" t="e">
            <v>#DIV/0!</v>
          </cell>
        </row>
        <row r="13">
          <cell r="Q13">
            <v>8</v>
          </cell>
          <cell r="R13">
            <v>0</v>
          </cell>
          <cell r="S13" t="e">
            <v>#DIV/0!</v>
          </cell>
        </row>
        <row r="14">
          <cell r="Q14">
            <v>9</v>
          </cell>
          <cell r="R14">
            <v>0</v>
          </cell>
          <cell r="S14" t="e">
            <v>#DIV/0!</v>
          </cell>
        </row>
        <row r="15">
          <cell r="Q15">
            <v>10</v>
          </cell>
          <cell r="R15">
            <v>0</v>
          </cell>
          <cell r="S15" t="e">
            <v>#DIV/0!</v>
          </cell>
        </row>
        <row r="16">
          <cell r="Q16">
            <v>11</v>
          </cell>
          <cell r="R16">
            <v>0</v>
          </cell>
          <cell r="S16" t="e">
            <v>#DIV/0!</v>
          </cell>
        </row>
        <row r="17">
          <cell r="Q17">
            <v>12</v>
          </cell>
          <cell r="R17">
            <v>0</v>
          </cell>
          <cell r="S17" t="e">
            <v>#DIV/0!</v>
          </cell>
        </row>
        <row r="18">
          <cell r="Q18">
            <v>13</v>
          </cell>
          <cell r="R18">
            <v>0</v>
          </cell>
          <cell r="S18" t="e">
            <v>#DIV/0!</v>
          </cell>
        </row>
        <row r="19">
          <cell r="Q19">
            <v>14</v>
          </cell>
          <cell r="R19">
            <v>0</v>
          </cell>
          <cell r="S19" t="e">
            <v>#DIV/0!</v>
          </cell>
        </row>
        <row r="20">
          <cell r="Q20">
            <v>15</v>
          </cell>
          <cell r="R20">
            <v>0</v>
          </cell>
          <cell r="S20" t="e">
            <v>#DIV/0!</v>
          </cell>
        </row>
        <row r="21">
          <cell r="Q21">
            <v>16</v>
          </cell>
          <cell r="R21">
            <v>0</v>
          </cell>
          <cell r="S21" t="e">
            <v>#DIV/0!</v>
          </cell>
        </row>
        <row r="22">
          <cell r="Q22">
            <v>17</v>
          </cell>
          <cell r="R22">
            <v>0</v>
          </cell>
          <cell r="S22" t="e">
            <v>#DIV/0!</v>
          </cell>
        </row>
        <row r="23">
          <cell r="Q23">
            <v>18</v>
          </cell>
          <cell r="R23">
            <v>0</v>
          </cell>
          <cell r="S23" t="e">
            <v>#DIV/0!</v>
          </cell>
        </row>
        <row r="24">
          <cell r="Q24">
            <v>19</v>
          </cell>
          <cell r="R24">
            <v>0</v>
          </cell>
          <cell r="S24" t="e">
            <v>#DIV/0!</v>
          </cell>
        </row>
        <row r="25">
          <cell r="Q25">
            <v>20</v>
          </cell>
          <cell r="R25">
            <v>0</v>
          </cell>
          <cell r="S25" t="e">
            <v>#DIV/0!</v>
          </cell>
        </row>
        <row r="26">
          <cell r="Q26">
            <v>21</v>
          </cell>
          <cell r="R26">
            <v>0</v>
          </cell>
          <cell r="S26" t="e">
            <v>#DIV/0!</v>
          </cell>
        </row>
        <row r="27">
          <cell r="Q27">
            <v>22</v>
          </cell>
          <cell r="R27">
            <v>0</v>
          </cell>
          <cell r="S27" t="e">
            <v>#DIV/0!</v>
          </cell>
        </row>
        <row r="28">
          <cell r="Q28">
            <v>23</v>
          </cell>
          <cell r="R28">
            <v>0</v>
          </cell>
          <cell r="S28" t="e">
            <v>#DIV/0!</v>
          </cell>
        </row>
        <row r="29">
          <cell r="Q29">
            <v>24</v>
          </cell>
          <cell r="R29">
            <v>0</v>
          </cell>
          <cell r="S29" t="e">
            <v>#DIV/0!</v>
          </cell>
        </row>
        <row r="30">
          <cell r="Q30">
            <v>25</v>
          </cell>
          <cell r="R30">
            <v>0</v>
          </cell>
          <cell r="S30" t="e">
            <v>#DIV/0!</v>
          </cell>
        </row>
        <row r="31">
          <cell r="Q31">
            <v>26</v>
          </cell>
          <cell r="R31">
            <v>0</v>
          </cell>
          <cell r="S31" t="e">
            <v>#DIV/0!</v>
          </cell>
        </row>
        <row r="32">
          <cell r="Q32">
            <v>27</v>
          </cell>
          <cell r="R32">
            <v>0</v>
          </cell>
          <cell r="S32" t="e">
            <v>#DIV/0!</v>
          </cell>
        </row>
        <row r="33">
          <cell r="Q33">
            <v>28</v>
          </cell>
          <cell r="R33">
            <v>0</v>
          </cell>
          <cell r="S33" t="e">
            <v>#DIV/0!</v>
          </cell>
        </row>
        <row r="34">
          <cell r="Q34">
            <v>29</v>
          </cell>
          <cell r="R34">
            <v>0</v>
          </cell>
          <cell r="S34" t="e">
            <v>#DIV/0!</v>
          </cell>
        </row>
        <row r="35">
          <cell r="Q35">
            <v>30</v>
          </cell>
          <cell r="R35">
            <v>0</v>
          </cell>
          <cell r="S35" t="e">
            <v>#DIV/0!</v>
          </cell>
        </row>
      </sheetData>
      <sheetData sheetId="5" refreshError="1">
        <row r="4">
          <cell r="L4">
            <v>1</v>
          </cell>
          <cell r="M4" t="str">
            <v>Comercial y Servicios Larco S.A.S</v>
          </cell>
          <cell r="N4" t="e">
            <v>#REF!</v>
          </cell>
        </row>
        <row r="5">
          <cell r="L5">
            <v>2</v>
          </cell>
          <cell r="M5">
            <v>0</v>
          </cell>
          <cell r="N5" t="e">
            <v>#REF!</v>
          </cell>
        </row>
        <row r="6">
          <cell r="L6">
            <v>3</v>
          </cell>
          <cell r="M6">
            <v>0</v>
          </cell>
          <cell r="N6" t="e">
            <v>#REF!</v>
          </cell>
        </row>
        <row r="7">
          <cell r="L7">
            <v>4</v>
          </cell>
          <cell r="M7">
            <v>0</v>
          </cell>
          <cell r="N7" t="e">
            <v>#REF!</v>
          </cell>
        </row>
        <row r="8">
          <cell r="L8">
            <v>5</v>
          </cell>
          <cell r="M8">
            <v>0</v>
          </cell>
          <cell r="N8" t="e">
            <v>#REF!</v>
          </cell>
        </row>
        <row r="9">
          <cell r="L9">
            <v>6</v>
          </cell>
          <cell r="M9">
            <v>0</v>
          </cell>
          <cell r="N9" t="e">
            <v>#REF!</v>
          </cell>
        </row>
        <row r="10">
          <cell r="L10">
            <v>7</v>
          </cell>
          <cell r="M10">
            <v>0</v>
          </cell>
          <cell r="N10" t="e">
            <v>#REF!</v>
          </cell>
        </row>
        <row r="11">
          <cell r="L11">
            <v>8</v>
          </cell>
          <cell r="M11">
            <v>0</v>
          </cell>
          <cell r="N11" t="e">
            <v>#REF!</v>
          </cell>
        </row>
        <row r="12">
          <cell r="L12">
            <v>9</v>
          </cell>
          <cell r="M12">
            <v>0</v>
          </cell>
          <cell r="N12" t="e">
            <v>#REF!</v>
          </cell>
        </row>
        <row r="13">
          <cell r="L13">
            <v>10</v>
          </cell>
          <cell r="M13">
            <v>0</v>
          </cell>
          <cell r="N13" t="e">
            <v>#REF!</v>
          </cell>
        </row>
        <row r="14">
          <cell r="L14">
            <v>11</v>
          </cell>
          <cell r="M14">
            <v>0</v>
          </cell>
          <cell r="N14" t="e">
            <v>#REF!</v>
          </cell>
        </row>
        <row r="15">
          <cell r="L15">
            <v>12</v>
          </cell>
          <cell r="M15">
            <v>0</v>
          </cell>
          <cell r="N15" t="e">
            <v>#REF!</v>
          </cell>
        </row>
        <row r="16">
          <cell r="L16">
            <v>13</v>
          </cell>
          <cell r="M16">
            <v>0</v>
          </cell>
          <cell r="N16" t="e">
            <v>#REF!</v>
          </cell>
        </row>
        <row r="17">
          <cell r="L17">
            <v>14</v>
          </cell>
          <cell r="M17">
            <v>0</v>
          </cell>
          <cell r="N17" t="e">
            <v>#REF!</v>
          </cell>
        </row>
        <row r="18">
          <cell r="L18">
            <v>15</v>
          </cell>
          <cell r="M18">
            <v>0</v>
          </cell>
          <cell r="N18" t="e">
            <v>#REF!</v>
          </cell>
        </row>
        <row r="19">
          <cell r="L19">
            <v>16</v>
          </cell>
          <cell r="M19">
            <v>0</v>
          </cell>
          <cell r="N19" t="e">
            <v>#REF!</v>
          </cell>
        </row>
        <row r="20">
          <cell r="L20">
            <v>17</v>
          </cell>
          <cell r="M20">
            <v>0</v>
          </cell>
          <cell r="N20" t="e">
            <v>#REF!</v>
          </cell>
        </row>
        <row r="21">
          <cell r="L21">
            <v>18</v>
          </cell>
          <cell r="M21">
            <v>0</v>
          </cell>
          <cell r="N21" t="e">
            <v>#REF!</v>
          </cell>
        </row>
        <row r="22">
          <cell r="L22">
            <v>19</v>
          </cell>
          <cell r="M22">
            <v>0</v>
          </cell>
          <cell r="N22" t="e">
            <v>#REF!</v>
          </cell>
        </row>
        <row r="23">
          <cell r="L23">
            <v>20</v>
          </cell>
          <cell r="M23">
            <v>0</v>
          </cell>
          <cell r="N23" t="e">
            <v>#REF!</v>
          </cell>
        </row>
        <row r="24">
          <cell r="L24">
            <v>21</v>
          </cell>
          <cell r="M24">
            <v>0</v>
          </cell>
          <cell r="N24" t="e">
            <v>#REF!</v>
          </cell>
        </row>
        <row r="25">
          <cell r="L25">
            <v>22</v>
          </cell>
          <cell r="M25">
            <v>0</v>
          </cell>
          <cell r="N25" t="e">
            <v>#REF!</v>
          </cell>
        </row>
        <row r="26">
          <cell r="L26">
            <v>23</v>
          </cell>
          <cell r="M26">
            <v>0</v>
          </cell>
          <cell r="N26" t="e">
            <v>#REF!</v>
          </cell>
        </row>
        <row r="27">
          <cell r="L27">
            <v>24</v>
          </cell>
          <cell r="M27">
            <v>0</v>
          </cell>
          <cell r="N27" t="e">
            <v>#REF!</v>
          </cell>
        </row>
        <row r="28">
          <cell r="L28">
            <v>25</v>
          </cell>
          <cell r="M28">
            <v>0</v>
          </cell>
          <cell r="N28" t="e">
            <v>#REF!</v>
          </cell>
        </row>
        <row r="29">
          <cell r="L29">
            <v>26</v>
          </cell>
          <cell r="M29">
            <v>0</v>
          </cell>
          <cell r="N29" t="e">
            <v>#REF!</v>
          </cell>
        </row>
        <row r="30">
          <cell r="L30">
            <v>27</v>
          </cell>
          <cell r="M30">
            <v>0</v>
          </cell>
          <cell r="N30" t="e">
            <v>#REF!</v>
          </cell>
        </row>
        <row r="31">
          <cell r="L31">
            <v>28</v>
          </cell>
          <cell r="M31">
            <v>0</v>
          </cell>
          <cell r="N31" t="e">
            <v>#REF!</v>
          </cell>
        </row>
        <row r="32">
          <cell r="L32">
            <v>29</v>
          </cell>
          <cell r="M32">
            <v>0</v>
          </cell>
          <cell r="N32" t="e">
            <v>#REF!</v>
          </cell>
        </row>
        <row r="33">
          <cell r="L33">
            <v>30</v>
          </cell>
          <cell r="M33">
            <v>0</v>
          </cell>
          <cell r="N33" t="e">
            <v>#REF!</v>
          </cell>
        </row>
      </sheetData>
      <sheetData sheetId="6" refreshError="1">
        <row r="106">
          <cell r="T106">
            <v>243020318.85571861</v>
          </cell>
        </row>
        <row r="119">
          <cell r="B119">
            <v>1</v>
          </cell>
          <cell r="E119" t="str">
            <v>Comercial y Servicios Larco S.A.S</v>
          </cell>
          <cell r="F119" t="str">
            <v>H</v>
          </cell>
        </row>
        <row r="120">
          <cell r="B120">
            <v>2</v>
          </cell>
          <cell r="E120">
            <v>0</v>
          </cell>
          <cell r="F120" t="e">
            <v>#N/A</v>
          </cell>
        </row>
        <row r="121">
          <cell r="B121">
            <v>3</v>
          </cell>
          <cell r="E121">
            <v>0</v>
          </cell>
          <cell r="F121" t="e">
            <v>#N/A</v>
          </cell>
        </row>
        <row r="122">
          <cell r="B122">
            <v>4</v>
          </cell>
          <cell r="E122">
            <v>0</v>
          </cell>
          <cell r="F122" t="e">
            <v>#N/A</v>
          </cell>
        </row>
        <row r="123">
          <cell r="B123">
            <v>5</v>
          </cell>
          <cell r="E123">
            <v>0</v>
          </cell>
          <cell r="F123" t="e">
            <v>#N/A</v>
          </cell>
        </row>
        <row r="124">
          <cell r="B124">
            <v>6</v>
          </cell>
          <cell r="E124">
            <v>0</v>
          </cell>
          <cell r="F124" t="e">
            <v>#N/A</v>
          </cell>
        </row>
        <row r="125">
          <cell r="B125">
            <v>7</v>
          </cell>
          <cell r="E125">
            <v>0</v>
          </cell>
          <cell r="F125" t="e">
            <v>#N/A</v>
          </cell>
        </row>
        <row r="126">
          <cell r="B126">
            <v>8</v>
          </cell>
          <cell r="E126">
            <v>0</v>
          </cell>
          <cell r="F126" t="e">
            <v>#N/A</v>
          </cell>
        </row>
        <row r="127">
          <cell r="B127">
            <v>9</v>
          </cell>
          <cell r="E127">
            <v>0</v>
          </cell>
          <cell r="F127" t="e">
            <v>#N/A</v>
          </cell>
        </row>
        <row r="128">
          <cell r="B128">
            <v>10</v>
          </cell>
          <cell r="E128">
            <v>0</v>
          </cell>
          <cell r="F128" t="e">
            <v>#N/A</v>
          </cell>
        </row>
        <row r="129">
          <cell r="B129">
            <v>11</v>
          </cell>
          <cell r="E129">
            <v>0</v>
          </cell>
          <cell r="F129" t="e">
            <v>#N/A</v>
          </cell>
        </row>
        <row r="130">
          <cell r="B130">
            <v>12</v>
          </cell>
          <cell r="E130">
            <v>0</v>
          </cell>
          <cell r="F130" t="e">
            <v>#N/A</v>
          </cell>
        </row>
        <row r="131">
          <cell r="B131">
            <v>13</v>
          </cell>
          <cell r="E131">
            <v>0</v>
          </cell>
          <cell r="F131" t="e">
            <v>#N/A</v>
          </cell>
        </row>
        <row r="132">
          <cell r="B132">
            <v>14</v>
          </cell>
          <cell r="E132">
            <v>0</v>
          </cell>
          <cell r="F132" t="e">
            <v>#N/A</v>
          </cell>
        </row>
        <row r="133">
          <cell r="B133">
            <v>15</v>
          </cell>
          <cell r="E133">
            <v>0</v>
          </cell>
          <cell r="F133" t="e">
            <v>#N/A</v>
          </cell>
        </row>
        <row r="134">
          <cell r="B134">
            <v>16</v>
          </cell>
          <cell r="E134">
            <v>0</v>
          </cell>
          <cell r="F134" t="e">
            <v>#N/A</v>
          </cell>
        </row>
        <row r="135">
          <cell r="B135">
            <v>17</v>
          </cell>
          <cell r="E135">
            <v>0</v>
          </cell>
          <cell r="F135" t="e">
            <v>#N/A</v>
          </cell>
        </row>
        <row r="136">
          <cell r="B136">
            <v>18</v>
          </cell>
          <cell r="E136">
            <v>0</v>
          </cell>
          <cell r="F136" t="e">
            <v>#N/A</v>
          </cell>
        </row>
        <row r="137">
          <cell r="B137">
            <v>19</v>
          </cell>
          <cell r="E137">
            <v>0</v>
          </cell>
          <cell r="F137" t="e">
            <v>#N/A</v>
          </cell>
        </row>
        <row r="138">
          <cell r="B138">
            <v>20</v>
          </cell>
          <cell r="E138">
            <v>0</v>
          </cell>
          <cell r="F138" t="e">
            <v>#N/A</v>
          </cell>
        </row>
        <row r="139">
          <cell r="B139">
            <v>21</v>
          </cell>
          <cell r="E139">
            <v>0</v>
          </cell>
          <cell r="F139" t="e">
            <v>#N/A</v>
          </cell>
        </row>
        <row r="140">
          <cell r="B140">
            <v>22</v>
          </cell>
          <cell r="E140">
            <v>0</v>
          </cell>
          <cell r="F140" t="e">
            <v>#N/A</v>
          </cell>
        </row>
        <row r="141">
          <cell r="B141">
            <v>23</v>
          </cell>
          <cell r="E141">
            <v>0</v>
          </cell>
          <cell r="F141" t="e">
            <v>#N/A</v>
          </cell>
        </row>
        <row r="142">
          <cell r="B142">
            <v>24</v>
          </cell>
          <cell r="E142">
            <v>0</v>
          </cell>
          <cell r="F142" t="e">
            <v>#N/A</v>
          </cell>
        </row>
        <row r="143">
          <cell r="B143">
            <v>25</v>
          </cell>
          <cell r="E143">
            <v>0</v>
          </cell>
          <cell r="F143" t="e">
            <v>#N/A</v>
          </cell>
        </row>
        <row r="144">
          <cell r="B144">
            <v>26</v>
          </cell>
          <cell r="E144">
            <v>0</v>
          </cell>
          <cell r="F144" t="e">
            <v>#N/A</v>
          </cell>
        </row>
        <row r="145">
          <cell r="B145">
            <v>27</v>
          </cell>
          <cell r="E145">
            <v>0</v>
          </cell>
          <cell r="F145" t="e">
            <v>#N/A</v>
          </cell>
        </row>
        <row r="146">
          <cell r="B146">
            <v>28</v>
          </cell>
          <cell r="E146">
            <v>0</v>
          </cell>
          <cell r="F146" t="e">
            <v>#N/A</v>
          </cell>
        </row>
        <row r="147">
          <cell r="B147">
            <v>29</v>
          </cell>
          <cell r="E147">
            <v>0</v>
          </cell>
          <cell r="F147" t="e">
            <v>#N/A</v>
          </cell>
        </row>
        <row r="148">
          <cell r="B148">
            <v>30</v>
          </cell>
          <cell r="E148">
            <v>0</v>
          </cell>
          <cell r="F148" t="e">
            <v>#N/A</v>
          </cell>
        </row>
      </sheetData>
      <sheetData sheetId="7" refreshError="1"/>
      <sheetData sheetId="8" refreshError="1"/>
      <sheetData sheetId="9" refreshError="1">
        <row r="5">
          <cell r="A5">
            <v>1</v>
          </cell>
          <cell r="B5" t="str">
            <v>Comercial y Servicios Larco S.A.S</v>
          </cell>
          <cell r="C5" t="str">
            <v>NH</v>
          </cell>
          <cell r="D5" t="e">
            <v>#DIV/0!</v>
          </cell>
          <cell r="E5" t="e">
            <v>#REF!</v>
          </cell>
          <cell r="F5" t="str">
            <v>H</v>
          </cell>
          <cell r="G5" t="str">
            <v>H</v>
          </cell>
          <cell r="H5" t="str">
            <v xml:space="preserve"> </v>
          </cell>
        </row>
        <row r="6">
          <cell r="A6">
            <v>2</v>
          </cell>
          <cell r="B6">
            <v>0</v>
          </cell>
          <cell r="C6" t="str">
            <v>NH</v>
          </cell>
          <cell r="D6" t="e">
            <v>#DIV/0!</v>
          </cell>
          <cell r="E6" t="e">
            <v>#REF!</v>
          </cell>
          <cell r="F6">
            <v>0</v>
          </cell>
          <cell r="H6" t="str">
            <v xml:space="preserve"> </v>
          </cell>
        </row>
        <row r="7">
          <cell r="A7">
            <v>3</v>
          </cell>
          <cell r="B7">
            <v>0</v>
          </cell>
          <cell r="C7" t="str">
            <v>NH</v>
          </cell>
          <cell r="D7" t="e">
            <v>#DIV/0!</v>
          </cell>
          <cell r="E7" t="e">
            <v>#REF!</v>
          </cell>
          <cell r="F7">
            <v>0</v>
          </cell>
          <cell r="H7" t="str">
            <v xml:space="preserve"> </v>
          </cell>
        </row>
        <row r="8">
          <cell r="A8">
            <v>4</v>
          </cell>
          <cell r="B8">
            <v>0</v>
          </cell>
          <cell r="C8" t="str">
            <v>NH</v>
          </cell>
          <cell r="D8" t="e">
            <v>#DIV/0!</v>
          </cell>
          <cell r="E8" t="e">
            <v>#REF!</v>
          </cell>
          <cell r="F8">
            <v>0</v>
          </cell>
          <cell r="H8" t="str">
            <v xml:space="preserve"> </v>
          </cell>
        </row>
        <row r="9">
          <cell r="A9">
            <v>5</v>
          </cell>
          <cell r="B9">
            <v>0</v>
          </cell>
          <cell r="C9" t="str">
            <v>NH</v>
          </cell>
          <cell r="D9" t="e">
            <v>#DIV/0!</v>
          </cell>
          <cell r="E9" t="e">
            <v>#REF!</v>
          </cell>
          <cell r="F9">
            <v>0</v>
          </cell>
          <cell r="H9" t="str">
            <v xml:space="preserve"> </v>
          </cell>
        </row>
        <row r="10">
          <cell r="A10">
            <v>6</v>
          </cell>
          <cell r="B10">
            <v>0</v>
          </cell>
          <cell r="C10" t="str">
            <v>NH</v>
          </cell>
          <cell r="D10" t="e">
            <v>#DIV/0!</v>
          </cell>
          <cell r="E10" t="e">
            <v>#REF!</v>
          </cell>
          <cell r="F10">
            <v>0</v>
          </cell>
          <cell r="H10" t="str">
            <v xml:space="preserve"> </v>
          </cell>
        </row>
        <row r="11">
          <cell r="A11">
            <v>7</v>
          </cell>
          <cell r="B11">
            <v>0</v>
          </cell>
          <cell r="C11" t="str">
            <v>NH</v>
          </cell>
          <cell r="D11" t="e">
            <v>#DIV/0!</v>
          </cell>
          <cell r="E11" t="e">
            <v>#REF!</v>
          </cell>
          <cell r="F11">
            <v>0</v>
          </cell>
          <cell r="H11" t="str">
            <v xml:space="preserve"> </v>
          </cell>
        </row>
        <row r="12">
          <cell r="A12">
            <v>8</v>
          </cell>
          <cell r="B12">
            <v>0</v>
          </cell>
          <cell r="C12" t="str">
            <v>NH</v>
          </cell>
          <cell r="D12" t="e">
            <v>#DIV/0!</v>
          </cell>
          <cell r="E12" t="e">
            <v>#REF!</v>
          </cell>
          <cell r="F12">
            <v>0</v>
          </cell>
          <cell r="H12" t="str">
            <v xml:space="preserve"> </v>
          </cell>
        </row>
        <row r="13">
          <cell r="A13">
            <v>9</v>
          </cell>
          <cell r="B13">
            <v>0</v>
          </cell>
          <cell r="C13" t="str">
            <v>NH</v>
          </cell>
          <cell r="D13" t="e">
            <v>#DIV/0!</v>
          </cell>
          <cell r="E13" t="e">
            <v>#REF!</v>
          </cell>
          <cell r="F13">
            <v>0</v>
          </cell>
          <cell r="H13" t="str">
            <v xml:space="preserve"> </v>
          </cell>
        </row>
        <row r="14">
          <cell r="A14">
            <v>10</v>
          </cell>
          <cell r="B14">
            <v>0</v>
          </cell>
          <cell r="C14" t="str">
            <v>NH</v>
          </cell>
          <cell r="D14" t="e">
            <v>#DIV/0!</v>
          </cell>
          <cell r="E14" t="e">
            <v>#REF!</v>
          </cell>
          <cell r="F14">
            <v>0</v>
          </cell>
          <cell r="H14" t="str">
            <v xml:space="preserve"> </v>
          </cell>
        </row>
        <row r="15">
          <cell r="A15">
            <v>11</v>
          </cell>
          <cell r="B15">
            <v>0</v>
          </cell>
          <cell r="C15" t="str">
            <v>NH</v>
          </cell>
          <cell r="D15" t="e">
            <v>#DIV/0!</v>
          </cell>
          <cell r="E15" t="e">
            <v>#REF!</v>
          </cell>
          <cell r="F15">
            <v>0</v>
          </cell>
          <cell r="H15" t="str">
            <v xml:space="preserve"> </v>
          </cell>
        </row>
        <row r="16">
          <cell r="A16">
            <v>12</v>
          </cell>
          <cell r="B16">
            <v>0</v>
          </cell>
          <cell r="C16" t="str">
            <v>NH</v>
          </cell>
          <cell r="D16" t="e">
            <v>#DIV/0!</v>
          </cell>
          <cell r="E16" t="e">
            <v>#REF!</v>
          </cell>
          <cell r="F16">
            <v>0</v>
          </cell>
          <cell r="H16" t="str">
            <v xml:space="preserve"> </v>
          </cell>
        </row>
        <row r="17">
          <cell r="A17">
            <v>13</v>
          </cell>
          <cell r="B17">
            <v>0</v>
          </cell>
          <cell r="C17" t="str">
            <v>NH</v>
          </cell>
          <cell r="D17" t="e">
            <v>#DIV/0!</v>
          </cell>
          <cell r="E17" t="e">
            <v>#REF!</v>
          </cell>
          <cell r="F17">
            <v>0</v>
          </cell>
          <cell r="H17" t="str">
            <v xml:space="preserve"> </v>
          </cell>
        </row>
        <row r="18">
          <cell r="A18">
            <v>14</v>
          </cell>
          <cell r="B18">
            <v>0</v>
          </cell>
          <cell r="C18" t="str">
            <v>NH</v>
          </cell>
          <cell r="D18" t="e">
            <v>#DIV/0!</v>
          </cell>
          <cell r="E18" t="e">
            <v>#REF!</v>
          </cell>
          <cell r="F18">
            <v>0</v>
          </cell>
          <cell r="H18" t="str">
            <v xml:space="preserve"> </v>
          </cell>
        </row>
        <row r="19">
          <cell r="A19">
            <v>15</v>
          </cell>
          <cell r="B19">
            <v>0</v>
          </cell>
          <cell r="C19" t="str">
            <v>NH</v>
          </cell>
          <cell r="D19" t="e">
            <v>#DIV/0!</v>
          </cell>
          <cell r="E19" t="e">
            <v>#REF!</v>
          </cell>
          <cell r="F19">
            <v>0</v>
          </cell>
          <cell r="H19" t="str">
            <v xml:space="preserve"> </v>
          </cell>
        </row>
        <row r="20">
          <cell r="A20">
            <v>16</v>
          </cell>
          <cell r="B20">
            <v>0</v>
          </cell>
          <cell r="C20" t="str">
            <v>NH</v>
          </cell>
          <cell r="D20" t="e">
            <v>#DIV/0!</v>
          </cell>
          <cell r="E20" t="e">
            <v>#REF!</v>
          </cell>
          <cell r="F20">
            <v>0</v>
          </cell>
          <cell r="H20" t="str">
            <v xml:space="preserve"> </v>
          </cell>
        </row>
        <row r="21">
          <cell r="A21">
            <v>17</v>
          </cell>
          <cell r="B21">
            <v>0</v>
          </cell>
          <cell r="C21" t="str">
            <v>NH</v>
          </cell>
          <cell r="D21" t="e">
            <v>#DIV/0!</v>
          </cell>
          <cell r="E21" t="e">
            <v>#REF!</v>
          </cell>
          <cell r="F21">
            <v>0</v>
          </cell>
          <cell r="H21" t="str">
            <v xml:space="preserve"> </v>
          </cell>
        </row>
        <row r="22">
          <cell r="A22">
            <v>18</v>
          </cell>
          <cell r="B22">
            <v>0</v>
          </cell>
          <cell r="C22" t="str">
            <v>NH</v>
          </cell>
          <cell r="D22" t="e">
            <v>#DIV/0!</v>
          </cell>
          <cell r="E22" t="e">
            <v>#REF!</v>
          </cell>
          <cell r="F22">
            <v>0</v>
          </cell>
          <cell r="H22" t="str">
            <v xml:space="preserve"> </v>
          </cell>
        </row>
        <row r="23">
          <cell r="A23">
            <v>19</v>
          </cell>
          <cell r="B23">
            <v>0</v>
          </cell>
          <cell r="C23" t="str">
            <v>NH</v>
          </cell>
          <cell r="D23" t="e">
            <v>#DIV/0!</v>
          </cell>
          <cell r="E23" t="e">
            <v>#REF!</v>
          </cell>
          <cell r="F23">
            <v>0</v>
          </cell>
          <cell r="H23" t="str">
            <v xml:space="preserve"> </v>
          </cell>
        </row>
        <row r="24">
          <cell r="A24">
            <v>20</v>
          </cell>
          <cell r="B24">
            <v>0</v>
          </cell>
          <cell r="C24" t="str">
            <v>NH</v>
          </cell>
          <cell r="D24" t="e">
            <v>#DIV/0!</v>
          </cell>
          <cell r="E24" t="e">
            <v>#REF!</v>
          </cell>
          <cell r="F24">
            <v>0</v>
          </cell>
          <cell r="H24" t="str">
            <v xml:space="preserve"> </v>
          </cell>
        </row>
        <row r="25">
          <cell r="A25">
            <v>21</v>
          </cell>
          <cell r="B25">
            <v>0</v>
          </cell>
          <cell r="C25" t="str">
            <v>NH</v>
          </cell>
          <cell r="D25" t="e">
            <v>#DIV/0!</v>
          </cell>
          <cell r="E25" t="e">
            <v>#REF!</v>
          </cell>
          <cell r="F25">
            <v>0</v>
          </cell>
          <cell r="H25" t="str">
            <v xml:space="preserve"> </v>
          </cell>
        </row>
        <row r="26">
          <cell r="A26">
            <v>22</v>
          </cell>
          <cell r="B26">
            <v>0</v>
          </cell>
          <cell r="C26" t="str">
            <v>NH</v>
          </cell>
          <cell r="D26" t="e">
            <v>#DIV/0!</v>
          </cell>
          <cell r="E26" t="e">
            <v>#REF!</v>
          </cell>
          <cell r="F26">
            <v>0</v>
          </cell>
          <cell r="H26" t="str">
            <v xml:space="preserve"> </v>
          </cell>
        </row>
        <row r="27">
          <cell r="A27">
            <v>23</v>
          </cell>
          <cell r="B27">
            <v>0</v>
          </cell>
          <cell r="C27" t="str">
            <v>NH</v>
          </cell>
          <cell r="D27" t="e">
            <v>#DIV/0!</v>
          </cell>
          <cell r="E27" t="e">
            <v>#REF!</v>
          </cell>
          <cell r="F27">
            <v>0</v>
          </cell>
          <cell r="H27" t="str">
            <v xml:space="preserve"> </v>
          </cell>
        </row>
        <row r="28">
          <cell r="A28">
            <v>24</v>
          </cell>
          <cell r="B28">
            <v>0</v>
          </cell>
          <cell r="C28" t="str">
            <v>NH</v>
          </cell>
          <cell r="D28" t="e">
            <v>#DIV/0!</v>
          </cell>
          <cell r="E28" t="e">
            <v>#REF!</v>
          </cell>
          <cell r="F28">
            <v>0</v>
          </cell>
          <cell r="H28" t="str">
            <v xml:space="preserve"> </v>
          </cell>
        </row>
        <row r="29">
          <cell r="A29">
            <v>25</v>
          </cell>
          <cell r="B29">
            <v>0</v>
          </cell>
          <cell r="C29" t="str">
            <v>NH</v>
          </cell>
          <cell r="D29" t="e">
            <v>#DIV/0!</v>
          </cell>
          <cell r="E29" t="e">
            <v>#REF!</v>
          </cell>
          <cell r="F29">
            <v>0</v>
          </cell>
          <cell r="H29" t="str">
            <v xml:space="preserve"> </v>
          </cell>
        </row>
        <row r="30">
          <cell r="A30">
            <v>26</v>
          </cell>
          <cell r="B30">
            <v>0</v>
          </cell>
          <cell r="C30" t="str">
            <v>NH</v>
          </cell>
          <cell r="D30" t="e">
            <v>#DIV/0!</v>
          </cell>
          <cell r="E30" t="e">
            <v>#REF!</v>
          </cell>
          <cell r="F30">
            <v>0</v>
          </cell>
          <cell r="H30" t="str">
            <v xml:space="preserve"> </v>
          </cell>
        </row>
        <row r="31">
          <cell r="A31">
            <v>27</v>
          </cell>
          <cell r="B31">
            <v>0</v>
          </cell>
          <cell r="C31" t="str">
            <v>NH</v>
          </cell>
          <cell r="D31" t="e">
            <v>#DIV/0!</v>
          </cell>
          <cell r="E31" t="e">
            <v>#REF!</v>
          </cell>
          <cell r="F31">
            <v>0</v>
          </cell>
          <cell r="H31" t="str">
            <v xml:space="preserve"> </v>
          </cell>
        </row>
        <row r="32">
          <cell r="A32">
            <v>28</v>
          </cell>
          <cell r="B32">
            <v>0</v>
          </cell>
          <cell r="C32" t="str">
            <v>NH</v>
          </cell>
          <cell r="D32" t="e">
            <v>#DIV/0!</v>
          </cell>
          <cell r="E32" t="e">
            <v>#REF!</v>
          </cell>
          <cell r="F32">
            <v>0</v>
          </cell>
          <cell r="H32" t="str">
            <v xml:space="preserve"> </v>
          </cell>
        </row>
        <row r="33">
          <cell r="A33">
            <v>29</v>
          </cell>
          <cell r="B33">
            <v>0</v>
          </cell>
          <cell r="C33" t="str">
            <v>NH</v>
          </cell>
          <cell r="D33" t="e">
            <v>#DIV/0!</v>
          </cell>
          <cell r="E33" t="e">
            <v>#REF!</v>
          </cell>
          <cell r="F33">
            <v>0</v>
          </cell>
          <cell r="H33" t="str">
            <v xml:space="preserve"> </v>
          </cell>
        </row>
        <row r="34">
          <cell r="A34">
            <v>30</v>
          </cell>
          <cell r="B34">
            <v>0</v>
          </cell>
          <cell r="C34" t="str">
            <v>NH</v>
          </cell>
          <cell r="D34" t="e">
            <v>#DIV/0!</v>
          </cell>
          <cell r="E34" t="e">
            <v>#REF!</v>
          </cell>
          <cell r="F34">
            <v>0</v>
          </cell>
          <cell r="H34" t="str">
            <v xml:space="preserve"> </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s>
    <sheetDataSet>
      <sheetData sheetId="0">
        <row r="60">
          <cell r="F60">
            <v>80591.125</v>
          </cell>
        </row>
        <row r="81">
          <cell r="C81">
            <v>1030017.2290000001</v>
          </cell>
        </row>
      </sheetData>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row r="4">
          <cell r="F4">
            <v>2050</v>
          </cell>
        </row>
        <row r="5">
          <cell r="F5">
            <v>3160</v>
          </cell>
        </row>
        <row r="6">
          <cell r="D6">
            <v>1</v>
          </cell>
        </row>
        <row r="11">
          <cell r="D11">
            <v>1</v>
          </cell>
        </row>
      </sheetData>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row r="1">
          <cell r="A1" t="str">
            <v>MATERIALES</v>
          </cell>
        </row>
        <row r="148">
          <cell r="A148" t="str">
            <v>Grua</v>
          </cell>
          <cell r="B148" t="str">
            <v>Dia</v>
          </cell>
          <cell r="C148">
            <v>800000</v>
          </cell>
        </row>
        <row r="149">
          <cell r="A149" t="str">
            <v>Camión de 3 Toneladas</v>
          </cell>
          <cell r="B149" t="str">
            <v>Dia</v>
          </cell>
          <cell r="C149">
            <v>190000</v>
          </cell>
        </row>
        <row r="150">
          <cell r="A150" t="str">
            <v>Camioneta 4x4</v>
          </cell>
          <cell r="B150" t="str">
            <v>Dia</v>
          </cell>
          <cell r="C150">
            <v>160000</v>
          </cell>
        </row>
        <row r="151">
          <cell r="A151" t="str">
            <v>Diferencial de 3/4 de tonelada</v>
          </cell>
          <cell r="B151" t="str">
            <v>Dia</v>
          </cell>
          <cell r="C151">
            <v>7100</v>
          </cell>
        </row>
        <row r="152">
          <cell r="A152" t="str">
            <v>Agarradora</v>
          </cell>
          <cell r="B152" t="str">
            <v>Dia</v>
          </cell>
          <cell r="C152">
            <v>2890</v>
          </cell>
        </row>
        <row r="153">
          <cell r="A153" t="str">
            <v>Paladraga y barretón</v>
          </cell>
          <cell r="B153" t="str">
            <v>Dia</v>
          </cell>
          <cell r="C153">
            <v>1890</v>
          </cell>
        </row>
        <row r="154">
          <cell r="A154" t="str">
            <v>Cinturon de seguridad y pretales</v>
          </cell>
          <cell r="B154" t="str">
            <v>Dia</v>
          </cell>
          <cell r="C154">
            <v>800</v>
          </cell>
        </row>
        <row r="155">
          <cell r="A155" t="str">
            <v>Equipo menor de liniero</v>
          </cell>
          <cell r="B155" t="str">
            <v>Dia</v>
          </cell>
          <cell r="C155">
            <v>7565</v>
          </cell>
        </row>
        <row r="156">
          <cell r="A156" t="str">
            <v>Trompo para 1 1/2 Bultos de cemento</v>
          </cell>
          <cell r="B156" t="str">
            <v>Dia</v>
          </cell>
          <cell r="C156">
            <v>30000</v>
          </cell>
        </row>
        <row r="157">
          <cell r="A157" t="str">
            <v>Escalera tipo Tijera de 6 pasos</v>
          </cell>
          <cell r="B157" t="str">
            <v>Dia</v>
          </cell>
          <cell r="C157">
            <v>8000</v>
          </cell>
        </row>
        <row r="158">
          <cell r="A158" t="str">
            <v>Taladro Percutor</v>
          </cell>
          <cell r="B158" t="str">
            <v>Dia</v>
          </cell>
          <cell r="C158">
            <v>8000</v>
          </cell>
        </row>
        <row r="159">
          <cell r="A159" t="str">
            <v>Antenallas</v>
          </cell>
          <cell r="B159" t="str">
            <v>Dia</v>
          </cell>
          <cell r="C159">
            <v>2702</v>
          </cell>
        </row>
        <row r="160">
          <cell r="A160" t="str">
            <v>Aparejo doble</v>
          </cell>
          <cell r="B160" t="str">
            <v>Dia</v>
          </cell>
          <cell r="C160">
            <v>2800</v>
          </cell>
        </row>
        <row r="161">
          <cell r="A161" t="str">
            <v>Manilas</v>
          </cell>
          <cell r="B161" t="str">
            <v>Dia</v>
          </cell>
          <cell r="C161">
            <v>1200</v>
          </cell>
        </row>
        <row r="165">
          <cell r="A165" t="str">
            <v>Cuadrilla de redes (1 Encargado, 4 Oficiales 1,5 Ayudantes 3)</v>
          </cell>
          <cell r="B165" t="str">
            <v>Dia</v>
          </cell>
          <cell r="C165">
            <v>384208.33333333337</v>
          </cell>
        </row>
        <row r="166">
          <cell r="A166" t="str">
            <v>Pareja Redes (1 Oficial 1, 1 Ayudante 1)</v>
          </cell>
          <cell r="B166" t="str">
            <v>Dia</v>
          </cell>
          <cell r="C166">
            <v>75375</v>
          </cell>
        </row>
        <row r="167">
          <cell r="A167" t="str">
            <v>Pareja Internas (1 Oficial 2, 1 Ayudante 2)</v>
          </cell>
          <cell r="B167" t="str">
            <v>Dia</v>
          </cell>
          <cell r="C167">
            <v>70208.333333333328</v>
          </cell>
        </row>
        <row r="168">
          <cell r="A168" t="str">
            <v>Pareja Ayudantes (2 Ayudantes 2)</v>
          </cell>
          <cell r="B168" t="str">
            <v>Dia</v>
          </cell>
          <cell r="C168">
            <v>52500</v>
          </cell>
        </row>
        <row r="172">
          <cell r="A172" t="str">
            <v>Transporte Camioneta</v>
          </cell>
          <cell r="B172" t="str">
            <v>kg</v>
          </cell>
          <cell r="C172">
            <v>160</v>
          </cell>
        </row>
        <row r="173">
          <cell r="A173" t="str">
            <v>Transporte Camión</v>
          </cell>
          <cell r="B173" t="str">
            <v>kg</v>
          </cell>
          <cell r="C173">
            <v>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Formular"/>
      <sheetName val="Recurso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sheetData sheetId="1" refreshError="1"/>
      <sheetData sheetId="2" refreshError="1"/>
      <sheetData sheetId="3" refreshError="1"/>
      <sheetData sheetId="4">
        <row r="1">
          <cell r="C1">
            <v>0</v>
          </cell>
        </row>
      </sheetData>
      <sheetData sheetId="5">
        <row r="1">
          <cell r="C1">
            <v>0</v>
          </cell>
        </row>
      </sheetData>
      <sheetData sheetId="6">
        <row r="1">
          <cell r="C1">
            <v>0</v>
          </cell>
        </row>
      </sheetData>
      <sheetData sheetId="7">
        <row r="1">
          <cell r="C1">
            <v>0</v>
          </cell>
        </row>
      </sheetData>
      <sheetData sheetId="8"/>
      <sheetData sheetId="9"/>
      <sheetData sheetId="10"/>
      <sheetData sheetId="11"/>
      <sheetData sheetId="12"/>
      <sheetData sheetId="13"/>
      <sheetData sheetId="14"/>
      <sheetData sheetId="15"/>
      <sheetData sheetId="16">
        <row r="1">
          <cell r="C1">
            <v>0</v>
          </cell>
        </row>
      </sheetData>
      <sheetData sheetId="17" refreshError="1"/>
      <sheetData sheetId="18">
        <row r="1">
          <cell r="C1">
            <v>0</v>
          </cell>
        </row>
      </sheetData>
      <sheetData sheetId="19">
        <row r="1">
          <cell r="C1">
            <v>0</v>
          </cell>
        </row>
      </sheetData>
      <sheetData sheetId="20">
        <row r="1">
          <cell r="C1">
            <v>0</v>
          </cell>
        </row>
      </sheetData>
      <sheetData sheetId="21">
        <row r="1">
          <cell r="C1">
            <v>0</v>
          </cell>
        </row>
      </sheetData>
      <sheetData sheetId="22">
        <row r="1">
          <cell r="C1">
            <v>0</v>
          </cell>
        </row>
      </sheetData>
      <sheetData sheetId="23">
        <row r="1">
          <cell r="C1">
            <v>0</v>
          </cell>
        </row>
      </sheetData>
      <sheetData sheetId="24">
        <row r="1">
          <cell r="C1">
            <v>0</v>
          </cell>
        </row>
      </sheetData>
      <sheetData sheetId="25">
        <row r="1">
          <cell r="C1">
            <v>0</v>
          </cell>
        </row>
      </sheetData>
      <sheetData sheetId="26"/>
      <sheetData sheetId="27"/>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ow r="1">
          <cell r="C1">
            <v>0</v>
          </cell>
        </row>
      </sheetData>
      <sheetData sheetId="95"/>
      <sheetData sheetId="96"/>
      <sheetData sheetId="97"/>
      <sheetData sheetId="98"/>
      <sheetData sheetId="99"/>
      <sheetData sheetId="10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B41"/>
  <sheetViews>
    <sheetView showGridLines="0" workbookViewId="0">
      <selection activeCell="G7" sqref="G7"/>
    </sheetView>
  </sheetViews>
  <sheetFormatPr baseColWidth="10" defaultRowHeight="12.75" x14ac:dyDescent="0.2"/>
  <cols>
    <col min="1" max="1" width="11.42578125" style="28"/>
    <col min="2" max="2" width="76" style="28" customWidth="1"/>
    <col min="3" max="16384" width="11.42578125" style="28"/>
  </cols>
  <sheetData>
    <row r="1" spans="1:2" ht="20.25" x14ac:dyDescent="0.2">
      <c r="A1" s="198" t="s">
        <v>242</v>
      </c>
      <c r="B1" s="199"/>
    </row>
    <row r="2" spans="1:2" ht="34.5" customHeight="1" x14ac:dyDescent="0.2">
      <c r="A2" s="200" t="s">
        <v>243</v>
      </c>
      <c r="B2" s="201"/>
    </row>
    <row r="3" spans="1:2" ht="34.5" customHeight="1" x14ac:dyDescent="0.2">
      <c r="A3" s="200" t="s">
        <v>244</v>
      </c>
      <c r="B3" s="201"/>
    </row>
    <row r="4" spans="1:2" ht="126" customHeight="1" x14ac:dyDescent="0.2">
      <c r="A4" s="202" t="s">
        <v>245</v>
      </c>
      <c r="B4" s="203"/>
    </row>
    <row r="5" spans="1:2" ht="15.75" x14ac:dyDescent="0.2">
      <c r="A5" s="204" t="s">
        <v>246</v>
      </c>
      <c r="B5" s="205"/>
    </row>
    <row r="6" spans="1:2" ht="15.75" x14ac:dyDescent="0.2">
      <c r="A6" s="20"/>
      <c r="B6" s="20"/>
    </row>
    <row r="7" spans="1:2" ht="15" x14ac:dyDescent="0.2">
      <c r="A7" s="21" t="s">
        <v>247</v>
      </c>
      <c r="B7" s="22" t="s">
        <v>248</v>
      </c>
    </row>
    <row r="8" spans="1:2" ht="14.25" x14ac:dyDescent="0.2">
      <c r="A8" s="23">
        <v>1</v>
      </c>
      <c r="B8" s="24" t="s">
        <v>249</v>
      </c>
    </row>
    <row r="9" spans="1:2" ht="14.25" hidden="1" x14ac:dyDescent="0.2">
      <c r="A9" s="23">
        <v>2</v>
      </c>
      <c r="B9" s="24"/>
    </row>
    <row r="10" spans="1:2" ht="14.25" hidden="1" x14ac:dyDescent="0.2">
      <c r="A10" s="23">
        <v>3</v>
      </c>
      <c r="B10" s="24"/>
    </row>
    <row r="11" spans="1:2" ht="14.25" hidden="1" x14ac:dyDescent="0.2">
      <c r="A11" s="23">
        <v>4</v>
      </c>
      <c r="B11" s="24"/>
    </row>
    <row r="12" spans="1:2" ht="14.25" hidden="1" x14ac:dyDescent="0.2">
      <c r="A12" s="23">
        <v>5</v>
      </c>
      <c r="B12" s="24"/>
    </row>
    <row r="13" spans="1:2" ht="14.25" hidden="1" x14ac:dyDescent="0.2">
      <c r="A13" s="23">
        <v>6</v>
      </c>
      <c r="B13" s="24"/>
    </row>
    <row r="14" spans="1:2" ht="14.25" hidden="1" x14ac:dyDescent="0.2">
      <c r="A14" s="23">
        <v>7</v>
      </c>
      <c r="B14" s="24"/>
    </row>
    <row r="15" spans="1:2" ht="14.25" hidden="1" x14ac:dyDescent="0.2">
      <c r="A15" s="23">
        <v>8</v>
      </c>
      <c r="B15" s="24"/>
    </row>
    <row r="16" spans="1:2" ht="14.25" hidden="1" x14ac:dyDescent="0.2">
      <c r="A16" s="23">
        <v>9</v>
      </c>
      <c r="B16" s="24"/>
    </row>
    <row r="17" spans="1:2" ht="14.25" hidden="1" x14ac:dyDescent="0.2">
      <c r="A17" s="23">
        <v>10</v>
      </c>
      <c r="B17" s="24"/>
    </row>
    <row r="18" spans="1:2" ht="14.25" hidden="1" x14ac:dyDescent="0.2">
      <c r="A18" s="23">
        <v>11</v>
      </c>
      <c r="B18" s="24"/>
    </row>
    <row r="19" spans="1:2" ht="14.25" hidden="1" x14ac:dyDescent="0.2">
      <c r="A19" s="23">
        <v>12</v>
      </c>
      <c r="B19" s="24"/>
    </row>
    <row r="20" spans="1:2" ht="14.25" hidden="1" x14ac:dyDescent="0.2">
      <c r="A20" s="23">
        <v>13</v>
      </c>
      <c r="B20" s="24"/>
    </row>
    <row r="21" spans="1:2" ht="14.25" hidden="1" x14ac:dyDescent="0.2">
      <c r="A21" s="23">
        <v>14</v>
      </c>
      <c r="B21" s="24"/>
    </row>
    <row r="22" spans="1:2" ht="14.25" hidden="1" x14ac:dyDescent="0.2">
      <c r="A22" s="23">
        <v>15</v>
      </c>
      <c r="B22" s="24"/>
    </row>
    <row r="23" spans="1:2" ht="14.25" hidden="1" x14ac:dyDescent="0.2">
      <c r="A23" s="23">
        <v>16</v>
      </c>
      <c r="B23" s="24"/>
    </row>
    <row r="24" spans="1:2" ht="14.25" hidden="1" x14ac:dyDescent="0.2">
      <c r="A24" s="23">
        <v>17</v>
      </c>
      <c r="B24" s="24"/>
    </row>
    <row r="25" spans="1:2" ht="14.25" hidden="1" x14ac:dyDescent="0.2">
      <c r="A25" s="23">
        <v>18</v>
      </c>
      <c r="B25" s="24"/>
    </row>
    <row r="26" spans="1:2" ht="14.25" hidden="1" x14ac:dyDescent="0.2">
      <c r="A26" s="23">
        <v>19</v>
      </c>
      <c r="B26" s="24"/>
    </row>
    <row r="27" spans="1:2" ht="14.25" hidden="1" x14ac:dyDescent="0.2">
      <c r="A27" s="23">
        <v>20</v>
      </c>
      <c r="B27" s="24"/>
    </row>
    <row r="28" spans="1:2" ht="14.25" hidden="1" x14ac:dyDescent="0.2">
      <c r="A28" s="23">
        <v>21</v>
      </c>
      <c r="B28" s="24"/>
    </row>
    <row r="29" spans="1:2" ht="14.25" hidden="1" x14ac:dyDescent="0.2">
      <c r="A29" s="23">
        <v>22</v>
      </c>
      <c r="B29" s="24"/>
    </row>
    <row r="30" spans="1:2" ht="14.25" hidden="1" x14ac:dyDescent="0.2">
      <c r="A30" s="23">
        <v>23</v>
      </c>
      <c r="B30" s="24"/>
    </row>
    <row r="31" spans="1:2" ht="14.25" hidden="1" x14ac:dyDescent="0.2">
      <c r="A31" s="23">
        <v>24</v>
      </c>
      <c r="B31" s="24"/>
    </row>
    <row r="32" spans="1:2" ht="14.25" hidden="1" x14ac:dyDescent="0.2">
      <c r="A32" s="23">
        <v>25</v>
      </c>
      <c r="B32" s="24"/>
    </row>
    <row r="33" spans="1:2" ht="14.25" hidden="1" x14ac:dyDescent="0.2">
      <c r="A33" s="23">
        <v>26</v>
      </c>
      <c r="B33" s="24"/>
    </row>
    <row r="34" spans="1:2" ht="14.25" hidden="1" x14ac:dyDescent="0.2">
      <c r="A34" s="23">
        <v>27</v>
      </c>
      <c r="B34" s="24"/>
    </row>
    <row r="35" spans="1:2" ht="14.25" hidden="1" x14ac:dyDescent="0.2">
      <c r="A35" s="23">
        <v>28</v>
      </c>
      <c r="B35" s="24"/>
    </row>
    <row r="36" spans="1:2" ht="14.25" hidden="1" x14ac:dyDescent="0.2">
      <c r="A36" s="23">
        <v>29</v>
      </c>
      <c r="B36" s="24"/>
    </row>
    <row r="37" spans="1:2" ht="14.25" hidden="1" x14ac:dyDescent="0.2">
      <c r="A37" s="23">
        <v>30</v>
      </c>
      <c r="B37" s="24"/>
    </row>
    <row r="38" spans="1:2" ht="14.25" x14ac:dyDescent="0.2">
      <c r="A38" s="25"/>
      <c r="B38" s="26"/>
    </row>
    <row r="39" spans="1:2" ht="14.25" x14ac:dyDescent="0.2">
      <c r="A39" s="27"/>
      <c r="B39" s="26"/>
    </row>
    <row r="40" spans="1:2" x14ac:dyDescent="0.2">
      <c r="A40" s="196" t="s">
        <v>250</v>
      </c>
      <c r="B40" s="196"/>
    </row>
    <row r="41" spans="1:2" x14ac:dyDescent="0.2">
      <c r="A41" s="196" t="s">
        <v>251</v>
      </c>
      <c r="B41" s="197"/>
    </row>
  </sheetData>
  <sheetProtection algorithmName="SHA-512" hashValue="YbpG9SF3SgW67kgqls/OHz1IpolgDJCOFS9JsLMLjY8b3KCI8MrOHB9XftpiLsluVG+ON7l2do4Pith1NnZ+6w==" saltValue="02Srk4WXum3IvMn4izpibQ==" spinCount="100000" sheet="1" objects="1" scenarios="1"/>
  <mergeCells count="7">
    <mergeCell ref="A41:B41"/>
    <mergeCell ref="A1:B1"/>
    <mergeCell ref="A2:B2"/>
    <mergeCell ref="A3:B3"/>
    <mergeCell ref="A4:B4"/>
    <mergeCell ref="A5:B5"/>
    <mergeCell ref="A40:B4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S28"/>
  <sheetViews>
    <sheetView workbookViewId="0">
      <selection activeCell="K20" sqref="K20"/>
    </sheetView>
  </sheetViews>
  <sheetFormatPr baseColWidth="10" defaultRowHeight="15" x14ac:dyDescent="0.25"/>
  <cols>
    <col min="1" max="1" width="11.42578125" style="176"/>
    <col min="2" max="3" width="15.5703125" style="1" customWidth="1"/>
    <col min="4" max="4" width="11.42578125" style="1"/>
    <col min="5" max="5" width="17" style="1" customWidth="1"/>
    <col min="6" max="7" width="15.42578125" style="1" customWidth="1"/>
    <col min="8" max="8" width="11.42578125" style="1"/>
    <col min="9" max="9" width="19.85546875" style="1" customWidth="1"/>
    <col min="10" max="10" width="16.28515625" style="1" customWidth="1"/>
    <col min="11" max="11" width="23.7109375" style="1" customWidth="1"/>
    <col min="12" max="12" width="25.42578125" style="1" customWidth="1"/>
    <col min="13" max="13" width="27.85546875" style="1" customWidth="1"/>
    <col min="14" max="16384" width="11.42578125" style="1"/>
  </cols>
  <sheetData>
    <row r="1" spans="1:19" ht="15" customHeight="1" x14ac:dyDescent="0.25">
      <c r="I1" s="293" t="s">
        <v>248</v>
      </c>
      <c r="J1" s="294">
        <v>1</v>
      </c>
      <c r="K1" s="290" t="str">
        <f>+HERRAMIENTA!J3</f>
        <v>Comercial y Servicios Larco S.A.S</v>
      </c>
      <c r="L1" s="290"/>
      <c r="M1" s="290"/>
      <c r="N1" s="303" t="s">
        <v>211</v>
      </c>
      <c r="O1" s="303" t="s">
        <v>208</v>
      </c>
      <c r="P1" s="303" t="s">
        <v>207</v>
      </c>
      <c r="Q1" s="303" t="s">
        <v>231</v>
      </c>
      <c r="R1" s="303" t="s">
        <v>0</v>
      </c>
      <c r="S1" s="303" t="s">
        <v>396</v>
      </c>
    </row>
    <row r="2" spans="1:19" x14ac:dyDescent="0.25">
      <c r="I2" s="293"/>
      <c r="J2" s="295"/>
      <c r="K2" s="291"/>
      <c r="L2" s="291"/>
      <c r="M2" s="291"/>
      <c r="N2" s="303"/>
      <c r="O2" s="303"/>
      <c r="P2" s="303"/>
      <c r="Q2" s="303"/>
      <c r="R2" s="303"/>
      <c r="S2" s="303"/>
    </row>
    <row r="3" spans="1:19" ht="15.75" thickBot="1" x14ac:dyDescent="0.3">
      <c r="I3" s="293"/>
      <c r="J3" s="296"/>
      <c r="K3" s="292"/>
      <c r="L3" s="292"/>
      <c r="M3" s="292"/>
      <c r="N3" s="303"/>
      <c r="O3" s="303"/>
      <c r="P3" s="303"/>
      <c r="Q3" s="303"/>
      <c r="R3" s="303"/>
      <c r="S3" s="303"/>
    </row>
    <row r="4" spans="1:19" ht="15.75" thickBot="1" x14ac:dyDescent="0.3">
      <c r="B4" s="300" t="s">
        <v>20</v>
      </c>
      <c r="C4" s="301"/>
      <c r="D4" s="301"/>
      <c r="E4" s="301"/>
      <c r="F4" s="302"/>
      <c r="G4" s="181"/>
      <c r="I4" s="300" t="s">
        <v>20</v>
      </c>
      <c r="J4" s="301"/>
      <c r="K4" s="301"/>
      <c r="L4" s="301"/>
      <c r="M4" s="301"/>
      <c r="N4" s="303"/>
      <c r="O4" s="303"/>
      <c r="P4" s="303"/>
      <c r="Q4" s="303"/>
      <c r="R4" s="303"/>
      <c r="S4" s="303"/>
    </row>
    <row r="5" spans="1:19" ht="25.5" x14ac:dyDescent="0.25">
      <c r="A5" s="178">
        <v>1</v>
      </c>
      <c r="B5" s="185" t="s">
        <v>211</v>
      </c>
      <c r="C5" s="9" t="s">
        <v>208</v>
      </c>
      <c r="D5" s="9" t="s">
        <v>207</v>
      </c>
      <c r="E5" s="9" t="s">
        <v>231</v>
      </c>
      <c r="F5" s="10" t="s">
        <v>0</v>
      </c>
      <c r="G5" s="182"/>
      <c r="H5" s="178">
        <v>1</v>
      </c>
      <c r="I5" s="8" t="s">
        <v>211</v>
      </c>
      <c r="J5" s="9" t="s">
        <v>208</v>
      </c>
      <c r="K5" s="9" t="s">
        <v>207</v>
      </c>
      <c r="L5" s="9" t="s">
        <v>231</v>
      </c>
      <c r="M5" s="10" t="s">
        <v>0</v>
      </c>
      <c r="N5" s="178">
        <f t="shared" ref="N5:N21" si="0">IFERROR(IF(EXACT(I5,VLOOKUP(H5,FORMATO_VIAT,2,FALSE)),1,0),"")</f>
        <v>1</v>
      </c>
      <c r="O5" s="178">
        <f t="shared" ref="O5:O21" si="1">IFERROR(IF(EXACT(J5,VLOOKUP(H5,FORMATO_VIAT,3,FALSE)),1,0),"")</f>
        <v>1</v>
      </c>
      <c r="P5" s="178">
        <f t="shared" ref="P5:P21" si="2">IFERROR(IF(EXACT(K5,VLOOKUP(H5,FORMATO_VIAT,4,FALSE)),1,0),"")</f>
        <v>1</v>
      </c>
      <c r="Q5" s="178">
        <f>IFERROR(IF(EXACT(L5,VLOOKUP(H5,FORMATO_VIAT,5,FALSE)),1,0),"")</f>
        <v>1</v>
      </c>
      <c r="R5" s="178">
        <f>IFERROR(IF(EXACT(M5,VLOOKUP(H5,FORMATO_VIAT,6,FALSE)),1,0),"")</f>
        <v>1</v>
      </c>
      <c r="S5" s="178">
        <f>PRODUCT(N5:R5)</f>
        <v>1</v>
      </c>
    </row>
    <row r="6" spans="1:19" x14ac:dyDescent="0.25">
      <c r="A6" s="178">
        <v>2</v>
      </c>
      <c r="B6" s="183"/>
      <c r="C6" s="11">
        <v>2</v>
      </c>
      <c r="D6" s="12">
        <v>1</v>
      </c>
      <c r="E6" s="12"/>
      <c r="F6" s="6"/>
      <c r="G6" s="183"/>
      <c r="H6" s="178">
        <v>2</v>
      </c>
      <c r="I6" s="7"/>
      <c r="J6" s="11">
        <v>2</v>
      </c>
      <c r="K6" s="12">
        <v>1</v>
      </c>
      <c r="L6" s="12"/>
      <c r="M6" s="6"/>
      <c r="N6" s="178">
        <f t="shared" si="0"/>
        <v>1</v>
      </c>
      <c r="O6" s="178">
        <f t="shared" si="1"/>
        <v>1</v>
      </c>
      <c r="P6" s="178">
        <f t="shared" si="2"/>
        <v>1</v>
      </c>
      <c r="Q6" s="178">
        <f>IFERROR(IF(EXACT(L6,VLOOKUP(H6,FORMATO_VIAT,5,FALSE)),1,0),"")</f>
        <v>1</v>
      </c>
      <c r="R6" s="178">
        <f>IFERROR(IF(EXACT(M6,VLOOKUP(H6,FORMATO_VIAT,6,FALSE)),1,0),"")</f>
        <v>1</v>
      </c>
      <c r="S6" s="178">
        <f t="shared" ref="S6:S20" si="3">PRODUCT(N6:R6)</f>
        <v>1</v>
      </c>
    </row>
    <row r="7" spans="1:19" x14ac:dyDescent="0.25">
      <c r="A7" s="178">
        <v>3</v>
      </c>
      <c r="B7" s="186" t="s">
        <v>230</v>
      </c>
      <c r="C7" s="11"/>
      <c r="D7" s="12"/>
      <c r="E7" s="14"/>
      <c r="F7" s="4">
        <f>E7*C6*2</f>
        <v>0</v>
      </c>
      <c r="G7" s="184"/>
      <c r="H7" s="178">
        <v>3</v>
      </c>
      <c r="I7" s="13" t="s">
        <v>230</v>
      </c>
      <c r="J7" s="11"/>
      <c r="K7" s="12"/>
      <c r="L7" s="14">
        <v>40000</v>
      </c>
      <c r="M7" s="4">
        <f>L7*J6*2</f>
        <v>160000</v>
      </c>
      <c r="N7" s="178">
        <f t="shared" si="0"/>
        <v>1</v>
      </c>
      <c r="O7" s="178">
        <f t="shared" si="1"/>
        <v>1</v>
      </c>
      <c r="P7" s="178">
        <f t="shared" si="2"/>
        <v>1</v>
      </c>
      <c r="Q7" s="178">
        <f>IFERROR(IF(L7&gt;0,1,0),"")</f>
        <v>1</v>
      </c>
      <c r="R7" s="178">
        <f>IFERROR(IF(M7=L7*J6*2,1,0),"")</f>
        <v>1</v>
      </c>
      <c r="S7" s="178">
        <f t="shared" si="3"/>
        <v>1</v>
      </c>
    </row>
    <row r="8" spans="1:19" ht="25.5" x14ac:dyDescent="0.25">
      <c r="A8" s="178">
        <v>4</v>
      </c>
      <c r="B8" s="186" t="s">
        <v>204</v>
      </c>
      <c r="C8" s="11"/>
      <c r="D8" s="12"/>
      <c r="E8" s="14"/>
      <c r="F8" s="4">
        <f>E8*C6*D6</f>
        <v>0</v>
      </c>
      <c r="G8" s="184"/>
      <c r="H8" s="178">
        <v>4</v>
      </c>
      <c r="I8" s="13" t="s">
        <v>204</v>
      </c>
      <c r="J8" s="11"/>
      <c r="K8" s="12"/>
      <c r="L8" s="14">
        <v>120000</v>
      </c>
      <c r="M8" s="4">
        <f>L8*J6*K6</f>
        <v>240000</v>
      </c>
      <c r="N8" s="178">
        <f t="shared" si="0"/>
        <v>1</v>
      </c>
      <c r="O8" s="178">
        <f t="shared" si="1"/>
        <v>1</v>
      </c>
      <c r="P8" s="178">
        <f t="shared" si="2"/>
        <v>1</v>
      </c>
      <c r="Q8" s="178">
        <f>IFERROR(IF(L8&gt;0,1,0),"")</f>
        <v>1</v>
      </c>
      <c r="R8" s="178">
        <f>IFERROR(IF(M8=L8*J6*K6,1,0),"")</f>
        <v>1</v>
      </c>
      <c r="S8" s="178">
        <f t="shared" si="3"/>
        <v>1</v>
      </c>
    </row>
    <row r="9" spans="1:19" ht="15.75" thickBot="1" x14ac:dyDescent="0.3">
      <c r="A9" s="178">
        <v>5</v>
      </c>
      <c r="B9" s="186" t="s">
        <v>0</v>
      </c>
      <c r="C9" s="11"/>
      <c r="D9" s="12"/>
      <c r="E9" s="5"/>
      <c r="F9" s="4">
        <f>SUM(F6:F8)</f>
        <v>0</v>
      </c>
      <c r="G9" s="184"/>
      <c r="H9" s="178">
        <v>5</v>
      </c>
      <c r="I9" s="13" t="s">
        <v>0</v>
      </c>
      <c r="J9" s="11"/>
      <c r="K9" s="12"/>
      <c r="L9" s="5"/>
      <c r="M9" s="4">
        <f>SUM(M6:M8)</f>
        <v>400000</v>
      </c>
      <c r="N9" s="178">
        <f t="shared" si="0"/>
        <v>1</v>
      </c>
      <c r="O9" s="178">
        <f t="shared" si="1"/>
        <v>1</v>
      </c>
      <c r="P9" s="178">
        <f t="shared" si="2"/>
        <v>1</v>
      </c>
      <c r="Q9" s="178">
        <f>IFERROR(IF(EXACT(L9,VLOOKUP(H9,FORMATO_VIAT,5,FALSE)),1,0),"")</f>
        <v>1</v>
      </c>
      <c r="R9" s="178">
        <f>IFERROR(IF(M9=SUM(M6:M8),1,0),"")</f>
        <v>1</v>
      </c>
      <c r="S9" s="178">
        <f t="shared" si="3"/>
        <v>1</v>
      </c>
    </row>
    <row r="10" spans="1:19" ht="15.75" customHeight="1" thickBot="1" x14ac:dyDescent="0.3">
      <c r="A10" s="178">
        <v>6</v>
      </c>
      <c r="B10" s="298" t="s">
        <v>21</v>
      </c>
      <c r="C10" s="298"/>
      <c r="D10" s="298"/>
      <c r="E10" s="298"/>
      <c r="F10" s="299"/>
      <c r="G10" s="182"/>
      <c r="H10" s="178">
        <v>6</v>
      </c>
      <c r="I10" s="297" t="s">
        <v>21</v>
      </c>
      <c r="J10" s="298"/>
      <c r="K10" s="298"/>
      <c r="L10" s="298"/>
      <c r="M10" s="299"/>
      <c r="N10" s="178">
        <f t="shared" si="0"/>
        <v>1</v>
      </c>
      <c r="O10" s="178">
        <f t="shared" si="1"/>
        <v>1</v>
      </c>
      <c r="P10" s="178">
        <f t="shared" si="2"/>
        <v>1</v>
      </c>
      <c r="Q10" s="178">
        <f>IFERROR(IF(EXACT(L10,VLOOKUP(H10,FORMATO_VIAT,5,FALSE)),1,0),"")</f>
        <v>1</v>
      </c>
      <c r="R10" s="178">
        <f>IFERROR(IF(EXACT(M10,VLOOKUP(H10,FORMATO_VIAT,6,FALSE)),1,0),"")</f>
        <v>1</v>
      </c>
      <c r="S10" s="178">
        <f t="shared" si="3"/>
        <v>1</v>
      </c>
    </row>
    <row r="11" spans="1:19" ht="97.5" customHeight="1" x14ac:dyDescent="0.25">
      <c r="A11" s="178">
        <v>7</v>
      </c>
      <c r="B11" s="8" t="s">
        <v>210</v>
      </c>
      <c r="C11" s="9" t="s">
        <v>208</v>
      </c>
      <c r="D11" s="9" t="s">
        <v>207</v>
      </c>
      <c r="E11" s="9" t="s">
        <v>206</v>
      </c>
      <c r="F11" s="10" t="s">
        <v>0</v>
      </c>
      <c r="G11" s="182"/>
      <c r="H11" s="178">
        <v>7</v>
      </c>
      <c r="I11" s="8" t="s">
        <v>210</v>
      </c>
      <c r="J11" s="9" t="s">
        <v>208</v>
      </c>
      <c r="K11" s="9" t="s">
        <v>207</v>
      </c>
      <c r="L11" s="9" t="s">
        <v>206</v>
      </c>
      <c r="M11" s="10" t="s">
        <v>0</v>
      </c>
      <c r="N11" s="178">
        <f t="shared" si="0"/>
        <v>1</v>
      </c>
      <c r="O11" s="178">
        <f t="shared" si="1"/>
        <v>1</v>
      </c>
      <c r="P11" s="178">
        <f t="shared" si="2"/>
        <v>1</v>
      </c>
      <c r="Q11" s="178">
        <f>IFERROR(IF(EXACT(L11,VLOOKUP(H11,FORMATO_VIAT,5,FALSE)),1,0),"")</f>
        <v>1</v>
      </c>
      <c r="R11" s="178">
        <f>IFERROR(IF(EXACT(M11,VLOOKUP(H11,FORMATO_VIAT,6,FALSE)),1,0),"")</f>
        <v>1</v>
      </c>
      <c r="S11" s="178">
        <f t="shared" si="3"/>
        <v>1</v>
      </c>
    </row>
    <row r="12" spans="1:19" x14ac:dyDescent="0.25">
      <c r="A12" s="178">
        <v>8</v>
      </c>
      <c r="B12" s="15"/>
      <c r="C12" s="16">
        <v>2</v>
      </c>
      <c r="D12" s="12">
        <v>5</v>
      </c>
      <c r="E12" s="12"/>
      <c r="F12" s="6"/>
      <c r="G12" s="183"/>
      <c r="H12" s="178">
        <v>8</v>
      </c>
      <c r="I12" s="15"/>
      <c r="J12" s="16">
        <v>2</v>
      </c>
      <c r="K12" s="12">
        <v>5</v>
      </c>
      <c r="L12" s="12"/>
      <c r="M12" s="6"/>
      <c r="N12" s="178">
        <f t="shared" si="0"/>
        <v>1</v>
      </c>
      <c r="O12" s="178">
        <f t="shared" si="1"/>
        <v>1</v>
      </c>
      <c r="P12" s="178">
        <f t="shared" si="2"/>
        <v>1</v>
      </c>
      <c r="Q12" s="178">
        <f>IFERROR(IF(EXACT(L12,VLOOKUP(H12,FORMATO_VIAT,5,FALSE)),1,0),"")</f>
        <v>1</v>
      </c>
      <c r="R12" s="178">
        <f>IFERROR(IF(EXACT(M12,VLOOKUP(H12,FORMATO_VIAT,6,FALSE)),1,0),"")</f>
        <v>1</v>
      </c>
      <c r="S12" s="178">
        <f t="shared" si="3"/>
        <v>1</v>
      </c>
    </row>
    <row r="13" spans="1:19" ht="25.5" x14ac:dyDescent="0.25">
      <c r="A13" s="178">
        <v>9</v>
      </c>
      <c r="B13" s="13" t="s">
        <v>205</v>
      </c>
      <c r="C13" s="11"/>
      <c r="D13" s="12"/>
      <c r="E13" s="14"/>
      <c r="F13" s="4">
        <f>E13*C12*2</f>
        <v>0</v>
      </c>
      <c r="G13" s="184"/>
      <c r="H13" s="178">
        <v>9</v>
      </c>
      <c r="I13" s="13" t="s">
        <v>205</v>
      </c>
      <c r="J13" s="11"/>
      <c r="K13" s="12"/>
      <c r="L13" s="14">
        <v>25000</v>
      </c>
      <c r="M13" s="4">
        <f>L13*J12*2</f>
        <v>100000</v>
      </c>
      <c r="N13" s="178">
        <f t="shared" si="0"/>
        <v>1</v>
      </c>
      <c r="O13" s="178">
        <f t="shared" si="1"/>
        <v>1</v>
      </c>
      <c r="P13" s="178">
        <f t="shared" si="2"/>
        <v>1</v>
      </c>
      <c r="Q13" s="178">
        <f>IFERROR(IF(L13&gt;0,1,0),"")</f>
        <v>1</v>
      </c>
      <c r="R13" s="178">
        <f>IFERROR(IF(M13=L13*J12*2,1,0),"")</f>
        <v>1</v>
      </c>
      <c r="S13" s="178">
        <f t="shared" si="3"/>
        <v>1</v>
      </c>
    </row>
    <row r="14" spans="1:19" ht="25.5" x14ac:dyDescent="0.25">
      <c r="A14" s="178">
        <v>10</v>
      </c>
      <c r="B14" s="13" t="s">
        <v>204</v>
      </c>
      <c r="C14" s="11"/>
      <c r="D14" s="12"/>
      <c r="E14" s="14"/>
      <c r="F14" s="4">
        <f>E14*D12*C12</f>
        <v>0</v>
      </c>
      <c r="G14" s="184"/>
      <c r="H14" s="178">
        <v>10</v>
      </c>
      <c r="I14" s="13" t="s">
        <v>204</v>
      </c>
      <c r="J14" s="11"/>
      <c r="K14" s="12"/>
      <c r="L14" s="14">
        <v>120000</v>
      </c>
      <c r="M14" s="4">
        <f>L14*K12*J12</f>
        <v>1200000</v>
      </c>
      <c r="N14" s="178">
        <f t="shared" si="0"/>
        <v>1</v>
      </c>
      <c r="O14" s="178">
        <f t="shared" si="1"/>
        <v>1</v>
      </c>
      <c r="P14" s="178">
        <f t="shared" si="2"/>
        <v>1</v>
      </c>
      <c r="Q14" s="178">
        <f>IFERROR(IF(L14&gt;0,1,0),"")</f>
        <v>1</v>
      </c>
      <c r="R14" s="178">
        <f>IFERROR(IF(M14=L14*J12*K12,1,0),"")</f>
        <v>1</v>
      </c>
      <c r="S14" s="178">
        <f t="shared" si="3"/>
        <v>1</v>
      </c>
    </row>
    <row r="15" spans="1:19" ht="15.75" thickBot="1" x14ac:dyDescent="0.3">
      <c r="A15" s="178">
        <v>11</v>
      </c>
      <c r="B15" s="13" t="s">
        <v>0</v>
      </c>
      <c r="C15" s="11"/>
      <c r="D15" s="12"/>
      <c r="E15" s="5"/>
      <c r="F15" s="4">
        <f>SUM(F12:F14)</f>
        <v>0</v>
      </c>
      <c r="G15" s="184"/>
      <c r="H15" s="178">
        <v>11</v>
      </c>
      <c r="I15" s="13" t="s">
        <v>0</v>
      </c>
      <c r="J15" s="11"/>
      <c r="K15" s="12"/>
      <c r="L15" s="5"/>
      <c r="M15" s="4">
        <f>SUM(M12:M14)</f>
        <v>1300000</v>
      </c>
      <c r="N15" s="178">
        <f t="shared" si="0"/>
        <v>1</v>
      </c>
      <c r="O15" s="178">
        <f t="shared" si="1"/>
        <v>1</v>
      </c>
      <c r="P15" s="178">
        <f t="shared" si="2"/>
        <v>1</v>
      </c>
      <c r="Q15" s="178">
        <f>IFERROR(IF(EXACT(L15,VLOOKUP(H15,FORMATO_VIAT,5,FALSE)),1,0),"")</f>
        <v>1</v>
      </c>
      <c r="R15" s="178">
        <f>IFERROR(IF(M15=SUM(M12:M14),1,0),"")</f>
        <v>1</v>
      </c>
      <c r="S15" s="178">
        <f t="shared" si="3"/>
        <v>1</v>
      </c>
    </row>
    <row r="16" spans="1:19" ht="15.75" customHeight="1" thickBot="1" x14ac:dyDescent="0.3">
      <c r="A16" s="178">
        <v>12</v>
      </c>
      <c r="B16" s="297" t="s">
        <v>22</v>
      </c>
      <c r="C16" s="298"/>
      <c r="D16" s="298"/>
      <c r="E16" s="298"/>
      <c r="F16" s="299"/>
      <c r="G16" s="182"/>
      <c r="H16" s="178">
        <v>12</v>
      </c>
      <c r="I16" s="297" t="s">
        <v>22</v>
      </c>
      <c r="J16" s="298"/>
      <c r="K16" s="298"/>
      <c r="L16" s="298"/>
      <c r="M16" s="299"/>
      <c r="N16" s="178">
        <f t="shared" si="0"/>
        <v>1</v>
      </c>
      <c r="O16" s="178">
        <f t="shared" si="1"/>
        <v>1</v>
      </c>
      <c r="P16" s="178">
        <f t="shared" si="2"/>
        <v>1</v>
      </c>
      <c r="Q16" s="178">
        <f>IFERROR(IF(EXACT(L16,VLOOKUP(H16,FORMATO_VIAT,5,FALSE)),1,0),"")</f>
        <v>1</v>
      </c>
      <c r="R16" s="178">
        <f>IFERROR(IF(EXACT(M16,VLOOKUP(H16,FORMATO_VIAT,6,FALSE)),1,0),"")</f>
        <v>1</v>
      </c>
      <c r="S16" s="178">
        <f t="shared" si="3"/>
        <v>1</v>
      </c>
    </row>
    <row r="17" spans="1:19" ht="25.5" x14ac:dyDescent="0.25">
      <c r="A17" s="178">
        <v>13</v>
      </c>
      <c r="B17" s="8" t="s">
        <v>209</v>
      </c>
      <c r="C17" s="9" t="s">
        <v>208</v>
      </c>
      <c r="D17" s="9" t="s">
        <v>207</v>
      </c>
      <c r="E17" s="9" t="s">
        <v>206</v>
      </c>
      <c r="F17" s="10" t="s">
        <v>0</v>
      </c>
      <c r="G17" s="182"/>
      <c r="H17" s="178">
        <v>13</v>
      </c>
      <c r="I17" s="8" t="s">
        <v>209</v>
      </c>
      <c r="J17" s="9" t="s">
        <v>208</v>
      </c>
      <c r="K17" s="9" t="s">
        <v>207</v>
      </c>
      <c r="L17" s="9" t="s">
        <v>206</v>
      </c>
      <c r="M17" s="10" t="s">
        <v>0</v>
      </c>
      <c r="N17" s="178">
        <f t="shared" si="0"/>
        <v>1</v>
      </c>
      <c r="O17" s="178">
        <f t="shared" si="1"/>
        <v>1</v>
      </c>
      <c r="P17" s="178">
        <f t="shared" si="2"/>
        <v>1</v>
      </c>
      <c r="Q17" s="178">
        <f>IFERROR(IF(EXACT(L17,VLOOKUP(H17,FORMATO_VIAT,5,FALSE)),1,0),"")</f>
        <v>1</v>
      </c>
      <c r="R17" s="178">
        <f>IFERROR(IF(EXACT(M17,VLOOKUP(H17,FORMATO_VIAT,6,FALSE)),1,0),"")</f>
        <v>1</v>
      </c>
      <c r="S17" s="178">
        <f t="shared" si="3"/>
        <v>1</v>
      </c>
    </row>
    <row r="18" spans="1:19" x14ac:dyDescent="0.25">
      <c r="A18" s="178">
        <v>14</v>
      </c>
      <c r="B18" s="15"/>
      <c r="C18" s="16">
        <v>2</v>
      </c>
      <c r="D18" s="12">
        <v>5</v>
      </c>
      <c r="E18" s="12"/>
      <c r="F18" s="6"/>
      <c r="G18" s="183"/>
      <c r="H18" s="178">
        <v>14</v>
      </c>
      <c r="I18" s="15"/>
      <c r="J18" s="16">
        <v>2</v>
      </c>
      <c r="K18" s="12">
        <v>5</v>
      </c>
      <c r="L18" s="12"/>
      <c r="M18" s="6"/>
      <c r="N18" s="178">
        <f t="shared" si="0"/>
        <v>1</v>
      </c>
      <c r="O18" s="178">
        <f t="shared" si="1"/>
        <v>1</v>
      </c>
      <c r="P18" s="178">
        <f t="shared" si="2"/>
        <v>1</v>
      </c>
      <c r="Q18" s="178">
        <f>IFERROR(IF(EXACT(L18,VLOOKUP(H18,FORMATO_VIAT,5,FALSE)),1,0),"")</f>
        <v>1</v>
      </c>
      <c r="R18" s="178">
        <f>IFERROR(IF(EXACT(M18,VLOOKUP(H18,FORMATO_VIAT,6,FALSE)),1,0),"")</f>
        <v>1</v>
      </c>
      <c r="S18" s="178">
        <f t="shared" si="3"/>
        <v>1</v>
      </c>
    </row>
    <row r="19" spans="1:19" ht="25.5" x14ac:dyDescent="0.25">
      <c r="A19" s="178">
        <v>15</v>
      </c>
      <c r="B19" s="13" t="s">
        <v>205</v>
      </c>
      <c r="C19" s="11"/>
      <c r="D19" s="12"/>
      <c r="E19" s="14"/>
      <c r="F19" s="4">
        <f>E19*C18*2</f>
        <v>0</v>
      </c>
      <c r="G19" s="184"/>
      <c r="H19" s="178">
        <v>15</v>
      </c>
      <c r="I19" s="13" t="s">
        <v>205</v>
      </c>
      <c r="J19" s="11"/>
      <c r="K19" s="12"/>
      <c r="L19" s="14">
        <v>45000</v>
      </c>
      <c r="M19" s="4">
        <f>L19*J18*2</f>
        <v>180000</v>
      </c>
      <c r="N19" s="178">
        <f t="shared" si="0"/>
        <v>1</v>
      </c>
      <c r="O19" s="178">
        <f t="shared" si="1"/>
        <v>1</v>
      </c>
      <c r="P19" s="178">
        <f t="shared" si="2"/>
        <v>1</v>
      </c>
      <c r="Q19" s="178">
        <f>IFERROR(IF(L19&gt;0,1,0),"")</f>
        <v>1</v>
      </c>
      <c r="R19" s="178">
        <f>IFERROR(IF(M19=L19*J18*2,1,0),"")</f>
        <v>1</v>
      </c>
      <c r="S19" s="178">
        <f t="shared" si="3"/>
        <v>1</v>
      </c>
    </row>
    <row r="20" spans="1:19" ht="25.5" x14ac:dyDescent="0.25">
      <c r="A20" s="178">
        <v>16</v>
      </c>
      <c r="B20" s="13" t="s">
        <v>204</v>
      </c>
      <c r="C20" s="11"/>
      <c r="D20" s="12"/>
      <c r="E20" s="14"/>
      <c r="F20" s="4">
        <f>E20*D18*C18</f>
        <v>0</v>
      </c>
      <c r="G20" s="184"/>
      <c r="H20" s="178">
        <v>16</v>
      </c>
      <c r="I20" s="13" t="s">
        <v>204</v>
      </c>
      <c r="J20" s="11"/>
      <c r="K20" s="12"/>
      <c r="L20" s="14">
        <v>120000</v>
      </c>
      <c r="M20" s="4">
        <f>L20*K18*J18</f>
        <v>1200000</v>
      </c>
      <c r="N20" s="178">
        <f t="shared" si="0"/>
        <v>1</v>
      </c>
      <c r="O20" s="178">
        <f t="shared" si="1"/>
        <v>1</v>
      </c>
      <c r="P20" s="178">
        <f t="shared" si="2"/>
        <v>1</v>
      </c>
      <c r="Q20" s="178">
        <f>IFERROR(IF(L20&gt;0,1,0),"")</f>
        <v>1</v>
      </c>
      <c r="R20" s="178">
        <f>IFERROR(IF(M20=L20*J18*K18,1,0),"")</f>
        <v>1</v>
      </c>
      <c r="S20" s="178">
        <f t="shared" si="3"/>
        <v>1</v>
      </c>
    </row>
    <row r="21" spans="1:19" ht="15.75" thickBot="1" x14ac:dyDescent="0.3">
      <c r="A21" s="178">
        <v>17</v>
      </c>
      <c r="B21" s="17" t="s">
        <v>0</v>
      </c>
      <c r="C21" s="18"/>
      <c r="D21" s="19"/>
      <c r="E21" s="3"/>
      <c r="F21" s="2">
        <f>SUM(F18:F20)</f>
        <v>0</v>
      </c>
      <c r="G21" s="184"/>
      <c r="H21" s="178">
        <v>17</v>
      </c>
      <c r="I21" s="17" t="s">
        <v>0</v>
      </c>
      <c r="J21" s="18"/>
      <c r="K21" s="19"/>
      <c r="L21" s="3"/>
      <c r="M21" s="2">
        <f>SUM(M18:M20)</f>
        <v>1380000</v>
      </c>
      <c r="N21" s="178">
        <f t="shared" si="0"/>
        <v>1</v>
      </c>
      <c r="O21" s="178">
        <f t="shared" si="1"/>
        <v>1</v>
      </c>
      <c r="P21" s="178">
        <f t="shared" si="2"/>
        <v>1</v>
      </c>
      <c r="Q21" s="178">
        <f>IFERROR(IF(EXACT(L21,VLOOKUP(H21,FORMATO_VIAT,5,FALSE)),1,0),"")</f>
        <v>1</v>
      </c>
      <c r="R21" s="178">
        <f>IFERROR(IF(M21=SUM(M18:M20),1,0),"")</f>
        <v>1</v>
      </c>
      <c r="S21" s="178">
        <f>PRODUCT(N21:R21)</f>
        <v>1</v>
      </c>
    </row>
    <row r="24" spans="1:19" ht="26.25" x14ac:dyDescent="0.25">
      <c r="I24" s="177">
        <f>J1</f>
        <v>1</v>
      </c>
      <c r="J24" s="304" t="str">
        <f>K1</f>
        <v>Comercial y Servicios Larco S.A.S</v>
      </c>
      <c r="K24" s="305"/>
      <c r="L24" s="305"/>
      <c r="M24" s="305"/>
      <c r="N24" s="305"/>
      <c r="O24" s="305"/>
      <c r="P24" s="306"/>
    </row>
    <row r="25" spans="1:19" ht="61.5" x14ac:dyDescent="0.25">
      <c r="I25" s="287" t="str">
        <f>IF(S25=1,"OK","NO HABILITADO")</f>
        <v>OK</v>
      </c>
      <c r="J25" s="287"/>
      <c r="K25" s="287"/>
      <c r="L25" s="287"/>
      <c r="M25" s="287"/>
      <c r="N25" s="287"/>
      <c r="O25" s="287"/>
      <c r="P25" s="287"/>
      <c r="S25" s="180">
        <f>PRODUCT(S5:S21)</f>
        <v>1</v>
      </c>
    </row>
    <row r="26" spans="1:19" ht="60" x14ac:dyDescent="0.25">
      <c r="S26" s="175" t="s">
        <v>397</v>
      </c>
    </row>
    <row r="27" spans="1:19" x14ac:dyDescent="0.25">
      <c r="I27" s="288" t="s">
        <v>340</v>
      </c>
      <c r="J27" s="289"/>
      <c r="K27" s="179" t="s">
        <v>341</v>
      </c>
    </row>
    <row r="28" spans="1:19" ht="45" x14ac:dyDescent="0.25">
      <c r="I28" s="178">
        <v>1</v>
      </c>
      <c r="J28" s="174" t="s">
        <v>249</v>
      </c>
      <c r="K28" s="178" t="str">
        <f>IF(I25="OK","H","NH")</f>
        <v>H</v>
      </c>
    </row>
  </sheetData>
  <sheetProtection algorithmName="SHA-512" hashValue="iOKBAf0JRmsqp/O+CFlCF9NK2Fzexj1YNc+fpgCR983bWffGuNqC7EK4ypDSrSGa4JmCBuDFvyrBGNieOoR3hw==" saltValue="EJ2tFt2x5pHJtulpmey9Qw==" spinCount="100000" sheet="1" objects="1" scenarios="1"/>
  <mergeCells count="18">
    <mergeCell ref="I27:J27"/>
    <mergeCell ref="S1:S4"/>
    <mergeCell ref="I25:P25"/>
    <mergeCell ref="J24:P24"/>
    <mergeCell ref="N1:N4"/>
    <mergeCell ref="O1:O4"/>
    <mergeCell ref="P1:P4"/>
    <mergeCell ref="Q1:Q4"/>
    <mergeCell ref="R1:R4"/>
    <mergeCell ref="B16:F16"/>
    <mergeCell ref="I4:M4"/>
    <mergeCell ref="I10:M10"/>
    <mergeCell ref="I16:M16"/>
    <mergeCell ref="I1:I3"/>
    <mergeCell ref="J1:J3"/>
    <mergeCell ref="K1:M3"/>
    <mergeCell ref="B4:F4"/>
    <mergeCell ref="B10:F10"/>
  </mergeCells>
  <conditionalFormatting sqref="N5:N21">
    <cfRule type="cellIs" dxfId="30" priority="15" operator="equal">
      <formula>0</formula>
    </cfRule>
    <cfRule type="cellIs" dxfId="29" priority="16" operator="equal">
      <formula>1</formula>
    </cfRule>
  </conditionalFormatting>
  <conditionalFormatting sqref="O5:O21">
    <cfRule type="cellIs" dxfId="28" priority="13" operator="equal">
      <formula>0</formula>
    </cfRule>
    <cfRule type="cellIs" dxfId="27" priority="14" operator="equal">
      <formula>1</formula>
    </cfRule>
  </conditionalFormatting>
  <conditionalFormatting sqref="P5:P21">
    <cfRule type="cellIs" dxfId="26" priority="11" operator="equal">
      <formula>0</formula>
    </cfRule>
    <cfRule type="cellIs" dxfId="25" priority="12" operator="equal">
      <formula>1</formula>
    </cfRule>
  </conditionalFormatting>
  <conditionalFormatting sqref="Q5:Q21">
    <cfRule type="cellIs" dxfId="24" priority="9" operator="equal">
      <formula>0</formula>
    </cfRule>
    <cfRule type="cellIs" dxfId="23" priority="10" operator="equal">
      <formula>1</formula>
    </cfRule>
  </conditionalFormatting>
  <conditionalFormatting sqref="R5:R21">
    <cfRule type="cellIs" dxfId="22" priority="7" operator="equal">
      <formula>0</formula>
    </cfRule>
    <cfRule type="cellIs" dxfId="21" priority="8" operator="equal">
      <formula>1</formula>
    </cfRule>
  </conditionalFormatting>
  <conditionalFormatting sqref="S5:S21">
    <cfRule type="cellIs" dxfId="20" priority="5" operator="equal">
      <formula>0</formula>
    </cfRule>
    <cfRule type="cellIs" dxfId="19" priority="6" operator="equal">
      <formula>1</formula>
    </cfRule>
  </conditionalFormatting>
  <conditionalFormatting sqref="S25">
    <cfRule type="cellIs" dxfId="18" priority="3" operator="equal">
      <formula>0</formula>
    </cfRule>
    <cfRule type="cellIs" dxfId="17" priority="4" operator="equal">
      <formula>1</formula>
    </cfRule>
  </conditionalFormatting>
  <conditionalFormatting sqref="I25:P25">
    <cfRule type="cellIs" dxfId="16" priority="1" operator="equal">
      <formula>"NO HABILITADO"</formula>
    </cfRule>
    <cfRule type="cellIs" dxfId="15" priority="2" operator="equal">
      <formula>"OK"</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D23"/>
  <sheetViews>
    <sheetView workbookViewId="0">
      <selection activeCell="D5" sqref="D5"/>
    </sheetView>
  </sheetViews>
  <sheetFormatPr baseColWidth="10" defaultRowHeight="60" customHeight="1" x14ac:dyDescent="0.2"/>
  <cols>
    <col min="1" max="2" width="11.42578125" style="187"/>
    <col min="3" max="3" width="75.85546875" style="187" customWidth="1"/>
    <col min="4" max="4" width="22.7109375" style="187" customWidth="1"/>
    <col min="5" max="16384" width="11.42578125" style="187"/>
  </cols>
  <sheetData>
    <row r="1" spans="2:4" ht="60" customHeight="1" x14ac:dyDescent="0.2">
      <c r="B1" s="307" t="s">
        <v>447</v>
      </c>
      <c r="C1" s="307"/>
      <c r="D1" s="307"/>
    </row>
    <row r="2" spans="2:4" ht="60" customHeight="1" x14ac:dyDescent="0.2">
      <c r="B2" s="191" t="s">
        <v>9</v>
      </c>
      <c r="C2" s="191" t="s">
        <v>446</v>
      </c>
      <c r="D2" s="192" t="s">
        <v>445</v>
      </c>
    </row>
    <row r="3" spans="2:4" ht="60" customHeight="1" x14ac:dyDescent="0.2">
      <c r="B3" s="188" t="s">
        <v>427</v>
      </c>
      <c r="C3" s="189" t="s">
        <v>411</v>
      </c>
      <c r="D3" s="193" t="s">
        <v>448</v>
      </c>
    </row>
    <row r="4" spans="2:4" ht="60" customHeight="1" x14ac:dyDescent="0.2">
      <c r="B4" s="188" t="s">
        <v>428</v>
      </c>
      <c r="C4" s="189" t="s">
        <v>412</v>
      </c>
      <c r="D4" s="193" t="s">
        <v>448</v>
      </c>
    </row>
    <row r="5" spans="2:4" ht="60" customHeight="1" x14ac:dyDescent="0.2">
      <c r="B5" s="188" t="s">
        <v>429</v>
      </c>
      <c r="C5" s="189" t="s">
        <v>413</v>
      </c>
      <c r="D5" s="193" t="s">
        <v>448</v>
      </c>
    </row>
    <row r="6" spans="2:4" ht="60" customHeight="1" x14ac:dyDescent="0.2">
      <c r="B6" s="188" t="s">
        <v>430</v>
      </c>
      <c r="C6" s="189" t="s">
        <v>414</v>
      </c>
      <c r="D6" s="193" t="s">
        <v>448</v>
      </c>
    </row>
    <row r="7" spans="2:4" ht="60" customHeight="1" x14ac:dyDescent="0.2">
      <c r="B7" s="188" t="s">
        <v>431</v>
      </c>
      <c r="C7" s="189" t="s">
        <v>415</v>
      </c>
      <c r="D7" s="193" t="s">
        <v>448</v>
      </c>
    </row>
    <row r="8" spans="2:4" ht="60" customHeight="1" x14ac:dyDescent="0.2">
      <c r="B8" s="188" t="s">
        <v>432</v>
      </c>
      <c r="C8" s="189" t="s">
        <v>416</v>
      </c>
      <c r="D8" s="193" t="s">
        <v>448</v>
      </c>
    </row>
    <row r="9" spans="2:4" ht="60" customHeight="1" x14ac:dyDescent="0.2">
      <c r="B9" s="188" t="s">
        <v>433</v>
      </c>
      <c r="C9" s="189" t="s">
        <v>417</v>
      </c>
      <c r="D9" s="193" t="s">
        <v>448</v>
      </c>
    </row>
    <row r="10" spans="2:4" ht="60" customHeight="1" x14ac:dyDescent="0.2">
      <c r="B10" s="188" t="s">
        <v>434</v>
      </c>
      <c r="C10" s="189" t="s">
        <v>418</v>
      </c>
      <c r="D10" s="193" t="s">
        <v>448</v>
      </c>
    </row>
    <row r="11" spans="2:4" ht="60" customHeight="1" x14ac:dyDescent="0.2">
      <c r="B11" s="188" t="s">
        <v>435</v>
      </c>
      <c r="C11" s="189" t="s">
        <v>419</v>
      </c>
      <c r="D11" s="193" t="s">
        <v>448</v>
      </c>
    </row>
    <row r="12" spans="2:4" ht="60" customHeight="1" x14ac:dyDescent="0.2">
      <c r="B12" s="188" t="s">
        <v>436</v>
      </c>
      <c r="C12" s="189" t="s">
        <v>420</v>
      </c>
      <c r="D12" s="193" t="s">
        <v>448</v>
      </c>
    </row>
    <row r="13" spans="2:4" ht="60" customHeight="1" x14ac:dyDescent="0.2">
      <c r="B13" s="188" t="s">
        <v>437</v>
      </c>
      <c r="C13" s="190" t="s">
        <v>449</v>
      </c>
      <c r="D13" s="193" t="s">
        <v>448</v>
      </c>
    </row>
    <row r="14" spans="2:4" ht="60" customHeight="1" x14ac:dyDescent="0.2">
      <c r="B14" s="188" t="s">
        <v>438</v>
      </c>
      <c r="C14" s="189" t="s">
        <v>421</v>
      </c>
      <c r="D14" s="193" t="s">
        <v>448</v>
      </c>
    </row>
    <row r="15" spans="2:4" ht="60" customHeight="1" x14ac:dyDescent="0.2">
      <c r="B15" s="188" t="s">
        <v>439</v>
      </c>
      <c r="C15" s="189" t="s">
        <v>422</v>
      </c>
      <c r="D15" s="193" t="s">
        <v>448</v>
      </c>
    </row>
    <row r="16" spans="2:4" ht="60" customHeight="1" x14ac:dyDescent="0.2">
      <c r="B16" s="188" t="s">
        <v>440</v>
      </c>
      <c r="C16" s="189" t="s">
        <v>423</v>
      </c>
      <c r="D16" s="193" t="s">
        <v>448</v>
      </c>
    </row>
    <row r="17" spans="2:4" ht="60" customHeight="1" x14ac:dyDescent="0.2">
      <c r="B17" s="188" t="s">
        <v>441</v>
      </c>
      <c r="C17" s="189" t="s">
        <v>424</v>
      </c>
      <c r="D17" s="193" t="s">
        <v>448</v>
      </c>
    </row>
    <row r="18" spans="2:4" ht="60" customHeight="1" x14ac:dyDescent="0.2">
      <c r="B18" s="188" t="s">
        <v>442</v>
      </c>
      <c r="C18" s="189" t="s">
        <v>425</v>
      </c>
      <c r="D18" s="193" t="s">
        <v>448</v>
      </c>
    </row>
    <row r="19" spans="2:4" ht="60" customHeight="1" x14ac:dyDescent="0.2">
      <c r="B19" s="188" t="s">
        <v>443</v>
      </c>
      <c r="C19" s="190" t="s">
        <v>450</v>
      </c>
      <c r="D19" s="193" t="s">
        <v>448</v>
      </c>
    </row>
    <row r="20" spans="2:4" ht="60" customHeight="1" x14ac:dyDescent="0.2">
      <c r="B20" s="188" t="s">
        <v>444</v>
      </c>
      <c r="C20" s="189" t="s">
        <v>426</v>
      </c>
      <c r="D20" s="193" t="s">
        <v>448</v>
      </c>
    </row>
    <row r="22" spans="2:4" ht="60" customHeight="1" x14ac:dyDescent="0.2">
      <c r="B22" s="288" t="s">
        <v>340</v>
      </c>
      <c r="C22" s="289"/>
      <c r="D22" s="179" t="s">
        <v>341</v>
      </c>
    </row>
    <row r="23" spans="2:4" ht="60" customHeight="1" x14ac:dyDescent="0.2">
      <c r="B23" s="178">
        <v>1</v>
      </c>
      <c r="C23" s="174" t="s">
        <v>249</v>
      </c>
      <c r="D23" s="178" t="str">
        <f>IF(COUNTIF(D3:D20,"SE RECHAZA")&gt;=1,"NH","H")</f>
        <v>H</v>
      </c>
    </row>
  </sheetData>
  <sheetProtection algorithmName="SHA-512" hashValue="6gwA7q8zLC7soRZM6jIvyLGvvBzi/fKOm+YFDl7pJoxLPtVjxKkCHEBZ7aSS40JXCMA+mNK7ENQx/gmtFcUvCQ==" saltValue="pjlwsF+uJZk0CX0sm1sFWQ==" spinCount="100000" sheet="1" objects="1" scenarios="1"/>
  <mergeCells count="2">
    <mergeCell ref="B1:D1"/>
    <mergeCell ref="B22:C22"/>
  </mergeCells>
  <conditionalFormatting sqref="D3">
    <cfRule type="cellIs" dxfId="14" priority="5" operator="equal">
      <formula>"SE RECHAZA"</formula>
    </cfRule>
    <cfRule type="cellIs" dxfId="13" priority="6" operator="equal">
      <formula>"NO SE RECHAZA"</formula>
    </cfRule>
  </conditionalFormatting>
  <conditionalFormatting sqref="D4:D20">
    <cfRule type="cellIs" dxfId="12" priority="1" operator="equal">
      <formula>"SE RECHAZA"</formula>
    </cfRule>
    <cfRule type="cellIs" dxfId="11" priority="2" operator="equal">
      <formula>"NO SE RECHAZA"</formula>
    </cfRule>
  </conditionalFormatting>
  <dataValidations count="1">
    <dataValidation type="list" allowBlank="1" showInputMessage="1" showErrorMessage="1" sqref="D3:D20">
      <formula1>"SE RECHAZA,NO SE RECHAZA"</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4:M5"/>
  <sheetViews>
    <sheetView showGridLines="0" zoomScale="40" zoomScaleNormal="40" workbookViewId="0">
      <selection activeCell="L23" sqref="L23"/>
    </sheetView>
  </sheetViews>
  <sheetFormatPr baseColWidth="10" defaultRowHeight="12.75" x14ac:dyDescent="0.2"/>
  <cols>
    <col min="2" max="2" width="58.28515625" customWidth="1"/>
    <col min="3" max="3" width="45" customWidth="1"/>
    <col min="4" max="4" width="45.140625" customWidth="1"/>
    <col min="5" max="10" width="44" customWidth="1"/>
    <col min="11" max="11" width="40.140625" customWidth="1"/>
    <col min="12" max="12" width="52.42578125" customWidth="1"/>
    <col min="13" max="13" width="49.5703125" customWidth="1"/>
  </cols>
  <sheetData>
    <row r="4" spans="1:13" ht="60.75" x14ac:dyDescent="0.2">
      <c r="A4" s="134" t="s">
        <v>247</v>
      </c>
      <c r="B4" s="135" t="s">
        <v>248</v>
      </c>
      <c r="C4" s="134" t="s">
        <v>350</v>
      </c>
      <c r="D4" s="134" t="s">
        <v>351</v>
      </c>
      <c r="E4" s="134" t="s">
        <v>352</v>
      </c>
      <c r="F4" s="134" t="s">
        <v>353</v>
      </c>
      <c r="G4" s="134" t="s">
        <v>356</v>
      </c>
      <c r="H4" s="134" t="s">
        <v>357</v>
      </c>
      <c r="I4" s="134" t="s">
        <v>358</v>
      </c>
      <c r="J4" s="134" t="s">
        <v>447</v>
      </c>
      <c r="K4" s="134" t="s">
        <v>354</v>
      </c>
      <c r="L4" s="136" t="s">
        <v>355</v>
      </c>
      <c r="M4" s="134" t="s">
        <v>410</v>
      </c>
    </row>
    <row r="5" spans="1:13" ht="40.5" x14ac:dyDescent="0.2">
      <c r="A5" s="137">
        <v>1</v>
      </c>
      <c r="B5" s="138" t="str">
        <f t="shared" ref="B5" si="0">VLOOKUP(A5,LISTA_OFERENTES,2,FALSE)</f>
        <v>Comercial y Servicios Larco S.A.S</v>
      </c>
      <c r="C5" s="139" t="str">
        <f>VLOOKUP(B5,EST_EXP,2,FALSE)</f>
        <v>H</v>
      </c>
      <c r="D5" s="139" t="str">
        <f>VLOOKUP(B5,EST_CP,2,FALSE)</f>
        <v>H</v>
      </c>
      <c r="E5" s="139" t="str">
        <f>VLOOKUP(B5,EST_RCOM,2,FALSE)</f>
        <v>H</v>
      </c>
      <c r="F5" s="139" t="str">
        <f>VLOOKUP(B5,EST_VT,2,FALSE)</f>
        <v>H</v>
      </c>
      <c r="G5" s="139" t="str">
        <f>VLOOKUP(B5,EST_REM,2,FALSE)</f>
        <v>H</v>
      </c>
      <c r="H5" s="139" t="str">
        <f>VLOOKUP(B5,EST_HER,2,FALSE)</f>
        <v>H</v>
      </c>
      <c r="I5" s="139" t="str">
        <f>VLOOKUP(B5,EST_VIAT,2,FALSE)</f>
        <v>H</v>
      </c>
      <c r="J5" s="139" t="str">
        <f>VLOOKUP(B5,EST_REC,2,FALSE)</f>
        <v>H</v>
      </c>
      <c r="K5" s="140" t="s">
        <v>406</v>
      </c>
      <c r="L5" s="141" t="str">
        <f>IFERROR(IF(COUNTIF(C5:K5,"H")=9,"H","NH")," ")</f>
        <v>H</v>
      </c>
      <c r="M5" s="142" t="s">
        <v>405</v>
      </c>
    </row>
  </sheetData>
  <sheetProtection algorithmName="SHA-512" hashValue="6UJWadFEmqcTcj7d26fyL2eIw3383QXEEnsMP7GQLhX3jpGC7p9oI2z8cou2VkX9dWw35QaTHv88ZnfaPw8oyw==" saltValue="y7ThAt8A15RoM4T66ycEfA==" spinCount="100000" sheet="1" objects="1" scenarios="1"/>
  <conditionalFormatting sqref="L5">
    <cfRule type="cellIs" dxfId="10" priority="8" operator="equal">
      <formula>"NH"</formula>
    </cfRule>
    <cfRule type="cellIs" dxfId="9" priority="9" operator="equal">
      <formula>"H"</formula>
    </cfRule>
  </conditionalFormatting>
  <conditionalFormatting sqref="C5">
    <cfRule type="cellIs" dxfId="8" priority="5" operator="equal">
      <formula>"NH"</formula>
    </cfRule>
    <cfRule type="cellIs" dxfId="7" priority="6" operator="equal">
      <formula>"H"</formula>
    </cfRule>
  </conditionalFormatting>
  <conditionalFormatting sqref="D5:J5">
    <cfRule type="cellIs" dxfId="6" priority="3" operator="equal">
      <formula>"NH"</formula>
    </cfRule>
    <cfRule type="cellIs" dxfId="5" priority="4" operator="equal">
      <formula>"H"</formula>
    </cfRule>
  </conditionalFormatting>
  <conditionalFormatting sqref="K5">
    <cfRule type="cellIs" dxfId="4" priority="1" operator="equal">
      <formula>"NH"</formula>
    </cfRule>
    <cfRule type="cellIs" dxfId="3" priority="2" operator="equal">
      <formula>"H"</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92D050"/>
  </sheetPr>
  <dimension ref="B2:T15"/>
  <sheetViews>
    <sheetView showGridLines="0" tabSelected="1" zoomScale="85" zoomScaleNormal="85" workbookViewId="0">
      <selection activeCell="R15" sqref="R15:T15"/>
    </sheetView>
  </sheetViews>
  <sheetFormatPr baseColWidth="10" defaultRowHeight="12.75" x14ac:dyDescent="0.2"/>
  <cols>
    <col min="2" max="2" width="16" customWidth="1"/>
    <col min="3" max="3" width="18.140625" customWidth="1"/>
    <col min="4" max="4" width="20.42578125" customWidth="1"/>
    <col min="7" max="7" width="18.28515625" customWidth="1"/>
    <col min="17" max="17" width="14.28515625" customWidth="1"/>
    <col min="18" max="18" width="22.5703125" customWidth="1"/>
    <col min="19" max="19" width="18" customWidth="1"/>
  </cols>
  <sheetData>
    <row r="2" spans="2:20" ht="15.75" x14ac:dyDescent="0.2">
      <c r="B2" s="318" t="str">
        <f>+'[5]1_ENTREGA'!A1</f>
        <v>UNIVERSIDAD DE ANTIOQUIA</v>
      </c>
      <c r="C2" s="319"/>
      <c r="D2" s="319"/>
      <c r="E2" s="319"/>
      <c r="F2" s="319"/>
      <c r="G2" s="319"/>
      <c r="H2" s="319"/>
      <c r="I2" s="319"/>
      <c r="J2" s="319"/>
      <c r="K2" s="319"/>
      <c r="L2" s="319"/>
      <c r="M2" s="319"/>
      <c r="N2" s="319"/>
      <c r="O2" s="319"/>
      <c r="P2" s="319"/>
      <c r="Q2" s="319"/>
      <c r="R2" s="319"/>
      <c r="S2" s="319"/>
      <c r="T2" s="320"/>
    </row>
    <row r="3" spans="2:20" ht="15.75" x14ac:dyDescent="0.2">
      <c r="B3" s="321" t="str">
        <f>+'[5]1_ENTREGA'!A2</f>
        <v>Invitación Pública N° VA-011-2022</v>
      </c>
      <c r="C3" s="322"/>
      <c r="D3" s="322"/>
      <c r="E3" s="322"/>
      <c r="F3" s="322"/>
      <c r="G3" s="322"/>
      <c r="H3" s="322"/>
      <c r="I3" s="322"/>
      <c r="J3" s="322"/>
      <c r="K3" s="322"/>
      <c r="L3" s="322"/>
      <c r="M3" s="322"/>
      <c r="N3" s="322"/>
      <c r="O3" s="322"/>
      <c r="P3" s="322"/>
      <c r="Q3" s="322"/>
      <c r="R3" s="322"/>
      <c r="S3" s="322"/>
      <c r="T3" s="323"/>
    </row>
    <row r="4" spans="2:20" ht="79.5" customHeight="1" x14ac:dyDescent="0.2">
      <c r="B4" s="321" t="str">
        <f>+'1_ENTREGA'!A4</f>
        <v>Prestación de servicios de mantenimientos preventivos y correctivos de los sistemas de aire acondicionado y ventilación mecánica de la Universidad de Antioquia, ubicados en las sedes y subsedes del Área Metropolitana, Oriente cercano, Occidente Antioqueño, Suroeste Antioqueño, Magdalena Medio y otras, según las necesidades del servicio y conforme con el Anexo 1 Condiciones Técnicas Obligatorias y en aquellas que se incorporen con posterioridad.</v>
      </c>
      <c r="C4" s="322"/>
      <c r="D4" s="322"/>
      <c r="E4" s="322"/>
      <c r="F4" s="322"/>
      <c r="G4" s="322"/>
      <c r="H4" s="322"/>
      <c r="I4" s="322"/>
      <c r="J4" s="322"/>
      <c r="K4" s="322"/>
      <c r="L4" s="322"/>
      <c r="M4" s="322"/>
      <c r="N4" s="322"/>
      <c r="O4" s="322"/>
      <c r="P4" s="322"/>
      <c r="Q4" s="322"/>
      <c r="R4" s="322"/>
      <c r="S4" s="322"/>
      <c r="T4" s="323"/>
    </row>
    <row r="5" spans="2:20" ht="33.75" customHeight="1" x14ac:dyDescent="0.2">
      <c r="B5" s="324" t="s">
        <v>359</v>
      </c>
      <c r="C5" s="325"/>
      <c r="D5" s="325"/>
      <c r="E5" s="325"/>
      <c r="F5" s="325"/>
      <c r="G5" s="325"/>
      <c r="H5" s="325"/>
      <c r="I5" s="325"/>
      <c r="J5" s="325"/>
      <c r="K5" s="325"/>
      <c r="L5" s="325"/>
      <c r="M5" s="325"/>
      <c r="N5" s="325"/>
      <c r="O5" s="325"/>
      <c r="P5" s="325"/>
      <c r="Q5" s="325"/>
      <c r="R5" s="325"/>
      <c r="S5" s="325"/>
      <c r="T5" s="326"/>
    </row>
    <row r="6" spans="2:20" ht="16.5" thickBot="1" x14ac:dyDescent="0.3">
      <c r="B6" s="143"/>
      <c r="C6" s="143"/>
      <c r="D6" s="143"/>
      <c r="E6" s="143"/>
      <c r="F6" s="143"/>
      <c r="G6" s="143"/>
      <c r="H6" s="143"/>
      <c r="I6" s="143"/>
      <c r="J6" s="143"/>
      <c r="K6" s="143"/>
      <c r="L6" s="143"/>
      <c r="M6" s="143"/>
      <c r="N6" s="143"/>
      <c r="O6" s="143"/>
      <c r="P6" s="143"/>
      <c r="Q6" s="143"/>
      <c r="R6" s="143"/>
      <c r="S6" s="143"/>
      <c r="T6" s="144"/>
    </row>
    <row r="7" spans="2:20" ht="16.5" thickBot="1" x14ac:dyDescent="0.3">
      <c r="B7" s="327" t="s">
        <v>360</v>
      </c>
      <c r="C7" s="327"/>
      <c r="D7" s="145">
        <v>3930.89</v>
      </c>
      <c r="E7" s="327" t="s">
        <v>361</v>
      </c>
      <c r="F7" s="327"/>
      <c r="G7" s="327"/>
      <c r="H7" s="328" t="s">
        <v>362</v>
      </c>
      <c r="I7" s="328"/>
      <c r="J7" s="328"/>
      <c r="K7" s="328"/>
      <c r="L7" s="328"/>
      <c r="M7" s="328"/>
      <c r="N7" s="328"/>
      <c r="O7" s="328"/>
      <c r="P7" s="143"/>
      <c r="Q7" s="143"/>
      <c r="R7" s="146" t="s">
        <v>363</v>
      </c>
      <c r="S7" s="147">
        <f>+'5.2_EXPERIENCIA_GENERAL'!N6</f>
        <v>1719268792</v>
      </c>
      <c r="T7" s="144"/>
    </row>
    <row r="8" spans="2:20" ht="16.5" thickBot="1" x14ac:dyDescent="0.3">
      <c r="B8" s="308" t="s">
        <v>364</v>
      </c>
      <c r="C8" s="308"/>
      <c r="D8" s="148">
        <v>44708</v>
      </c>
      <c r="E8" s="149">
        <v>1</v>
      </c>
      <c r="F8" s="329" t="s">
        <v>365</v>
      </c>
      <c r="G8" s="329"/>
      <c r="H8" s="149">
        <f>IF(($D$7-TRUNC($D$7))&lt;=0.4,1,IF(AND(0.41&gt;=($D$7-TRUNC($D$7)),0.6&lt;=($D$7-TRUNC($D$7)) ),2,3))</f>
        <v>3</v>
      </c>
      <c r="I8" s="330" t="str">
        <f>IF(H8=3,VLOOKUP(H8,$E$8:$F$10,2,FALSE),IF(H8=2,VLOOKUP(H8,$E$8:$F$10,2,FALSE),IF(H8=1,VLOOKUP(H8,$E$8:$F$10,2,FALSE),"NINGUNO")))</f>
        <v>Menor Valor</v>
      </c>
      <c r="J8" s="330"/>
      <c r="K8" s="331">
        <f>G15</f>
        <v>1716844249.6896384</v>
      </c>
      <c r="L8" s="331"/>
      <c r="M8" s="331"/>
      <c r="N8" s="331"/>
      <c r="O8" s="331"/>
      <c r="P8" s="143"/>
      <c r="Q8" s="143"/>
      <c r="R8" s="150" t="s">
        <v>366</v>
      </c>
      <c r="S8" s="151">
        <f>COUNTIF(F15,"H")</f>
        <v>1</v>
      </c>
      <c r="T8" s="144"/>
    </row>
    <row r="9" spans="2:20" ht="16.5" thickBot="1" x14ac:dyDescent="0.3">
      <c r="B9" s="308" t="s">
        <v>367</v>
      </c>
      <c r="C9" s="308"/>
      <c r="D9" s="152">
        <f>S7</f>
        <v>1719268792</v>
      </c>
      <c r="E9" s="149">
        <v>2</v>
      </c>
      <c r="F9" s="329" t="s">
        <v>368</v>
      </c>
      <c r="G9" s="329"/>
      <c r="H9" s="143"/>
      <c r="I9" s="143"/>
      <c r="J9" s="143"/>
      <c r="K9" s="143"/>
      <c r="L9" s="143"/>
      <c r="M9" s="143"/>
      <c r="N9" s="143"/>
      <c r="O9" s="143"/>
      <c r="P9" s="143"/>
      <c r="Q9" s="154"/>
      <c r="R9" s="143"/>
      <c r="S9" s="143"/>
      <c r="T9" s="144"/>
    </row>
    <row r="10" spans="2:20" ht="16.5" thickBot="1" x14ac:dyDescent="0.3">
      <c r="B10" s="308" t="s">
        <v>386</v>
      </c>
      <c r="C10" s="308"/>
      <c r="D10" s="152">
        <v>1547341913</v>
      </c>
      <c r="E10" s="153">
        <v>3</v>
      </c>
      <c r="F10" s="329" t="s">
        <v>407</v>
      </c>
      <c r="G10" s="329"/>
      <c r="H10" s="143"/>
      <c r="I10" s="143"/>
      <c r="J10" s="143"/>
      <c r="K10" s="143"/>
      <c r="L10" s="143"/>
      <c r="M10" s="143"/>
      <c r="N10" s="143"/>
      <c r="O10" s="143"/>
      <c r="P10" s="143"/>
      <c r="Q10" s="154"/>
      <c r="R10" s="143"/>
      <c r="S10" s="143"/>
      <c r="T10" s="144"/>
    </row>
    <row r="11" spans="2:20" ht="16.5" thickBot="1" x14ac:dyDescent="0.3">
      <c r="B11" s="308" t="s">
        <v>369</v>
      </c>
      <c r="C11" s="308"/>
      <c r="D11" s="155">
        <v>0.1709</v>
      </c>
      <c r="E11" s="143"/>
      <c r="F11" s="143"/>
      <c r="G11" s="143"/>
      <c r="H11" s="143"/>
      <c r="I11" s="143"/>
      <c r="J11" s="143"/>
      <c r="K11" s="143"/>
      <c r="L11" s="143"/>
      <c r="M11" s="143"/>
      <c r="N11" s="143"/>
      <c r="O11" s="143"/>
      <c r="P11" s="143"/>
      <c r="Q11" s="143"/>
      <c r="R11" s="143"/>
      <c r="S11" s="143"/>
      <c r="T11" s="144"/>
    </row>
    <row r="12" spans="2:20" ht="15.75" x14ac:dyDescent="0.25">
      <c r="B12" s="143"/>
      <c r="C12" s="143"/>
      <c r="D12" s="156"/>
      <c r="E12" s="143"/>
      <c r="F12" s="143"/>
      <c r="G12" s="143"/>
      <c r="H12" s="144"/>
      <c r="I12" s="309" t="s">
        <v>370</v>
      </c>
      <c r="J12" s="310"/>
      <c r="K12" s="310"/>
      <c r="L12" s="310"/>
      <c r="M12" s="310"/>
      <c r="N12" s="310"/>
      <c r="O12" s="311"/>
      <c r="P12" s="157" t="s">
        <v>0</v>
      </c>
      <c r="Q12" s="143"/>
      <c r="R12" s="144"/>
      <c r="S12" s="144"/>
      <c r="T12" s="144"/>
    </row>
    <row r="13" spans="2:20" ht="15.75" x14ac:dyDescent="0.25">
      <c r="B13" s="158"/>
      <c r="C13" s="154"/>
      <c r="D13" s="158"/>
      <c r="E13" s="154"/>
      <c r="F13" s="159" t="s">
        <v>371</v>
      </c>
      <c r="G13" s="154"/>
      <c r="H13" s="144"/>
      <c r="I13" s="160">
        <v>150</v>
      </c>
      <c r="J13" s="160">
        <v>150</v>
      </c>
      <c r="K13" s="160">
        <v>50</v>
      </c>
      <c r="L13" s="160">
        <v>200</v>
      </c>
      <c r="M13" s="160">
        <v>100</v>
      </c>
      <c r="N13" s="160">
        <v>50</v>
      </c>
      <c r="O13" s="160">
        <v>300</v>
      </c>
      <c r="P13" s="157">
        <f>+SUM(I13:O13)</f>
        <v>1000</v>
      </c>
      <c r="Q13" s="143"/>
      <c r="R13" s="144"/>
      <c r="S13" s="144"/>
      <c r="T13" s="144"/>
    </row>
    <row r="14" spans="2:20" ht="34.5" x14ac:dyDescent="0.2">
      <c r="B14" s="161" t="s">
        <v>372</v>
      </c>
      <c r="C14" s="309" t="s">
        <v>373</v>
      </c>
      <c r="D14" s="310"/>
      <c r="E14" s="311"/>
      <c r="F14" s="162" t="s">
        <v>374</v>
      </c>
      <c r="G14" s="161" t="s">
        <v>408</v>
      </c>
      <c r="H14" s="161" t="s">
        <v>375</v>
      </c>
      <c r="I14" s="163" t="s">
        <v>376</v>
      </c>
      <c r="J14" s="163" t="s">
        <v>377</v>
      </c>
      <c r="K14" s="163" t="s">
        <v>378</v>
      </c>
      <c r="L14" s="163" t="s">
        <v>379</v>
      </c>
      <c r="M14" s="163" t="s">
        <v>383</v>
      </c>
      <c r="N14" s="163" t="s">
        <v>384</v>
      </c>
      <c r="O14" s="163" t="s">
        <v>385</v>
      </c>
      <c r="P14" s="164" t="s">
        <v>380</v>
      </c>
      <c r="Q14" s="164" t="s">
        <v>381</v>
      </c>
      <c r="R14" s="309" t="s">
        <v>382</v>
      </c>
      <c r="S14" s="310"/>
      <c r="T14" s="311"/>
    </row>
    <row r="15" spans="2:20" ht="15.75" x14ac:dyDescent="0.2">
      <c r="B15" s="165">
        <f>+IF('[5]1_ENTREGA'!A8="","",'[5]1_ENTREGA'!A8)</f>
        <v>1</v>
      </c>
      <c r="C15" s="312" t="str">
        <f t="shared" ref="C15" si="0">IF(B15="","",VLOOKUP(B15,LISTA_OFERENTES,2,FALSE))</f>
        <v>Comercial y Servicios Larco S.A.S</v>
      </c>
      <c r="D15" s="313"/>
      <c r="E15" s="314"/>
      <c r="F15" s="166" t="str">
        <f>IFERROR(IF(VLOOKUP(B15,ESTADOS,11,FALSE)=0, " ",VLOOKUP(B15,ESTADOS,11,FALSE))," ")</f>
        <v>H</v>
      </c>
      <c r="G15" s="167">
        <f>PROPUESTA_1</f>
        <v>1716844249.6896384</v>
      </c>
      <c r="H15" s="168">
        <f>A_U</f>
        <v>0.16500000000000001</v>
      </c>
      <c r="I15" s="169">
        <f>I13</f>
        <v>150</v>
      </c>
      <c r="J15" s="169">
        <f t="shared" ref="J15:O15" si="1">J13</f>
        <v>150</v>
      </c>
      <c r="K15" s="169">
        <f t="shared" si="1"/>
        <v>50</v>
      </c>
      <c r="L15" s="169">
        <f t="shared" si="1"/>
        <v>200</v>
      </c>
      <c r="M15" s="169">
        <f t="shared" si="1"/>
        <v>100</v>
      </c>
      <c r="N15" s="169">
        <f t="shared" si="1"/>
        <v>50</v>
      </c>
      <c r="O15" s="169">
        <f t="shared" si="1"/>
        <v>300</v>
      </c>
      <c r="P15" s="170">
        <f>I15+J15+K15+L15+M15+N15+O15</f>
        <v>1000</v>
      </c>
      <c r="Q15" s="171">
        <v>1</v>
      </c>
      <c r="R15" s="315" t="s">
        <v>405</v>
      </c>
      <c r="S15" s="316"/>
      <c r="T15" s="317"/>
    </row>
  </sheetData>
  <sheetProtection algorithmName="SHA-512" hashValue="1pWNLUa3hgkv3VL3m1qFboEvKjIEy0VsuxgRbiaoBnvHgDdP6r/TZoIfMueMUy9BbXYzFxid+EVSyn8FECKkgA==" saltValue="tR9ir0cTbuWVaCPPbbwQKw==" spinCount="100000" sheet="1" objects="1" scenarios="1"/>
  <mergeCells count="21">
    <mergeCell ref="B10:C10"/>
    <mergeCell ref="B2:T2"/>
    <mergeCell ref="B3:T3"/>
    <mergeCell ref="B4:T4"/>
    <mergeCell ref="B5:T5"/>
    <mergeCell ref="B7:C7"/>
    <mergeCell ref="E7:G7"/>
    <mergeCell ref="H7:O7"/>
    <mergeCell ref="B8:C8"/>
    <mergeCell ref="F8:G8"/>
    <mergeCell ref="I8:J8"/>
    <mergeCell ref="K8:O8"/>
    <mergeCell ref="B9:C9"/>
    <mergeCell ref="F9:G9"/>
    <mergeCell ref="F10:G10"/>
    <mergeCell ref="B11:C11"/>
    <mergeCell ref="I12:O12"/>
    <mergeCell ref="C14:E14"/>
    <mergeCell ref="R14:T14"/>
    <mergeCell ref="C15:E15"/>
    <mergeCell ref="R15:T15"/>
  </mergeCells>
  <conditionalFormatting sqref="Q15">
    <cfRule type="cellIs" dxfId="2" priority="3" operator="equal">
      <formula>1</formula>
    </cfRule>
  </conditionalFormatting>
  <conditionalFormatting sqref="F15">
    <cfRule type="cellIs" dxfId="1" priority="1" operator="equal">
      <formula>"NH"</formula>
    </cfRule>
    <cfRule type="cellIs" dxfId="0" priority="2" operator="equal">
      <formula>"H"</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J9"/>
  <sheetViews>
    <sheetView showGridLines="0" zoomScale="85" zoomScaleNormal="85" workbookViewId="0">
      <selection activeCell="C35" sqref="C35"/>
    </sheetView>
  </sheetViews>
  <sheetFormatPr baseColWidth="10" defaultRowHeight="12.75" x14ac:dyDescent="0.2"/>
  <cols>
    <col min="1" max="1" width="13.7109375" customWidth="1"/>
    <col min="2" max="2" width="33.28515625" customWidth="1"/>
    <col min="3" max="3" width="19.28515625" customWidth="1"/>
    <col min="4" max="4" width="18.7109375" customWidth="1"/>
    <col min="5" max="5" width="23.28515625" customWidth="1"/>
    <col min="6" max="6" width="21.85546875" customWidth="1"/>
    <col min="7" max="7" width="19" customWidth="1"/>
    <col min="8" max="8" width="12.42578125" customWidth="1"/>
    <col min="9" max="9" width="17.7109375" customWidth="1"/>
    <col min="10" max="10" width="46.5703125" customWidth="1"/>
  </cols>
  <sheetData>
    <row r="1" spans="1:10" ht="20.25" x14ac:dyDescent="0.3">
      <c r="A1" s="209"/>
      <c r="B1" s="211"/>
      <c r="C1" s="211"/>
      <c r="D1" s="211"/>
      <c r="E1" s="211"/>
      <c r="F1" s="211"/>
      <c r="G1" s="211"/>
      <c r="H1" s="211"/>
      <c r="I1" s="211"/>
      <c r="J1" s="212"/>
    </row>
    <row r="2" spans="1:10" ht="26.25" customHeight="1" x14ac:dyDescent="0.25">
      <c r="A2" s="210"/>
      <c r="B2" s="213"/>
      <c r="C2" s="213"/>
      <c r="D2" s="213"/>
      <c r="E2" s="213"/>
      <c r="F2" s="213"/>
      <c r="G2" s="213"/>
      <c r="H2" s="213"/>
      <c r="I2" s="213"/>
      <c r="J2" s="214"/>
    </row>
    <row r="3" spans="1:10" ht="64.5" customHeight="1" x14ac:dyDescent="0.2">
      <c r="A3" s="210"/>
      <c r="B3" s="215"/>
      <c r="C3" s="215"/>
      <c r="D3" s="215"/>
      <c r="E3" s="215"/>
      <c r="F3" s="215"/>
      <c r="G3" s="215"/>
      <c r="H3" s="215"/>
      <c r="I3" s="215"/>
      <c r="J3" s="216"/>
    </row>
    <row r="4" spans="1:10" ht="15.75" x14ac:dyDescent="0.2">
      <c r="A4" s="217" t="s">
        <v>252</v>
      </c>
      <c r="B4" s="218"/>
      <c r="C4" s="218"/>
      <c r="D4" s="218"/>
      <c r="E4" s="218"/>
      <c r="F4" s="218"/>
      <c r="G4" s="218"/>
      <c r="H4" s="218"/>
      <c r="I4" s="218"/>
      <c r="J4" s="219"/>
    </row>
    <row r="5" spans="1:10" ht="32.25" customHeight="1" x14ac:dyDescent="0.25">
      <c r="A5" s="220" t="s">
        <v>253</v>
      </c>
      <c r="B5" s="221"/>
      <c r="C5" s="29"/>
      <c r="D5" s="30"/>
      <c r="E5" s="30"/>
      <c r="F5" s="30"/>
      <c r="G5" s="30"/>
      <c r="H5" s="30"/>
      <c r="I5" s="30"/>
      <c r="J5" s="31"/>
    </row>
    <row r="6" spans="1:10" ht="45" customHeight="1" x14ac:dyDescent="0.2">
      <c r="A6" s="32" t="s">
        <v>254</v>
      </c>
      <c r="B6" s="33" t="s">
        <v>255</v>
      </c>
      <c r="C6" s="32" t="s">
        <v>256</v>
      </c>
      <c r="D6" s="33" t="s">
        <v>257</v>
      </c>
      <c r="E6" s="33" t="s">
        <v>258</v>
      </c>
      <c r="F6" s="33" t="s">
        <v>259</v>
      </c>
      <c r="G6" s="33" t="s">
        <v>260</v>
      </c>
      <c r="H6" s="33" t="s">
        <v>261</v>
      </c>
      <c r="I6" s="33" t="s">
        <v>262</v>
      </c>
      <c r="J6" s="33" t="s">
        <v>263</v>
      </c>
    </row>
    <row r="7" spans="1:10" ht="28.5" x14ac:dyDescent="0.2">
      <c r="A7" s="34">
        <f>IF('[5]1_ENTREGA'!A8="","",'[5]1_ENTREGA'!A8)</f>
        <v>1</v>
      </c>
      <c r="B7" s="36" t="s">
        <v>249</v>
      </c>
      <c r="C7" s="35">
        <v>890930614</v>
      </c>
      <c r="D7" s="36" t="s">
        <v>264</v>
      </c>
      <c r="E7" s="35" t="s">
        <v>265</v>
      </c>
      <c r="F7" s="37">
        <v>1238391640</v>
      </c>
      <c r="G7" s="38" t="s">
        <v>266</v>
      </c>
      <c r="H7" s="39">
        <v>0.04</v>
      </c>
      <c r="I7" s="38">
        <v>1716844250</v>
      </c>
      <c r="J7" s="36" t="s">
        <v>267</v>
      </c>
    </row>
    <row r="8" spans="1:10" ht="14.25" x14ac:dyDescent="0.2">
      <c r="A8" s="40"/>
      <c r="B8" s="40"/>
      <c r="C8" s="40"/>
      <c r="D8" s="40"/>
      <c r="E8" s="40"/>
      <c r="F8" s="40"/>
      <c r="G8" s="40"/>
      <c r="H8" s="40"/>
      <c r="I8" s="40"/>
      <c r="J8" s="40"/>
    </row>
    <row r="9" spans="1:10" ht="14.25" x14ac:dyDescent="0.2">
      <c r="A9" s="206" t="s">
        <v>268</v>
      </c>
      <c r="B9" s="207"/>
      <c r="C9" s="208"/>
      <c r="D9" s="208"/>
      <c r="E9" s="208"/>
      <c r="F9" s="208"/>
      <c r="G9" s="208"/>
      <c r="H9" s="208"/>
      <c r="I9" s="208"/>
      <c r="J9" s="208"/>
    </row>
  </sheetData>
  <sheetProtection algorithmName="SHA-512" hashValue="vR9dl5Xwl29ZEf8dCJamh7mqwC/+s61UQIdMLoXiE0IsoFUHP7C61E6FNjl5uFCR+rDpTL+hE2IquabxVMXNyA==" saltValue="YU4BTi2P+jJ7MTVgAqeaWg==" spinCount="100000" sheet="1" objects="1" scenarios="1"/>
  <mergeCells count="7">
    <mergeCell ref="A9:J9"/>
    <mergeCell ref="A1:A3"/>
    <mergeCell ref="B1:J1"/>
    <mergeCell ref="B2:J2"/>
    <mergeCell ref="B3:J3"/>
    <mergeCell ref="A4:J4"/>
    <mergeCell ref="A5:B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C46"/>
  <sheetViews>
    <sheetView showGridLines="0" topLeftCell="A26" zoomScale="70" zoomScaleNormal="70" workbookViewId="0">
      <selection activeCell="B44" sqref="B44"/>
    </sheetView>
  </sheetViews>
  <sheetFormatPr baseColWidth="10" defaultRowHeight="15" x14ac:dyDescent="0.2"/>
  <cols>
    <col min="1" max="1" width="25.85546875" style="78" bestFit="1" customWidth="1"/>
    <col min="2" max="2" width="70.42578125" style="78" customWidth="1"/>
    <col min="3" max="3" width="66.5703125" style="78" customWidth="1"/>
  </cols>
  <sheetData>
    <row r="1" spans="1:3" ht="15.75" x14ac:dyDescent="0.2">
      <c r="A1" s="41"/>
      <c r="B1" s="42" t="s">
        <v>269</v>
      </c>
      <c r="C1" s="42"/>
    </row>
    <row r="2" spans="1:3" ht="15.75" x14ac:dyDescent="0.2">
      <c r="A2" s="43"/>
      <c r="B2" s="44"/>
      <c r="C2" s="44"/>
    </row>
    <row r="3" spans="1:3" ht="15.75" x14ac:dyDescent="0.2">
      <c r="A3" s="45"/>
      <c r="B3" s="46" t="s">
        <v>247</v>
      </c>
      <c r="C3" s="47">
        <v>1</v>
      </c>
    </row>
    <row r="4" spans="1:3" ht="15.75" x14ac:dyDescent="0.2">
      <c r="A4" s="45"/>
      <c r="B4" s="46" t="s">
        <v>270</v>
      </c>
      <c r="C4" s="47" t="str">
        <f t="shared" ref="C4" si="0">+VLOOKUP(C3,LISTA_OFERENTES,2,FALSE)</f>
        <v>Comercial y Servicios Larco S.A.S</v>
      </c>
    </row>
    <row r="5" spans="1:3" ht="15.75" x14ac:dyDescent="0.2">
      <c r="A5" s="45"/>
      <c r="B5" s="46" t="s">
        <v>271</v>
      </c>
      <c r="C5" s="47">
        <f>IF('[5]1_ENTREGA'!$A7="","",VLOOKUP(C3,'[5]2_APERTURA DE SOBRES'!$A$7:$K$36,4,FALSE))</f>
        <v>890930614</v>
      </c>
    </row>
    <row r="6" spans="1:3" ht="31.5" hidden="1" x14ac:dyDescent="0.2">
      <c r="A6" s="48"/>
      <c r="B6" s="49" t="s">
        <v>272</v>
      </c>
      <c r="C6" s="50"/>
    </row>
    <row r="7" spans="1:3" ht="15.75" hidden="1" x14ac:dyDescent="0.2">
      <c r="A7" s="51" t="s">
        <v>273</v>
      </c>
      <c r="B7" s="52" t="s">
        <v>274</v>
      </c>
      <c r="C7" s="53"/>
    </row>
    <row r="8" spans="1:3" ht="150" hidden="1" x14ac:dyDescent="0.2">
      <c r="A8" s="54">
        <v>1</v>
      </c>
      <c r="B8" s="55" t="s">
        <v>275</v>
      </c>
      <c r="C8" s="56"/>
    </row>
    <row r="9" spans="1:3" ht="45.75" hidden="1" x14ac:dyDescent="0.2">
      <c r="A9" s="54">
        <v>2</v>
      </c>
      <c r="B9" s="55" t="s">
        <v>276</v>
      </c>
      <c r="C9" s="56"/>
    </row>
    <row r="10" spans="1:3" ht="105" hidden="1" x14ac:dyDescent="0.2">
      <c r="A10" s="54">
        <v>3</v>
      </c>
      <c r="B10" s="55" t="s">
        <v>277</v>
      </c>
      <c r="C10" s="56"/>
    </row>
    <row r="11" spans="1:3" ht="45" hidden="1" x14ac:dyDescent="0.2">
      <c r="A11" s="54">
        <v>4</v>
      </c>
      <c r="B11" s="55" t="s">
        <v>278</v>
      </c>
      <c r="C11" s="56"/>
    </row>
    <row r="12" spans="1:3" ht="30" hidden="1" x14ac:dyDescent="0.2">
      <c r="A12" s="54">
        <v>5</v>
      </c>
      <c r="B12" s="55" t="s">
        <v>279</v>
      </c>
      <c r="C12" s="56"/>
    </row>
    <row r="13" spans="1:3" ht="30" hidden="1" x14ac:dyDescent="0.2">
      <c r="A13" s="54">
        <v>6</v>
      </c>
      <c r="B13" s="55" t="s">
        <v>280</v>
      </c>
      <c r="C13" s="56"/>
    </row>
    <row r="14" spans="1:3" ht="75" hidden="1" x14ac:dyDescent="0.2">
      <c r="A14" s="54">
        <v>7</v>
      </c>
      <c r="B14" s="55" t="s">
        <v>281</v>
      </c>
      <c r="C14" s="56"/>
    </row>
    <row r="15" spans="1:3" hidden="1" x14ac:dyDescent="0.2">
      <c r="A15" s="54"/>
      <c r="B15" s="55"/>
      <c r="C15" s="57"/>
    </row>
    <row r="16" spans="1:3" hidden="1" x14ac:dyDescent="0.2">
      <c r="A16" s="54"/>
      <c r="B16" s="55"/>
      <c r="C16" s="57"/>
    </row>
    <row r="17" spans="1:3" hidden="1" x14ac:dyDescent="0.2">
      <c r="A17" s="54"/>
      <c r="B17" s="55"/>
      <c r="C17" s="56"/>
    </row>
    <row r="18" spans="1:3" hidden="1" x14ac:dyDescent="0.2">
      <c r="A18" s="54"/>
      <c r="B18" s="55" t="s">
        <v>282</v>
      </c>
      <c r="C18" s="56"/>
    </row>
    <row r="19" spans="1:3" hidden="1" x14ac:dyDescent="0.2">
      <c r="A19" s="54"/>
      <c r="B19" s="55" t="s">
        <v>283</v>
      </c>
      <c r="C19" s="56"/>
    </row>
    <row r="20" spans="1:3" hidden="1" x14ac:dyDescent="0.2">
      <c r="A20" s="54"/>
      <c r="B20" s="55" t="s">
        <v>284</v>
      </c>
      <c r="C20" s="58"/>
    </row>
    <row r="21" spans="1:3" hidden="1" x14ac:dyDescent="0.2">
      <c r="A21" s="54"/>
      <c r="B21" s="55" t="s">
        <v>285</v>
      </c>
      <c r="C21" s="58"/>
    </row>
    <row r="22" spans="1:3" ht="15.75" hidden="1" x14ac:dyDescent="0.2">
      <c r="A22" s="59"/>
      <c r="B22" s="60" t="s">
        <v>286</v>
      </c>
      <c r="C22" s="61" t="s">
        <v>287</v>
      </c>
    </row>
    <row r="23" spans="1:3" ht="15.75" x14ac:dyDescent="0.2">
      <c r="A23" s="62"/>
      <c r="B23" s="63"/>
      <c r="C23" s="64"/>
    </row>
    <row r="24" spans="1:3" ht="15.75" x14ac:dyDescent="0.2">
      <c r="A24" s="65" t="s">
        <v>273</v>
      </c>
      <c r="B24" s="66" t="s">
        <v>288</v>
      </c>
      <c r="C24" s="67"/>
    </row>
    <row r="25" spans="1:3" ht="390" x14ac:dyDescent="0.2">
      <c r="A25" s="68">
        <v>1</v>
      </c>
      <c r="B25" s="69" t="s">
        <v>289</v>
      </c>
      <c r="C25" s="194" t="s">
        <v>451</v>
      </c>
    </row>
    <row r="26" spans="1:3" ht="135" x14ac:dyDescent="0.2">
      <c r="A26" s="68">
        <v>2</v>
      </c>
      <c r="B26" s="69" t="s">
        <v>290</v>
      </c>
      <c r="C26" s="70" t="s">
        <v>287</v>
      </c>
    </row>
    <row r="27" spans="1:3" ht="75" x14ac:dyDescent="0.2">
      <c r="A27" s="68">
        <v>3</v>
      </c>
      <c r="B27" s="71" t="s">
        <v>291</v>
      </c>
      <c r="C27" s="72" t="s">
        <v>287</v>
      </c>
    </row>
    <row r="28" spans="1:3" ht="45" x14ac:dyDescent="0.2">
      <c r="A28" s="68">
        <v>4</v>
      </c>
      <c r="B28" s="71" t="s">
        <v>292</v>
      </c>
      <c r="C28" s="73"/>
    </row>
    <row r="29" spans="1:3" ht="45" x14ac:dyDescent="0.2">
      <c r="A29" s="68">
        <v>5</v>
      </c>
      <c r="B29" s="71" t="s">
        <v>293</v>
      </c>
      <c r="C29" s="74" t="s">
        <v>287</v>
      </c>
    </row>
    <row r="30" spans="1:3" x14ac:dyDescent="0.2">
      <c r="A30" s="68">
        <v>6</v>
      </c>
      <c r="B30" s="71" t="s">
        <v>294</v>
      </c>
      <c r="C30" s="74" t="s">
        <v>287</v>
      </c>
    </row>
    <row r="31" spans="1:3" ht="90" x14ac:dyDescent="0.2">
      <c r="A31" s="68">
        <v>7</v>
      </c>
      <c r="B31" s="71" t="s">
        <v>295</v>
      </c>
      <c r="C31" s="74" t="s">
        <v>287</v>
      </c>
    </row>
    <row r="32" spans="1:3" ht="30" x14ac:dyDescent="0.2">
      <c r="A32" s="222">
        <v>8</v>
      </c>
      <c r="B32" s="71" t="s">
        <v>454</v>
      </c>
      <c r="C32" s="74" t="s">
        <v>287</v>
      </c>
    </row>
    <row r="33" spans="1:3" x14ac:dyDescent="0.2">
      <c r="A33" s="223"/>
      <c r="B33" s="71" t="s">
        <v>455</v>
      </c>
      <c r="C33" s="74" t="s">
        <v>452</v>
      </c>
    </row>
    <row r="34" spans="1:3" x14ac:dyDescent="0.2">
      <c r="A34" s="223"/>
      <c r="B34" s="71" t="s">
        <v>456</v>
      </c>
      <c r="C34" s="195">
        <v>171926879.19999999</v>
      </c>
    </row>
    <row r="35" spans="1:3" x14ac:dyDescent="0.2">
      <c r="A35" s="223"/>
      <c r="B35" s="71" t="s">
        <v>457</v>
      </c>
      <c r="C35" s="75" t="s">
        <v>265</v>
      </c>
    </row>
    <row r="36" spans="1:3" x14ac:dyDescent="0.2">
      <c r="A36" s="224"/>
      <c r="B36" s="71" t="s">
        <v>458</v>
      </c>
      <c r="C36" s="76" t="s">
        <v>453</v>
      </c>
    </row>
    <row r="37" spans="1:3" ht="15.75" x14ac:dyDescent="0.2">
      <c r="A37" s="65"/>
      <c r="B37" s="77" t="s">
        <v>296</v>
      </c>
      <c r="C37" s="61" t="s">
        <v>287</v>
      </c>
    </row>
    <row r="45" spans="1:3" x14ac:dyDescent="0.2">
      <c r="C45" s="79"/>
    </row>
    <row r="46" spans="1:3" x14ac:dyDescent="0.2">
      <c r="C46" s="79"/>
    </row>
  </sheetData>
  <sheetProtection algorithmName="SHA-512" hashValue="fJXuaZJYhG2FnND29HZ8ErN/q72jZNmPx588WFTwDTRmorleGZND/J3zoGo46UprhwiA2Iw5Zzqno2QSNdkuMQ==" saltValue="Zq+oWP61zA2mtGT59phrUw==" spinCount="100000" sheet="1" objects="1" scenarios="1"/>
  <mergeCells count="1">
    <mergeCell ref="A32:A36"/>
  </mergeCells>
  <conditionalFormatting sqref="C37">
    <cfRule type="cellIs" dxfId="296" priority="3" operator="equal">
      <formula>"NO CUMPLE"</formula>
    </cfRule>
    <cfRule type="cellIs" dxfId="295" priority="4" operator="equal">
      <formula>"CUMPLE"</formula>
    </cfRule>
  </conditionalFormatting>
  <conditionalFormatting sqref="C22">
    <cfRule type="cellIs" dxfId="294" priority="1" operator="equal">
      <formula>"NO CUMPLE"</formula>
    </cfRule>
    <cfRule type="cellIs" dxfId="293" priority="2" operator="equal">
      <formula>"CUMPLE"</formula>
    </cfRule>
  </conditionalFormatting>
  <dataValidations count="1">
    <dataValidation type="list" allowBlank="1" showInputMessage="1" showErrorMessage="1" sqref="C37 C22">
      <formula1>"CUMPLE,NO CUMPLE"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B1:Z30"/>
  <sheetViews>
    <sheetView showGridLines="0" topLeftCell="K13" zoomScale="70" zoomScaleNormal="70" workbookViewId="0">
      <selection activeCell="T28" sqref="T28:T29"/>
    </sheetView>
  </sheetViews>
  <sheetFormatPr baseColWidth="10" defaultRowHeight="12.75" x14ac:dyDescent="0.2"/>
  <cols>
    <col min="3" max="3" width="34" customWidth="1"/>
    <col min="4" max="4" width="25.7109375" customWidth="1"/>
    <col min="5" max="5" width="21.42578125" customWidth="1"/>
    <col min="6" max="6" width="24.85546875" customWidth="1"/>
    <col min="7" max="8" width="31.28515625" customWidth="1"/>
    <col min="9" max="9" width="22.85546875" customWidth="1"/>
    <col min="10" max="10" width="22.5703125" customWidth="1"/>
    <col min="11" max="11" width="17.140625" customWidth="1"/>
    <col min="12" max="13" width="18.7109375" customWidth="1"/>
    <col min="14" max="14" width="28.28515625" customWidth="1"/>
    <col min="15" max="15" width="33.140625" customWidth="1"/>
    <col min="16" max="16" width="51" customWidth="1"/>
    <col min="17" max="17" width="43.85546875" customWidth="1"/>
    <col min="18" max="18" width="25.5703125" customWidth="1"/>
    <col min="19" max="19" width="38.42578125" customWidth="1"/>
    <col min="20" max="20" width="32.28515625" customWidth="1"/>
    <col min="24" max="24" width="2.5703125" bestFit="1" customWidth="1"/>
    <col min="25" max="25" width="37.5703125" customWidth="1"/>
  </cols>
  <sheetData>
    <row r="1" spans="2:20" ht="45" x14ac:dyDescent="0.2">
      <c r="B1" s="252" t="s">
        <v>297</v>
      </c>
      <c r="C1" s="253"/>
      <c r="D1" s="253"/>
      <c r="E1" s="253"/>
      <c r="F1" s="253"/>
      <c r="G1" s="253"/>
      <c r="H1" s="253"/>
      <c r="I1" s="253"/>
      <c r="J1" s="253"/>
      <c r="K1" s="253"/>
      <c r="L1" s="253"/>
      <c r="M1" s="253"/>
      <c r="N1" s="253"/>
      <c r="O1" s="253"/>
      <c r="P1" s="253"/>
      <c r="Q1" s="253"/>
      <c r="R1" s="253"/>
      <c r="S1" s="254"/>
      <c r="T1" s="80"/>
    </row>
    <row r="2" spans="2:20" ht="15.75" x14ac:dyDescent="0.2">
      <c r="B2" s="81"/>
      <c r="C2" s="82"/>
      <c r="D2" s="82"/>
      <c r="E2" s="82"/>
      <c r="F2" s="82"/>
      <c r="G2" s="82"/>
      <c r="H2" s="82"/>
      <c r="I2" s="80"/>
      <c r="J2" s="80"/>
      <c r="K2" s="80"/>
      <c r="L2" s="80"/>
      <c r="M2" s="80"/>
      <c r="N2" s="83"/>
      <c r="O2" s="83"/>
      <c r="P2" s="83"/>
      <c r="Q2" s="83"/>
      <c r="R2" s="83"/>
      <c r="S2" s="83"/>
      <c r="T2" s="83"/>
    </row>
    <row r="3" spans="2:20" ht="261" customHeight="1" x14ac:dyDescent="0.2">
      <c r="B3" s="255" t="s">
        <v>298</v>
      </c>
      <c r="C3" s="256"/>
      <c r="D3" s="256"/>
      <c r="E3" s="256"/>
      <c r="F3" s="256"/>
      <c r="G3" s="256"/>
      <c r="H3" s="256"/>
      <c r="I3" s="256"/>
      <c r="J3" s="256"/>
      <c r="K3" s="256"/>
      <c r="L3" s="256"/>
      <c r="M3" s="256"/>
      <c r="N3" s="256"/>
      <c r="O3" s="256"/>
      <c r="P3" s="256"/>
      <c r="Q3" s="256"/>
      <c r="R3" s="256"/>
      <c r="S3" s="257"/>
      <c r="T3" s="83"/>
    </row>
    <row r="4" spans="2:20" ht="15.75" x14ac:dyDescent="0.2">
      <c r="B4" s="83"/>
      <c r="C4" s="83"/>
      <c r="D4" s="83"/>
      <c r="E4" s="83"/>
      <c r="F4" s="258"/>
      <c r="G4" s="258"/>
      <c r="H4" s="258"/>
      <c r="I4" s="258"/>
      <c r="J4" s="258"/>
      <c r="K4" s="258"/>
      <c r="L4" s="258"/>
      <c r="M4" s="258"/>
      <c r="N4" s="258"/>
      <c r="O4" s="80"/>
      <c r="P4" s="80"/>
      <c r="Q4" s="83"/>
      <c r="R4" s="83"/>
      <c r="S4" s="83"/>
      <c r="T4" s="83"/>
    </row>
    <row r="5" spans="2:20" ht="46.5" customHeight="1" x14ac:dyDescent="0.2">
      <c r="B5" s="83"/>
      <c r="C5" s="83"/>
      <c r="D5" s="83"/>
      <c r="E5" s="83"/>
      <c r="F5" s="259" t="s">
        <v>299</v>
      </c>
      <c r="G5" s="260"/>
      <c r="H5" s="84" t="s">
        <v>300</v>
      </c>
      <c r="I5" s="83"/>
      <c r="J5" s="83"/>
      <c r="K5" s="83"/>
      <c r="L5" s="261" t="s">
        <v>301</v>
      </c>
      <c r="M5" s="261"/>
      <c r="N5" s="262" t="s">
        <v>302</v>
      </c>
      <c r="O5" s="262"/>
      <c r="P5" s="85" t="s">
        <v>303</v>
      </c>
      <c r="Q5" s="83"/>
      <c r="R5" s="83"/>
      <c r="S5" s="83"/>
      <c r="T5" s="83"/>
    </row>
    <row r="6" spans="2:20" ht="18" x14ac:dyDescent="0.2">
      <c r="B6" s="83"/>
      <c r="C6" s="83"/>
      <c r="D6" s="83"/>
      <c r="E6" s="83"/>
      <c r="F6" s="263">
        <v>1000000</v>
      </c>
      <c r="G6" s="264"/>
      <c r="H6" s="86">
        <v>3</v>
      </c>
      <c r="I6" s="83"/>
      <c r="J6" s="83"/>
      <c r="K6" s="83"/>
      <c r="L6" s="261"/>
      <c r="M6" s="261"/>
      <c r="N6" s="265">
        <v>1719268792</v>
      </c>
      <c r="O6" s="265"/>
      <c r="P6" s="87">
        <f>+ROUND(N6/$F$6,0)</f>
        <v>1719</v>
      </c>
      <c r="Q6" s="83"/>
      <c r="R6" s="83"/>
      <c r="S6" s="83"/>
      <c r="T6" s="83"/>
    </row>
    <row r="7" spans="2:20" ht="15.75" x14ac:dyDescent="0.2">
      <c r="B7" s="88"/>
      <c r="C7" s="89"/>
      <c r="D7" s="90"/>
      <c r="E7" s="91"/>
      <c r="F7" s="80"/>
      <c r="G7" s="80"/>
      <c r="H7" s="80"/>
      <c r="I7" s="92"/>
      <c r="J7" s="80"/>
      <c r="K7" s="80"/>
      <c r="L7" s="80"/>
      <c r="M7" s="80"/>
      <c r="N7" s="83"/>
      <c r="O7" s="83"/>
      <c r="P7" s="83"/>
      <c r="Q7" s="83"/>
      <c r="R7" s="83"/>
      <c r="S7" s="83"/>
      <c r="T7" s="83"/>
    </row>
    <row r="8" spans="2:20" ht="15" x14ac:dyDescent="0.2">
      <c r="B8" s="93"/>
      <c r="C8" s="80"/>
      <c r="D8" s="80"/>
      <c r="E8" s="94"/>
      <c r="F8" s="95"/>
      <c r="G8" s="95"/>
      <c r="H8" s="80"/>
      <c r="I8" s="80"/>
      <c r="J8" s="80"/>
      <c r="K8" s="80"/>
      <c r="L8" s="80"/>
      <c r="M8" s="80"/>
      <c r="N8" s="80"/>
      <c r="O8" s="80"/>
      <c r="P8" s="80"/>
      <c r="Q8" s="80"/>
      <c r="R8" s="80"/>
      <c r="S8" s="80"/>
      <c r="T8" s="80"/>
    </row>
    <row r="9" spans="2:20" ht="15" x14ac:dyDescent="0.2">
      <c r="B9" s="93"/>
      <c r="C9" s="80"/>
      <c r="D9" s="80"/>
      <c r="E9" s="94"/>
      <c r="F9" s="95"/>
      <c r="G9" s="95"/>
      <c r="H9" s="80"/>
      <c r="I9" s="80"/>
      <c r="J9" s="80"/>
      <c r="K9" s="80"/>
      <c r="L9" s="80"/>
      <c r="M9" s="80"/>
      <c r="N9" s="80"/>
      <c r="O9" s="80"/>
      <c r="P9" s="80"/>
      <c r="Q9" s="80"/>
      <c r="R9" s="80"/>
      <c r="S9" s="80"/>
      <c r="T9" s="80"/>
    </row>
    <row r="10" spans="2:20" ht="75" customHeight="1" x14ac:dyDescent="0.2">
      <c r="B10" s="96">
        <v>1</v>
      </c>
      <c r="C10" s="266" t="s">
        <v>304</v>
      </c>
      <c r="D10" s="267"/>
      <c r="E10" s="268"/>
      <c r="F10" s="269" t="str">
        <f>IFERROR(VLOOKUP(B10,LISTA_OFERENTES,2,FALSE)," ")</f>
        <v>Comercial y Servicios Larco S.A.S</v>
      </c>
      <c r="G10" s="270"/>
      <c r="H10" s="270"/>
      <c r="I10" s="270"/>
      <c r="J10" s="270"/>
      <c r="K10" s="270"/>
      <c r="L10" s="270"/>
      <c r="M10" s="270"/>
      <c r="N10" s="270"/>
      <c r="O10" s="271"/>
      <c r="P10" s="272" t="s">
        <v>305</v>
      </c>
      <c r="Q10" s="273"/>
      <c r="R10" s="274"/>
      <c r="S10" s="97">
        <f>5-(INT(COUNTBLANK(C13:C27))-10)</f>
        <v>3</v>
      </c>
      <c r="T10" s="98"/>
    </row>
    <row r="11" spans="2:20" ht="33.75" customHeight="1" x14ac:dyDescent="0.2">
      <c r="B11" s="244" t="s">
        <v>9</v>
      </c>
      <c r="C11" s="242" t="s">
        <v>306</v>
      </c>
      <c r="D11" s="242" t="s">
        <v>307</v>
      </c>
      <c r="E11" s="242" t="s">
        <v>308</v>
      </c>
      <c r="F11" s="242" t="s">
        <v>309</v>
      </c>
      <c r="G11" s="242" t="s">
        <v>310</v>
      </c>
      <c r="H11" s="242" t="s">
        <v>311</v>
      </c>
      <c r="I11" s="242" t="s">
        <v>312</v>
      </c>
      <c r="J11" s="249" t="s">
        <v>313</v>
      </c>
      <c r="K11" s="250"/>
      <c r="L11" s="250"/>
      <c r="M11" s="251"/>
      <c r="N11" s="242" t="s">
        <v>314</v>
      </c>
      <c r="O11" s="242" t="s">
        <v>315</v>
      </c>
      <c r="P11" s="99" t="s">
        <v>316</v>
      </c>
      <c r="Q11" s="99"/>
      <c r="R11" s="242" t="s">
        <v>317</v>
      </c>
      <c r="S11" s="242" t="s">
        <v>318</v>
      </c>
      <c r="T11" s="242" t="s">
        <v>319</v>
      </c>
    </row>
    <row r="12" spans="2:20" ht="37.5" customHeight="1" x14ac:dyDescent="0.2">
      <c r="B12" s="245"/>
      <c r="C12" s="243"/>
      <c r="D12" s="243"/>
      <c r="E12" s="243"/>
      <c r="F12" s="243"/>
      <c r="G12" s="243"/>
      <c r="H12" s="243"/>
      <c r="I12" s="243"/>
      <c r="J12" s="246" t="s">
        <v>320</v>
      </c>
      <c r="K12" s="247"/>
      <c r="L12" s="247"/>
      <c r="M12" s="248"/>
      <c r="N12" s="243"/>
      <c r="O12" s="243"/>
      <c r="P12" s="100" t="s">
        <v>263</v>
      </c>
      <c r="Q12" s="100" t="s">
        <v>321</v>
      </c>
      <c r="R12" s="243"/>
      <c r="S12" s="243"/>
      <c r="T12" s="243"/>
    </row>
    <row r="13" spans="2:20" ht="41.25" customHeight="1" x14ac:dyDescent="0.2">
      <c r="B13" s="239">
        <v>1</v>
      </c>
      <c r="C13" s="332">
        <v>1</v>
      </c>
      <c r="D13" s="332">
        <v>11</v>
      </c>
      <c r="E13" s="332"/>
      <c r="F13" s="332" t="s">
        <v>387</v>
      </c>
      <c r="G13" s="333">
        <v>30187.16</v>
      </c>
      <c r="H13" s="334" t="s">
        <v>25</v>
      </c>
      <c r="I13" s="335">
        <v>1</v>
      </c>
      <c r="J13" s="336" t="s">
        <v>287</v>
      </c>
      <c r="K13" s="337">
        <v>401017</v>
      </c>
      <c r="L13" s="336"/>
      <c r="M13" s="337"/>
      <c r="N13" s="338" t="s">
        <v>394</v>
      </c>
      <c r="O13" s="338" t="s">
        <v>389</v>
      </c>
      <c r="P13" s="339"/>
      <c r="Q13" s="340" t="s">
        <v>390</v>
      </c>
      <c r="R13" s="340" t="s">
        <v>391</v>
      </c>
      <c r="S13" s="230">
        <f>IF(COUNTIF(J13:M15,"CUMPLE")&gt;=2,(G13*I13),0)* (IF(N13="PRESENTÓ CERTIFICADO",1,0))* (IF(O13="ACORDE A ITEM 5.2.1 (T.R.)",1,0) )* ( IF(OR(Q13="SIN OBSERVACIÓN", Q13="REQUERIMIENTOS SUBSANADOS"),1,0)) *(IF(OR(R13="NINGUNO", R13="CUMPLEN CON LO SOLICITADO"),1,0))</f>
        <v>30187.16</v>
      </c>
      <c r="T13" s="341" t="s">
        <v>392</v>
      </c>
    </row>
    <row r="14" spans="2:20" ht="41.25" customHeight="1" x14ac:dyDescent="0.2">
      <c r="B14" s="240"/>
      <c r="C14" s="342"/>
      <c r="D14" s="342"/>
      <c r="E14" s="342"/>
      <c r="F14" s="342"/>
      <c r="G14" s="343"/>
      <c r="H14" s="344"/>
      <c r="I14" s="345"/>
      <c r="J14" s="336"/>
      <c r="K14" s="337">
        <v>721015</v>
      </c>
      <c r="L14" s="336"/>
      <c r="M14" s="337"/>
      <c r="N14" s="346"/>
      <c r="O14" s="346"/>
      <c r="P14" s="347"/>
      <c r="Q14" s="348"/>
      <c r="R14" s="348"/>
      <c r="S14" s="231"/>
      <c r="T14" s="349"/>
    </row>
    <row r="15" spans="2:20" ht="41.25" customHeight="1" x14ac:dyDescent="0.2">
      <c r="B15" s="241"/>
      <c r="C15" s="350"/>
      <c r="D15" s="350"/>
      <c r="E15" s="350"/>
      <c r="F15" s="350"/>
      <c r="G15" s="351"/>
      <c r="H15" s="352"/>
      <c r="I15" s="353"/>
      <c r="J15" s="336" t="s">
        <v>287</v>
      </c>
      <c r="K15" s="337">
        <v>721512</v>
      </c>
      <c r="L15" s="336"/>
      <c r="M15" s="337"/>
      <c r="N15" s="354"/>
      <c r="O15" s="354"/>
      <c r="P15" s="355"/>
      <c r="Q15" s="356"/>
      <c r="R15" s="356"/>
      <c r="S15" s="232"/>
      <c r="T15" s="349"/>
    </row>
    <row r="16" spans="2:20" ht="48" customHeight="1" x14ac:dyDescent="0.2">
      <c r="B16" s="239">
        <v>2</v>
      </c>
      <c r="C16" s="357">
        <v>2</v>
      </c>
      <c r="D16" s="357">
        <v>11</v>
      </c>
      <c r="E16" s="357"/>
      <c r="F16" s="357" t="s">
        <v>388</v>
      </c>
      <c r="G16" s="358">
        <v>2271.4499999999998</v>
      </c>
      <c r="H16" s="334" t="s">
        <v>25</v>
      </c>
      <c r="I16" s="359">
        <v>1</v>
      </c>
      <c r="J16" s="336" t="s">
        <v>287</v>
      </c>
      <c r="K16" s="337">
        <v>401017</v>
      </c>
      <c r="L16" s="336"/>
      <c r="M16" s="337"/>
      <c r="N16" s="338" t="s">
        <v>393</v>
      </c>
      <c r="O16" s="338" t="s">
        <v>389</v>
      </c>
      <c r="P16" s="339"/>
      <c r="Q16" s="340" t="s">
        <v>390</v>
      </c>
      <c r="R16" s="340" t="s">
        <v>391</v>
      </c>
      <c r="S16" s="230">
        <f t="shared" ref="S16" si="0">IF(COUNTIF(J16:M18,"CUMPLE")&gt;=2,(G16*I16),0)* (IF(N16="PRESENTÓ CERTIFICADO",1,0))* (IF(O16="ACORDE A ITEM 5.2.1 (T.R.)",1,0) )* ( IF(OR(Q16="SIN OBSERVACIÓN", Q16="REQUERIMIENTOS SUBSANADOS"),1,0)) *(IF(OR(R16="NINGUNO", R16="CUMPLEN CON LO SOLICITADO"),1,0))</f>
        <v>0</v>
      </c>
      <c r="T16" s="349"/>
    </row>
    <row r="17" spans="2:26" ht="48" customHeight="1" x14ac:dyDescent="0.2">
      <c r="B17" s="240"/>
      <c r="C17" s="360"/>
      <c r="D17" s="360"/>
      <c r="E17" s="360"/>
      <c r="F17" s="360"/>
      <c r="G17" s="361"/>
      <c r="H17" s="344"/>
      <c r="I17" s="362"/>
      <c r="J17" s="336"/>
      <c r="K17" s="337">
        <v>721015</v>
      </c>
      <c r="L17" s="336"/>
      <c r="M17" s="337"/>
      <c r="N17" s="346"/>
      <c r="O17" s="346"/>
      <c r="P17" s="347"/>
      <c r="Q17" s="348"/>
      <c r="R17" s="348"/>
      <c r="S17" s="231"/>
      <c r="T17" s="349"/>
    </row>
    <row r="18" spans="2:26" ht="48" customHeight="1" x14ac:dyDescent="0.2">
      <c r="B18" s="241"/>
      <c r="C18" s="363"/>
      <c r="D18" s="363"/>
      <c r="E18" s="363"/>
      <c r="F18" s="363"/>
      <c r="G18" s="364"/>
      <c r="H18" s="352"/>
      <c r="I18" s="365"/>
      <c r="J18" s="336" t="s">
        <v>287</v>
      </c>
      <c r="K18" s="337">
        <v>721512</v>
      </c>
      <c r="L18" s="336"/>
      <c r="M18" s="337"/>
      <c r="N18" s="354"/>
      <c r="O18" s="354"/>
      <c r="P18" s="355"/>
      <c r="Q18" s="356"/>
      <c r="R18" s="356"/>
      <c r="S18" s="232"/>
      <c r="T18" s="349"/>
    </row>
    <row r="19" spans="2:26" ht="48" customHeight="1" x14ac:dyDescent="0.2">
      <c r="B19" s="239">
        <v>3</v>
      </c>
      <c r="C19" s="332">
        <v>4</v>
      </c>
      <c r="D19" s="332">
        <v>12</v>
      </c>
      <c r="E19" s="332"/>
      <c r="F19" s="332" t="s">
        <v>387</v>
      </c>
      <c r="G19" s="333">
        <v>7985.84</v>
      </c>
      <c r="H19" s="334" t="s">
        <v>25</v>
      </c>
      <c r="I19" s="335">
        <v>1</v>
      </c>
      <c r="J19" s="336" t="s">
        <v>287</v>
      </c>
      <c r="K19" s="337">
        <v>401017</v>
      </c>
      <c r="L19" s="336"/>
      <c r="M19" s="337"/>
      <c r="N19" s="338" t="s">
        <v>394</v>
      </c>
      <c r="O19" s="338" t="s">
        <v>389</v>
      </c>
      <c r="P19" s="339"/>
      <c r="Q19" s="340" t="s">
        <v>390</v>
      </c>
      <c r="R19" s="340" t="s">
        <v>391</v>
      </c>
      <c r="S19" s="230">
        <f t="shared" ref="S19" si="1">IF(COUNTIF(J19:M21,"CUMPLE")&gt;=2,(G19*I19),0)* (IF(N19="PRESENTÓ CERTIFICADO",1,0))* (IF(O19="ACORDE A ITEM 5.2.1 (T.R.)",1,0) )* ( IF(OR(Q19="SIN OBSERVACIÓN", Q19="REQUERIMIENTOS SUBSANADOS"),1,0)) *(IF(OR(R19="NINGUNO", R19="CUMPLEN CON LO SOLICITADO"),1,0))</f>
        <v>7985.84</v>
      </c>
      <c r="T19" s="349"/>
    </row>
    <row r="20" spans="2:26" ht="48" customHeight="1" x14ac:dyDescent="0.2">
      <c r="B20" s="240"/>
      <c r="C20" s="342"/>
      <c r="D20" s="342"/>
      <c r="E20" s="342"/>
      <c r="F20" s="342"/>
      <c r="G20" s="343"/>
      <c r="H20" s="344"/>
      <c r="I20" s="345"/>
      <c r="J20" s="336"/>
      <c r="K20" s="337">
        <v>721015</v>
      </c>
      <c r="L20" s="336"/>
      <c r="M20" s="337"/>
      <c r="N20" s="346"/>
      <c r="O20" s="346"/>
      <c r="P20" s="347"/>
      <c r="Q20" s="348"/>
      <c r="R20" s="348"/>
      <c r="S20" s="231"/>
      <c r="T20" s="349"/>
    </row>
    <row r="21" spans="2:26" ht="48" customHeight="1" x14ac:dyDescent="0.2">
      <c r="B21" s="241"/>
      <c r="C21" s="350"/>
      <c r="D21" s="350"/>
      <c r="E21" s="350"/>
      <c r="F21" s="350"/>
      <c r="G21" s="351"/>
      <c r="H21" s="352"/>
      <c r="I21" s="353"/>
      <c r="J21" s="336" t="s">
        <v>287</v>
      </c>
      <c r="K21" s="337">
        <v>721512</v>
      </c>
      <c r="L21" s="336"/>
      <c r="M21" s="337"/>
      <c r="N21" s="354"/>
      <c r="O21" s="354"/>
      <c r="P21" s="355"/>
      <c r="Q21" s="356"/>
      <c r="R21" s="356"/>
      <c r="S21" s="232"/>
      <c r="T21" s="349"/>
    </row>
    <row r="22" spans="2:26" ht="48" hidden="1" customHeight="1" x14ac:dyDescent="0.2">
      <c r="B22" s="239">
        <v>4</v>
      </c>
      <c r="C22" s="357"/>
      <c r="D22" s="357"/>
      <c r="E22" s="357"/>
      <c r="F22" s="357"/>
      <c r="G22" s="358"/>
      <c r="H22" s="334"/>
      <c r="I22" s="359"/>
      <c r="J22" s="336"/>
      <c r="K22" s="337">
        <v>401017</v>
      </c>
      <c r="L22" s="336"/>
      <c r="M22" s="337"/>
      <c r="N22" s="338"/>
      <c r="O22" s="338"/>
      <c r="P22" s="366"/>
      <c r="Q22" s="367"/>
      <c r="R22" s="367"/>
      <c r="S22" s="230">
        <f t="shared" ref="S22:S25" si="2">IF(COUNTIF(J22:M24,"CUMPLE")&gt;=2,(G22*I22),0)* (IF(N22="PRESENTÓ CERTIFICADO",1,0))* (IF(O22="ACORDE A ITEM 5.2.1 (T.R.)",1,0) )* ( IF(OR(Q22="SIN OBSERVACIÓN", Q22="REQUERIMIENTOS SUBSANADOS"),1,0)) *(IF(OR(R22="NINGUNO", R22="CUMPLEN CON LO SOLICITADO"),1,0))</f>
        <v>0</v>
      </c>
      <c r="T22" s="349"/>
      <c r="U22" s="172"/>
    </row>
    <row r="23" spans="2:26" ht="48" hidden="1" customHeight="1" x14ac:dyDescent="0.2">
      <c r="B23" s="240"/>
      <c r="C23" s="360"/>
      <c r="D23" s="360"/>
      <c r="E23" s="360"/>
      <c r="F23" s="360"/>
      <c r="G23" s="361"/>
      <c r="H23" s="344"/>
      <c r="I23" s="362"/>
      <c r="J23" s="336"/>
      <c r="K23" s="337">
        <v>721015</v>
      </c>
      <c r="L23" s="336"/>
      <c r="M23" s="337"/>
      <c r="N23" s="346"/>
      <c r="O23" s="346"/>
      <c r="P23" s="368"/>
      <c r="Q23" s="369"/>
      <c r="R23" s="369"/>
      <c r="S23" s="231"/>
      <c r="T23" s="349"/>
      <c r="U23" s="172"/>
    </row>
    <row r="24" spans="2:26" ht="48" hidden="1" customHeight="1" x14ac:dyDescent="0.2">
      <c r="B24" s="241"/>
      <c r="C24" s="363"/>
      <c r="D24" s="363"/>
      <c r="E24" s="363"/>
      <c r="F24" s="363"/>
      <c r="G24" s="364"/>
      <c r="H24" s="352"/>
      <c r="I24" s="365"/>
      <c r="J24" s="336"/>
      <c r="K24" s="370">
        <v>721517</v>
      </c>
      <c r="L24" s="336"/>
      <c r="M24" s="337"/>
      <c r="N24" s="354"/>
      <c r="O24" s="354"/>
      <c r="P24" s="371"/>
      <c r="Q24" s="372"/>
      <c r="R24" s="372"/>
      <c r="S24" s="232"/>
      <c r="T24" s="349"/>
      <c r="U24" s="172"/>
    </row>
    <row r="25" spans="2:26" ht="48" hidden="1" customHeight="1" x14ac:dyDescent="0.2">
      <c r="B25" s="239">
        <v>5</v>
      </c>
      <c r="C25" s="332"/>
      <c r="D25" s="332"/>
      <c r="E25" s="332"/>
      <c r="F25" s="332"/>
      <c r="G25" s="333"/>
      <c r="H25" s="334"/>
      <c r="I25" s="335"/>
      <c r="J25" s="336"/>
      <c r="K25" s="337">
        <v>401017</v>
      </c>
      <c r="L25" s="336"/>
      <c r="M25" s="337"/>
      <c r="N25" s="338"/>
      <c r="O25" s="338"/>
      <c r="P25" s="339"/>
      <c r="Q25" s="340"/>
      <c r="R25" s="340"/>
      <c r="S25" s="230">
        <f t="shared" si="2"/>
        <v>0</v>
      </c>
      <c r="T25" s="349"/>
      <c r="U25" s="172"/>
    </row>
    <row r="26" spans="2:26" ht="48" hidden="1" customHeight="1" x14ac:dyDescent="0.2">
      <c r="B26" s="240"/>
      <c r="C26" s="342"/>
      <c r="D26" s="342"/>
      <c r="E26" s="342"/>
      <c r="F26" s="342"/>
      <c r="G26" s="343"/>
      <c r="H26" s="344"/>
      <c r="I26" s="345"/>
      <c r="J26" s="336"/>
      <c r="K26" s="337">
        <v>721015</v>
      </c>
      <c r="L26" s="336"/>
      <c r="M26" s="337"/>
      <c r="N26" s="346"/>
      <c r="O26" s="346"/>
      <c r="P26" s="347"/>
      <c r="Q26" s="348"/>
      <c r="R26" s="348"/>
      <c r="S26" s="231"/>
      <c r="T26" s="349"/>
      <c r="U26" s="172"/>
    </row>
    <row r="27" spans="2:26" ht="48" hidden="1" customHeight="1" x14ac:dyDescent="0.2">
      <c r="B27" s="241"/>
      <c r="C27" s="350"/>
      <c r="D27" s="350"/>
      <c r="E27" s="350"/>
      <c r="F27" s="350"/>
      <c r="G27" s="351"/>
      <c r="H27" s="352"/>
      <c r="I27" s="353"/>
      <c r="J27" s="336"/>
      <c r="K27" s="370">
        <v>721517</v>
      </c>
      <c r="L27" s="336"/>
      <c r="M27" s="337"/>
      <c r="N27" s="354"/>
      <c r="O27" s="354"/>
      <c r="P27" s="355"/>
      <c r="Q27" s="356"/>
      <c r="R27" s="356"/>
      <c r="S27" s="232"/>
      <c r="T27" s="373"/>
      <c r="U27" s="172"/>
    </row>
    <row r="28" spans="2:26" ht="18" x14ac:dyDescent="0.2">
      <c r="B28" s="233" t="str">
        <f>IF(S29=" "," ",IF(S29&gt;=$H$6,"CUMPLE CON LA EXPERIENCIA REQUERIDA","NO CUMPLE CON LA EXPERIENCIA REQUERIDA"))</f>
        <v>CUMPLE CON LA EXPERIENCIA REQUERIDA</v>
      </c>
      <c r="C28" s="234"/>
      <c r="D28" s="234"/>
      <c r="E28" s="234"/>
      <c r="F28" s="234"/>
      <c r="G28" s="234"/>
      <c r="H28" s="234"/>
      <c r="I28" s="234"/>
      <c r="J28" s="234"/>
      <c r="K28" s="234"/>
      <c r="L28" s="234"/>
      <c r="M28" s="234"/>
      <c r="N28" s="234"/>
      <c r="O28" s="235"/>
      <c r="P28" s="228" t="s">
        <v>322</v>
      </c>
      <c r="Q28" s="229"/>
      <c r="R28" s="101"/>
      <c r="S28" s="102">
        <f>IF(T13="SI",SUM(S13:S27),0)</f>
        <v>38173</v>
      </c>
      <c r="T28" s="226" t="str">
        <f>IF(S29=" "," ",IF(S29&gt;$H$6,"CUMPLE","NO CUMPLE"))</f>
        <v>CUMPLE</v>
      </c>
    </row>
    <row r="29" spans="2:26" ht="47.25" x14ac:dyDescent="0.2">
      <c r="B29" s="236"/>
      <c r="C29" s="237"/>
      <c r="D29" s="237"/>
      <c r="E29" s="237"/>
      <c r="F29" s="237"/>
      <c r="G29" s="237"/>
      <c r="H29" s="237"/>
      <c r="I29" s="237"/>
      <c r="J29" s="237"/>
      <c r="K29" s="237"/>
      <c r="L29" s="237"/>
      <c r="M29" s="237"/>
      <c r="N29" s="237"/>
      <c r="O29" s="238"/>
      <c r="P29" s="228" t="s">
        <v>323</v>
      </c>
      <c r="Q29" s="229"/>
      <c r="R29" s="101"/>
      <c r="S29" s="103">
        <f>IFERROR((S28/$P$6)," ")</f>
        <v>22.206515415939499</v>
      </c>
      <c r="T29" s="227"/>
      <c r="X29" s="225" t="s">
        <v>340</v>
      </c>
      <c r="Y29" s="225"/>
      <c r="Z29" s="115" t="s">
        <v>341</v>
      </c>
    </row>
    <row r="30" spans="2:26" ht="31.5" x14ac:dyDescent="0.2">
      <c r="X30" s="123">
        <v>1</v>
      </c>
      <c r="Y30" s="124" t="str">
        <f t="shared" ref="Y30" si="3">VLOOKUP(X30,LISTA_OFERENTES,2,FALSE)</f>
        <v>Comercial y Servicios Larco S.A.S</v>
      </c>
      <c r="Z30" s="125" t="str">
        <f>IF((T28="NO CUMPLE"),"NH","H")</f>
        <v>H</v>
      </c>
    </row>
  </sheetData>
  <sheetProtection algorithmName="SHA-512" hashValue="XJ0+Tth7QKEr/XsMikC16zeLHJ4ozhOwfcL1x05HyothSG/BYxHH77v59ziS1RVHxIa79THnH+2236+tlVRJJQ==" saltValue="ZgEqHf/06PraKS+HgEoNfg==" spinCount="100000" sheet="1" objects="1" scenarios="1"/>
  <mergeCells count="102">
    <mergeCell ref="B1:S1"/>
    <mergeCell ref="B3:S3"/>
    <mergeCell ref="F4:N4"/>
    <mergeCell ref="F5:G5"/>
    <mergeCell ref="L5:M6"/>
    <mergeCell ref="N5:O5"/>
    <mergeCell ref="F6:G6"/>
    <mergeCell ref="N6:O6"/>
    <mergeCell ref="C10:E10"/>
    <mergeCell ref="F10:O10"/>
    <mergeCell ref="P10:R10"/>
    <mergeCell ref="I11:I12"/>
    <mergeCell ref="B11:B12"/>
    <mergeCell ref="C11:C12"/>
    <mergeCell ref="D11:D12"/>
    <mergeCell ref="E11:E12"/>
    <mergeCell ref="F11:F12"/>
    <mergeCell ref="G11:G12"/>
    <mergeCell ref="H11:H12"/>
    <mergeCell ref="T11:T12"/>
    <mergeCell ref="J12:M12"/>
    <mergeCell ref="J11:M11"/>
    <mergeCell ref="N11:N12"/>
    <mergeCell ref="O11:O12"/>
    <mergeCell ref="R11:R12"/>
    <mergeCell ref="S11:S12"/>
    <mergeCell ref="B13:B15"/>
    <mergeCell ref="C13:C15"/>
    <mergeCell ref="D13:D15"/>
    <mergeCell ref="E13:E15"/>
    <mergeCell ref="F13:F15"/>
    <mergeCell ref="G13:G15"/>
    <mergeCell ref="H13:H15"/>
    <mergeCell ref="I13:I15"/>
    <mergeCell ref="G19:G21"/>
    <mergeCell ref="H19:H21"/>
    <mergeCell ref="O16:O18"/>
    <mergeCell ref="P16:P18"/>
    <mergeCell ref="Q16:Q18"/>
    <mergeCell ref="R16:R18"/>
    <mergeCell ref="S16:S18"/>
    <mergeCell ref="B19:B21"/>
    <mergeCell ref="C19:C21"/>
    <mergeCell ref="D19:D21"/>
    <mergeCell ref="E19:E21"/>
    <mergeCell ref="F19:F21"/>
    <mergeCell ref="B16:B18"/>
    <mergeCell ref="C16:C18"/>
    <mergeCell ref="D16:D18"/>
    <mergeCell ref="E16:E18"/>
    <mergeCell ref="F16:F18"/>
    <mergeCell ref="G16:G18"/>
    <mergeCell ref="H16:H18"/>
    <mergeCell ref="I16:I18"/>
    <mergeCell ref="N16:N18"/>
    <mergeCell ref="Q19:Q21"/>
    <mergeCell ref="R19:R21"/>
    <mergeCell ref="S19:S21"/>
    <mergeCell ref="I19:I21"/>
    <mergeCell ref="N19:N21"/>
    <mergeCell ref="Q22:Q24"/>
    <mergeCell ref="R22:R24"/>
    <mergeCell ref="B22:B24"/>
    <mergeCell ref="C22:C24"/>
    <mergeCell ref="D22:D24"/>
    <mergeCell ref="E22:E24"/>
    <mergeCell ref="F22:F24"/>
    <mergeCell ref="G22:G24"/>
    <mergeCell ref="H22:H24"/>
    <mergeCell ref="F25:F27"/>
    <mergeCell ref="G25:G27"/>
    <mergeCell ref="H25:H27"/>
    <mergeCell ref="I25:I27"/>
    <mergeCell ref="N25:N27"/>
    <mergeCell ref="I22:I24"/>
    <mergeCell ref="N22:N24"/>
    <mergeCell ref="O22:O24"/>
    <mergeCell ref="P22:P24"/>
    <mergeCell ref="X29:Y29"/>
    <mergeCell ref="T28:T29"/>
    <mergeCell ref="P29:Q29"/>
    <mergeCell ref="O25:O27"/>
    <mergeCell ref="P25:P27"/>
    <mergeCell ref="Q25:Q27"/>
    <mergeCell ref="R25:R27"/>
    <mergeCell ref="S25:S27"/>
    <mergeCell ref="B28:O29"/>
    <mergeCell ref="P28:Q28"/>
    <mergeCell ref="T13:T27"/>
    <mergeCell ref="N13:N15"/>
    <mergeCell ref="O13:O15"/>
    <mergeCell ref="P13:P15"/>
    <mergeCell ref="Q13:Q15"/>
    <mergeCell ref="R13:R15"/>
    <mergeCell ref="S13:S15"/>
    <mergeCell ref="O19:O21"/>
    <mergeCell ref="P19:P21"/>
    <mergeCell ref="S22:S24"/>
    <mergeCell ref="B25:B27"/>
    <mergeCell ref="C25:C27"/>
    <mergeCell ref="D25:D27"/>
    <mergeCell ref="E25:E27"/>
  </mergeCells>
  <conditionalFormatting sqref="K13">
    <cfRule type="expression" dxfId="292" priority="218">
      <formula>J13="NO CUMPLE"</formula>
    </cfRule>
    <cfRule type="expression" dxfId="291" priority="219">
      <formula>J13="CUMPLE"</formula>
    </cfRule>
  </conditionalFormatting>
  <conditionalFormatting sqref="M13">
    <cfRule type="expression" dxfId="290" priority="216">
      <formula>L13="NO CUMPLE"</formula>
    </cfRule>
    <cfRule type="expression" dxfId="289" priority="217">
      <formula>L13="CUMPLE"</formula>
    </cfRule>
  </conditionalFormatting>
  <conditionalFormatting sqref="N13 N16 N19">
    <cfRule type="expression" dxfId="288" priority="213">
      <formula>N13=" "</formula>
    </cfRule>
    <cfRule type="expression" dxfId="287" priority="214">
      <formula>N13="NO PRESENTÓ CERTIFICADO"</formula>
    </cfRule>
    <cfRule type="expression" dxfId="286" priority="215">
      <formula>N13="PRESENTÓ CERTIFICADO"</formula>
    </cfRule>
  </conditionalFormatting>
  <conditionalFormatting sqref="J13">
    <cfRule type="cellIs" dxfId="285" priority="211" operator="equal">
      <formula>"NO CUMPLE"</formula>
    </cfRule>
    <cfRule type="cellIs" dxfId="284" priority="212" operator="equal">
      <formula>"CUMPLE"</formula>
    </cfRule>
  </conditionalFormatting>
  <conditionalFormatting sqref="L13:L15">
    <cfRule type="cellIs" dxfId="283" priority="209" operator="equal">
      <formula>"NO CUMPLE"</formula>
    </cfRule>
    <cfRule type="cellIs" dxfId="282" priority="210" operator="equal">
      <formula>"CUMPLE"</formula>
    </cfRule>
  </conditionalFormatting>
  <conditionalFormatting sqref="P13 P16 P19">
    <cfRule type="expression" dxfId="281" priority="196">
      <formula>Q13="NO SUBSANABLE"</formula>
    </cfRule>
    <cfRule type="expression" dxfId="280" priority="198">
      <formula>Q13="REQUERIMIENTOS SUBSANADOS"</formula>
    </cfRule>
    <cfRule type="expression" dxfId="279" priority="199">
      <formula>Q13="PENDIENTES POR SUBSANAR"</formula>
    </cfRule>
    <cfRule type="expression" dxfId="278" priority="204">
      <formula>Q13="SIN OBSERVACIÓN"</formula>
    </cfRule>
    <cfRule type="containsBlanks" dxfId="277" priority="205">
      <formula>LEN(TRIM(P13))=0</formula>
    </cfRule>
  </conditionalFormatting>
  <conditionalFormatting sqref="O13 O16 O19">
    <cfRule type="cellIs" dxfId="276" priority="197" operator="equal">
      <formula>"PENDIENTE POR DESCRIPCIÓN"</formula>
    </cfRule>
    <cfRule type="cellIs" dxfId="275" priority="201" operator="equal">
      <formula>"DESCRIPCIÓN INSUFICIENTE"</formula>
    </cfRule>
    <cfRule type="cellIs" dxfId="274" priority="202" operator="equal">
      <formula>"NO ESTÁ ACORDE A ITEM 5.2.1 (T.R.)"</formula>
    </cfRule>
    <cfRule type="cellIs" dxfId="273" priority="203" operator="equal">
      <formula>"ACORDE A ITEM 5.2.1 (T.R.)"</formula>
    </cfRule>
  </conditionalFormatting>
  <conditionalFormatting sqref="Q13 Q16 Q19">
    <cfRule type="containsBlanks" dxfId="272" priority="191">
      <formula>LEN(TRIM(Q13))=0</formula>
    </cfRule>
    <cfRule type="cellIs" dxfId="271" priority="200" operator="equal">
      <formula>"REQUERIMIENTOS SUBSANADOS"</formula>
    </cfRule>
    <cfRule type="containsText" dxfId="270" priority="206" operator="containsText" text="NO SUBSANABLE">
      <formula>NOT(ISERROR(SEARCH("NO SUBSANABLE",Q13)))</formula>
    </cfRule>
    <cfRule type="containsText" dxfId="269" priority="207" operator="containsText" text="PENDIENTES POR SUBSANAR">
      <formula>NOT(ISERROR(SEARCH("PENDIENTES POR SUBSANAR",Q13)))</formula>
    </cfRule>
    <cfRule type="containsText" dxfId="268" priority="208" operator="containsText" text="SIN OBSERVACIÓN">
      <formula>NOT(ISERROR(SEARCH("SIN OBSERVACIÓN",Q13)))</formula>
    </cfRule>
  </conditionalFormatting>
  <conditionalFormatting sqref="R13 R16 R19">
    <cfRule type="containsBlanks" dxfId="267" priority="190">
      <formula>LEN(TRIM(R13))=0</formula>
    </cfRule>
    <cfRule type="cellIs" dxfId="266" priority="192" operator="equal">
      <formula>"NO CUMPLEN CON LO SOLICITADO"</formula>
    </cfRule>
    <cfRule type="cellIs" dxfId="265" priority="193" operator="equal">
      <formula>"CUMPLEN CON LO SOLICITADO"</formula>
    </cfRule>
    <cfRule type="cellIs" dxfId="264" priority="194" operator="equal">
      <formula>"PENDIENTES"</formula>
    </cfRule>
    <cfRule type="cellIs" dxfId="263" priority="195" operator="equal">
      <formula>"NINGUNO"</formula>
    </cfRule>
  </conditionalFormatting>
  <conditionalFormatting sqref="T28">
    <cfRule type="cellIs" dxfId="262" priority="188" operator="equal">
      <formula>"NO CUMPLE"</formula>
    </cfRule>
    <cfRule type="cellIs" dxfId="261" priority="189" operator="equal">
      <formula>"CUMPLE"</formula>
    </cfRule>
  </conditionalFormatting>
  <conditionalFormatting sqref="B28">
    <cfRule type="cellIs" dxfId="260" priority="186" operator="equal">
      <formula>"NO CUMPLE CON LA EXPERIENCIA REQUERIDA"</formula>
    </cfRule>
    <cfRule type="cellIs" dxfId="259" priority="187" operator="equal">
      <formula>"CUMPLE CON LA EXPERIENCIA REQUERIDA"</formula>
    </cfRule>
  </conditionalFormatting>
  <conditionalFormatting sqref="H13">
    <cfRule type="notContainsBlanks" dxfId="258" priority="185">
      <formula>LEN(TRIM(H13))&gt;0</formula>
    </cfRule>
  </conditionalFormatting>
  <conditionalFormatting sqref="G13">
    <cfRule type="notContainsBlanks" dxfId="257" priority="184">
      <formula>LEN(TRIM(G13))&gt;0</formula>
    </cfRule>
  </conditionalFormatting>
  <conditionalFormatting sqref="F13">
    <cfRule type="notContainsBlanks" dxfId="256" priority="183">
      <formula>LEN(TRIM(F13))&gt;0</formula>
    </cfRule>
  </conditionalFormatting>
  <conditionalFormatting sqref="E13">
    <cfRule type="notContainsBlanks" dxfId="255" priority="182">
      <formula>LEN(TRIM(E13))&gt;0</formula>
    </cfRule>
  </conditionalFormatting>
  <conditionalFormatting sqref="D13">
    <cfRule type="notContainsBlanks" dxfId="254" priority="181">
      <formula>LEN(TRIM(D13))&gt;0</formula>
    </cfRule>
  </conditionalFormatting>
  <conditionalFormatting sqref="C13">
    <cfRule type="notContainsBlanks" dxfId="253" priority="180">
      <formula>LEN(TRIM(C13))&gt;0</formula>
    </cfRule>
  </conditionalFormatting>
  <conditionalFormatting sqref="I13">
    <cfRule type="notContainsBlanks" dxfId="252" priority="179">
      <formula>LEN(TRIM(I13))&gt;0</formula>
    </cfRule>
  </conditionalFormatting>
  <conditionalFormatting sqref="H16 H19">
    <cfRule type="notContainsBlanks" dxfId="251" priority="156">
      <formula>LEN(TRIM(H16))&gt;0</formula>
    </cfRule>
  </conditionalFormatting>
  <conditionalFormatting sqref="G16 G19">
    <cfRule type="notContainsBlanks" dxfId="250" priority="155">
      <formula>LEN(TRIM(G16))&gt;0</formula>
    </cfRule>
  </conditionalFormatting>
  <conditionalFormatting sqref="F16 F19">
    <cfRule type="notContainsBlanks" dxfId="249" priority="154">
      <formula>LEN(TRIM(F16))&gt;0</formula>
    </cfRule>
  </conditionalFormatting>
  <conditionalFormatting sqref="E16 E19">
    <cfRule type="notContainsBlanks" dxfId="248" priority="153">
      <formula>LEN(TRIM(E16))&gt;0</formula>
    </cfRule>
  </conditionalFormatting>
  <conditionalFormatting sqref="D16 D19">
    <cfRule type="notContainsBlanks" dxfId="247" priority="152">
      <formula>LEN(TRIM(D16))&gt;0</formula>
    </cfRule>
  </conditionalFormatting>
  <conditionalFormatting sqref="C16 C19">
    <cfRule type="notContainsBlanks" dxfId="246" priority="151">
      <formula>LEN(TRIM(C16))&gt;0</formula>
    </cfRule>
  </conditionalFormatting>
  <conditionalFormatting sqref="I16 I19">
    <cfRule type="notContainsBlanks" dxfId="245" priority="150">
      <formula>LEN(TRIM(I16))&gt;0</formula>
    </cfRule>
  </conditionalFormatting>
  <conditionalFormatting sqref="N22">
    <cfRule type="expression" dxfId="244" priority="147">
      <formula>N22=" "</formula>
    </cfRule>
    <cfRule type="expression" dxfId="243" priority="148">
      <formula>N22="NO PRESENTÓ CERTIFICADO"</formula>
    </cfRule>
    <cfRule type="expression" dxfId="242" priority="149">
      <formula>N22="PRESENTÓ CERTIFICADO"</formula>
    </cfRule>
  </conditionalFormatting>
  <conditionalFormatting sqref="P22">
    <cfRule type="expression" dxfId="241" priority="134">
      <formula>Q22="NO SUBSANABLE"</formula>
    </cfRule>
    <cfRule type="expression" dxfId="240" priority="136">
      <formula>Q22="REQUERIMIENTOS SUBSANADOS"</formula>
    </cfRule>
    <cfRule type="expression" dxfId="239" priority="137">
      <formula>Q22="PENDIENTES POR SUBSANAR"</formula>
    </cfRule>
    <cfRule type="expression" dxfId="238" priority="142">
      <formula>Q22="SIN OBSERVACIÓN"</formula>
    </cfRule>
    <cfRule type="containsBlanks" dxfId="237" priority="143">
      <formula>LEN(TRIM(P22))=0</formula>
    </cfRule>
  </conditionalFormatting>
  <conditionalFormatting sqref="O22">
    <cfRule type="cellIs" dxfId="236" priority="135" operator="equal">
      <formula>"PENDIENTE POR DESCRIPCIÓN"</formula>
    </cfRule>
    <cfRule type="cellIs" dxfId="235" priority="139" operator="equal">
      <formula>"DESCRIPCIÓN INSUFICIENTE"</formula>
    </cfRule>
    <cfRule type="cellIs" dxfId="234" priority="140" operator="equal">
      <formula>"NO ESTÁ ACORDE A ITEM 5.2.1 (T.R.)"</formula>
    </cfRule>
    <cfRule type="cellIs" dxfId="233" priority="141" operator="equal">
      <formula>"ACORDE A ITEM 5.2.1 (T.R.)"</formula>
    </cfRule>
  </conditionalFormatting>
  <conditionalFormatting sqref="Q22">
    <cfRule type="containsBlanks" dxfId="232" priority="129">
      <formula>LEN(TRIM(Q22))=0</formula>
    </cfRule>
    <cfRule type="cellIs" dxfId="231" priority="138" operator="equal">
      <formula>"REQUERIMIENTOS SUBSANADOS"</formula>
    </cfRule>
    <cfRule type="containsText" dxfId="230" priority="144" operator="containsText" text="NO SUBSANABLE">
      <formula>NOT(ISERROR(SEARCH("NO SUBSANABLE",Q22)))</formula>
    </cfRule>
    <cfRule type="containsText" dxfId="229" priority="145" operator="containsText" text="PENDIENTES POR SUBSANAR">
      <formula>NOT(ISERROR(SEARCH("PENDIENTES POR SUBSANAR",Q22)))</formula>
    </cfRule>
    <cfRule type="containsText" dxfId="228" priority="146" operator="containsText" text="SIN OBSERVACIÓN">
      <formula>NOT(ISERROR(SEARCH("SIN OBSERVACIÓN",Q22)))</formula>
    </cfRule>
  </conditionalFormatting>
  <conditionalFormatting sqref="R22">
    <cfRule type="containsBlanks" dxfId="227" priority="128">
      <formula>LEN(TRIM(R22))=0</formula>
    </cfRule>
    <cfRule type="cellIs" dxfId="226" priority="130" operator="equal">
      <formula>"NO CUMPLEN CON LO SOLICITADO"</formula>
    </cfRule>
    <cfRule type="cellIs" dxfId="225" priority="131" operator="equal">
      <formula>"CUMPLEN CON LO SOLICITADO"</formula>
    </cfRule>
    <cfRule type="cellIs" dxfId="224" priority="132" operator="equal">
      <formula>"PENDIENTES"</formula>
    </cfRule>
    <cfRule type="cellIs" dxfId="223" priority="133" operator="equal">
      <formula>"NINGUNO"</formula>
    </cfRule>
  </conditionalFormatting>
  <conditionalFormatting sqref="H22">
    <cfRule type="notContainsBlanks" dxfId="222" priority="127">
      <formula>LEN(TRIM(H22))&gt;0</formula>
    </cfRule>
  </conditionalFormatting>
  <conditionalFormatting sqref="G22">
    <cfRule type="notContainsBlanks" dxfId="221" priority="126">
      <formula>LEN(TRIM(G22))&gt;0</formula>
    </cfRule>
  </conditionalFormatting>
  <conditionalFormatting sqref="F22">
    <cfRule type="notContainsBlanks" dxfId="220" priority="125">
      <formula>LEN(TRIM(F22))&gt;0</formula>
    </cfRule>
  </conditionalFormatting>
  <conditionalFormatting sqref="E22">
    <cfRule type="notContainsBlanks" dxfId="219" priority="124">
      <formula>LEN(TRIM(E22))&gt;0</formula>
    </cfRule>
  </conditionalFormatting>
  <conditionalFormatting sqref="D22">
    <cfRule type="notContainsBlanks" dxfId="218" priority="123">
      <formula>LEN(TRIM(D22))&gt;0</formula>
    </cfRule>
  </conditionalFormatting>
  <conditionalFormatting sqref="C22">
    <cfRule type="notContainsBlanks" dxfId="217" priority="122">
      <formula>LEN(TRIM(C22))&gt;0</formula>
    </cfRule>
  </conditionalFormatting>
  <conditionalFormatting sqref="I22">
    <cfRule type="notContainsBlanks" dxfId="216" priority="121">
      <formula>LEN(TRIM(I22))&gt;0</formula>
    </cfRule>
  </conditionalFormatting>
  <conditionalFormatting sqref="T13">
    <cfRule type="cellIs" dxfId="215" priority="119" operator="equal">
      <formula>"NO"</formula>
    </cfRule>
    <cfRule type="cellIs" dxfId="214" priority="120" operator="equal">
      <formula>"SI"</formula>
    </cfRule>
  </conditionalFormatting>
  <conditionalFormatting sqref="N25">
    <cfRule type="expression" dxfId="213" priority="116">
      <formula>N25=" "</formula>
    </cfRule>
    <cfRule type="expression" dxfId="212" priority="117">
      <formula>N25="NO PRESENTÓ CERTIFICADO"</formula>
    </cfRule>
    <cfRule type="expression" dxfId="211" priority="118">
      <formula>N25="PRESENTÓ CERTIFICADO"</formula>
    </cfRule>
  </conditionalFormatting>
  <conditionalFormatting sqref="P25">
    <cfRule type="expression" dxfId="210" priority="103">
      <formula>Q25="NO SUBSANABLE"</formula>
    </cfRule>
    <cfRule type="expression" dxfId="209" priority="105">
      <formula>Q25="REQUERIMIENTOS SUBSANADOS"</formula>
    </cfRule>
    <cfRule type="expression" dxfId="208" priority="106">
      <formula>Q25="PENDIENTES POR SUBSANAR"</formula>
    </cfRule>
    <cfRule type="expression" dxfId="207" priority="111">
      <formula>Q25="SIN OBSERVACIÓN"</formula>
    </cfRule>
    <cfRule type="containsBlanks" dxfId="206" priority="112">
      <formula>LEN(TRIM(P25))=0</formula>
    </cfRule>
  </conditionalFormatting>
  <conditionalFormatting sqref="O25">
    <cfRule type="cellIs" dxfId="205" priority="104" operator="equal">
      <formula>"PENDIENTE POR DESCRIPCIÓN"</formula>
    </cfRule>
    <cfRule type="cellIs" dxfId="204" priority="108" operator="equal">
      <formula>"DESCRIPCIÓN INSUFICIENTE"</formula>
    </cfRule>
    <cfRule type="cellIs" dxfId="203" priority="109" operator="equal">
      <formula>"NO ESTÁ ACORDE A ITEM 5.2.1 (T.R.)"</formula>
    </cfRule>
    <cfRule type="cellIs" dxfId="202" priority="110" operator="equal">
      <formula>"ACORDE A ITEM 5.2.1 (T.R.)"</formula>
    </cfRule>
  </conditionalFormatting>
  <conditionalFormatting sqref="Q25">
    <cfRule type="containsBlanks" dxfId="201" priority="98">
      <formula>LEN(TRIM(Q25))=0</formula>
    </cfRule>
    <cfRule type="cellIs" dxfId="200" priority="107" operator="equal">
      <formula>"REQUERIMIENTOS SUBSANADOS"</formula>
    </cfRule>
    <cfRule type="containsText" dxfId="199" priority="113" operator="containsText" text="NO SUBSANABLE">
      <formula>NOT(ISERROR(SEARCH("NO SUBSANABLE",Q25)))</formula>
    </cfRule>
    <cfRule type="containsText" dxfId="198" priority="114" operator="containsText" text="PENDIENTES POR SUBSANAR">
      <formula>NOT(ISERROR(SEARCH("PENDIENTES POR SUBSANAR",Q25)))</formula>
    </cfRule>
    <cfRule type="containsText" dxfId="197" priority="115" operator="containsText" text="SIN OBSERVACIÓN">
      <formula>NOT(ISERROR(SEARCH("SIN OBSERVACIÓN",Q25)))</formula>
    </cfRule>
  </conditionalFormatting>
  <conditionalFormatting sqref="R25">
    <cfRule type="containsBlanks" dxfId="196" priority="97">
      <formula>LEN(TRIM(R25))=0</formula>
    </cfRule>
    <cfRule type="cellIs" dxfId="195" priority="99" operator="equal">
      <formula>"NO CUMPLEN CON LO SOLICITADO"</formula>
    </cfRule>
    <cfRule type="cellIs" dxfId="194" priority="100" operator="equal">
      <formula>"CUMPLEN CON LO SOLICITADO"</formula>
    </cfRule>
    <cfRule type="cellIs" dxfId="193" priority="101" operator="equal">
      <formula>"PENDIENTES"</formula>
    </cfRule>
    <cfRule type="cellIs" dxfId="192" priority="102" operator="equal">
      <formula>"NINGUNO"</formula>
    </cfRule>
  </conditionalFormatting>
  <conditionalFormatting sqref="H25">
    <cfRule type="notContainsBlanks" dxfId="191" priority="96">
      <formula>LEN(TRIM(H25))&gt;0</formula>
    </cfRule>
  </conditionalFormatting>
  <conditionalFormatting sqref="G25">
    <cfRule type="notContainsBlanks" dxfId="190" priority="95">
      <formula>LEN(TRIM(G25))&gt;0</formula>
    </cfRule>
  </conditionalFormatting>
  <conditionalFormatting sqref="F25">
    <cfRule type="notContainsBlanks" dxfId="189" priority="94">
      <formula>LEN(TRIM(F25))&gt;0</formula>
    </cfRule>
  </conditionalFormatting>
  <conditionalFormatting sqref="E25">
    <cfRule type="notContainsBlanks" dxfId="188" priority="93">
      <formula>LEN(TRIM(E25))&gt;0</formula>
    </cfRule>
  </conditionalFormatting>
  <conditionalFormatting sqref="D25">
    <cfRule type="notContainsBlanks" dxfId="187" priority="92">
      <formula>LEN(TRIM(D25))&gt;0</formula>
    </cfRule>
  </conditionalFormatting>
  <conditionalFormatting sqref="C25">
    <cfRule type="notContainsBlanks" dxfId="186" priority="91">
      <formula>LEN(TRIM(C25))&gt;0</formula>
    </cfRule>
  </conditionalFormatting>
  <conditionalFormatting sqref="I25">
    <cfRule type="notContainsBlanks" dxfId="185" priority="90">
      <formula>LEN(TRIM(I25))&gt;0</formula>
    </cfRule>
  </conditionalFormatting>
  <conditionalFormatting sqref="K14:K15">
    <cfRule type="expression" dxfId="184" priority="88">
      <formula>J14="NO CUMPLE"</formula>
    </cfRule>
    <cfRule type="expression" dxfId="183" priority="89">
      <formula>J14="CUMPLE"</formula>
    </cfRule>
  </conditionalFormatting>
  <conditionalFormatting sqref="J14:J15">
    <cfRule type="cellIs" dxfId="182" priority="86" operator="equal">
      <formula>"NO CUMPLE"</formula>
    </cfRule>
    <cfRule type="cellIs" dxfId="181" priority="87" operator="equal">
      <formula>"CUMPLE"</formula>
    </cfRule>
  </conditionalFormatting>
  <conditionalFormatting sqref="M14">
    <cfRule type="expression" dxfId="180" priority="84">
      <formula>L14="NO CUMPLE"</formula>
    </cfRule>
    <cfRule type="expression" dxfId="179" priority="85">
      <formula>L14="CUMPLE"</formula>
    </cfRule>
  </conditionalFormatting>
  <conditionalFormatting sqref="M16">
    <cfRule type="expression" dxfId="178" priority="65">
      <formula>L16="NO CUMPLE"</formula>
    </cfRule>
    <cfRule type="expression" dxfId="177" priority="66">
      <formula>L16="CUMPLE"</formula>
    </cfRule>
  </conditionalFormatting>
  <conditionalFormatting sqref="J16">
    <cfRule type="cellIs" dxfId="176" priority="63" operator="equal">
      <formula>"NO CUMPLE"</formula>
    </cfRule>
    <cfRule type="cellIs" dxfId="175" priority="64" operator="equal">
      <formula>"CUMPLE"</formula>
    </cfRule>
  </conditionalFormatting>
  <conditionalFormatting sqref="L16:L18">
    <cfRule type="cellIs" dxfId="174" priority="61" operator="equal">
      <formula>"NO CUMPLE"</formula>
    </cfRule>
    <cfRule type="cellIs" dxfId="173" priority="62" operator="equal">
      <formula>"CUMPLE"</formula>
    </cfRule>
  </conditionalFormatting>
  <conditionalFormatting sqref="J17:J18">
    <cfRule type="cellIs" dxfId="172" priority="59" operator="equal">
      <formula>"NO CUMPLE"</formula>
    </cfRule>
    <cfRule type="cellIs" dxfId="171" priority="60" operator="equal">
      <formula>"CUMPLE"</formula>
    </cfRule>
  </conditionalFormatting>
  <conditionalFormatting sqref="M17">
    <cfRule type="expression" dxfId="170" priority="57">
      <formula>L17="NO CUMPLE"</formula>
    </cfRule>
    <cfRule type="expression" dxfId="169" priority="58">
      <formula>L17="CUMPLE"</formula>
    </cfRule>
  </conditionalFormatting>
  <conditionalFormatting sqref="M20">
    <cfRule type="expression" dxfId="168" priority="45">
      <formula>L20="NO CUMPLE"</formula>
    </cfRule>
    <cfRule type="expression" dxfId="167" priority="46">
      <formula>L20="CUMPLE"</formula>
    </cfRule>
  </conditionalFormatting>
  <conditionalFormatting sqref="M19">
    <cfRule type="expression" dxfId="166" priority="53">
      <formula>L19="NO CUMPLE"</formula>
    </cfRule>
    <cfRule type="expression" dxfId="165" priority="54">
      <formula>L19="CUMPLE"</formula>
    </cfRule>
  </conditionalFormatting>
  <conditionalFormatting sqref="J19">
    <cfRule type="cellIs" dxfId="164" priority="51" operator="equal">
      <formula>"NO CUMPLE"</formula>
    </cfRule>
    <cfRule type="cellIs" dxfId="163" priority="52" operator="equal">
      <formula>"CUMPLE"</formula>
    </cfRule>
  </conditionalFormatting>
  <conditionalFormatting sqref="L19:L21">
    <cfRule type="cellIs" dxfId="162" priority="49" operator="equal">
      <formula>"NO CUMPLE"</formula>
    </cfRule>
    <cfRule type="cellIs" dxfId="161" priority="50" operator="equal">
      <formula>"CUMPLE"</formula>
    </cfRule>
  </conditionalFormatting>
  <conditionalFormatting sqref="J20:J21">
    <cfRule type="cellIs" dxfId="160" priority="47" operator="equal">
      <formula>"NO CUMPLE"</formula>
    </cfRule>
    <cfRule type="cellIs" dxfId="159" priority="48" operator="equal">
      <formula>"CUMPLE"</formula>
    </cfRule>
  </conditionalFormatting>
  <conditionalFormatting sqref="M22">
    <cfRule type="expression" dxfId="158" priority="43">
      <formula>L22="NO CUMPLE"</formula>
    </cfRule>
    <cfRule type="expression" dxfId="157" priority="44">
      <formula>L22="CUMPLE"</formula>
    </cfRule>
  </conditionalFormatting>
  <conditionalFormatting sqref="J22">
    <cfRule type="cellIs" dxfId="156" priority="41" operator="equal">
      <formula>"NO CUMPLE"</formula>
    </cfRule>
    <cfRule type="cellIs" dxfId="155" priority="42" operator="equal">
      <formula>"CUMPLE"</formula>
    </cfRule>
  </conditionalFormatting>
  <conditionalFormatting sqref="L22:L24">
    <cfRule type="cellIs" dxfId="154" priority="39" operator="equal">
      <formula>"NO CUMPLE"</formula>
    </cfRule>
    <cfRule type="cellIs" dxfId="153" priority="40" operator="equal">
      <formula>"CUMPLE"</formula>
    </cfRule>
  </conditionalFormatting>
  <conditionalFormatting sqref="M25">
    <cfRule type="expression" dxfId="152" priority="33">
      <formula>L25="NO CUMPLE"</formula>
    </cfRule>
    <cfRule type="expression" dxfId="151" priority="34">
      <formula>L25="CUMPLE"</formula>
    </cfRule>
  </conditionalFormatting>
  <conditionalFormatting sqref="J23:J24">
    <cfRule type="cellIs" dxfId="150" priority="37" operator="equal">
      <formula>"NO CUMPLE"</formula>
    </cfRule>
    <cfRule type="cellIs" dxfId="149" priority="38" operator="equal">
      <formula>"CUMPLE"</formula>
    </cfRule>
  </conditionalFormatting>
  <conditionalFormatting sqref="M23">
    <cfRule type="expression" dxfId="148" priority="35">
      <formula>L23="NO CUMPLE"</formula>
    </cfRule>
    <cfRule type="expression" dxfId="147" priority="36">
      <formula>L23="CUMPLE"</formula>
    </cfRule>
  </conditionalFormatting>
  <conditionalFormatting sqref="J25">
    <cfRule type="cellIs" dxfId="146" priority="31" operator="equal">
      <formula>"NO CUMPLE"</formula>
    </cfRule>
    <cfRule type="cellIs" dxfId="145" priority="32" operator="equal">
      <formula>"CUMPLE"</formula>
    </cfRule>
  </conditionalFormatting>
  <conditionalFormatting sqref="L25:L27">
    <cfRule type="cellIs" dxfId="144" priority="29" operator="equal">
      <formula>"NO CUMPLE"</formula>
    </cfRule>
    <cfRule type="cellIs" dxfId="143" priority="30" operator="equal">
      <formula>"CUMPLE"</formula>
    </cfRule>
  </conditionalFormatting>
  <conditionalFormatting sqref="M26">
    <cfRule type="expression" dxfId="142" priority="25">
      <formula>L26="NO CUMPLE"</formula>
    </cfRule>
    <cfRule type="expression" dxfId="141" priority="26">
      <formula>L26="CUMPLE"</formula>
    </cfRule>
  </conditionalFormatting>
  <conditionalFormatting sqref="J26:J27">
    <cfRule type="cellIs" dxfId="140" priority="27" operator="equal">
      <formula>"NO CUMPLE"</formula>
    </cfRule>
    <cfRule type="cellIs" dxfId="139" priority="28" operator="equal">
      <formula>"CUMPLE"</formula>
    </cfRule>
  </conditionalFormatting>
  <conditionalFormatting sqref="S13 S16 S19 S22 S25">
    <cfRule type="cellIs" dxfId="138" priority="23" operator="greaterThan">
      <formula>0</formula>
    </cfRule>
    <cfRule type="cellIs" dxfId="137" priority="24" operator="equal">
      <formula>0</formula>
    </cfRule>
  </conditionalFormatting>
  <conditionalFormatting sqref="K16">
    <cfRule type="expression" dxfId="136" priority="17">
      <formula>J16="NO CUMPLE"</formula>
    </cfRule>
    <cfRule type="expression" dxfId="135" priority="18">
      <formula>J16="CUMPLE"</formula>
    </cfRule>
  </conditionalFormatting>
  <conditionalFormatting sqref="K17">
    <cfRule type="expression" dxfId="134" priority="15">
      <formula>J17="NO CUMPLE"</formula>
    </cfRule>
    <cfRule type="expression" dxfId="133" priority="16">
      <formula>J17="CUMPLE"</formula>
    </cfRule>
  </conditionalFormatting>
  <conditionalFormatting sqref="K19">
    <cfRule type="expression" dxfId="132" priority="13">
      <formula>J19="NO CUMPLE"</formula>
    </cfRule>
    <cfRule type="expression" dxfId="131" priority="14">
      <formula>J19="CUMPLE"</formula>
    </cfRule>
  </conditionalFormatting>
  <conditionalFormatting sqref="K20">
    <cfRule type="expression" dxfId="130" priority="11">
      <formula>J20="NO CUMPLE"</formula>
    </cfRule>
    <cfRule type="expression" dxfId="129" priority="12">
      <formula>J20="CUMPLE"</formula>
    </cfRule>
  </conditionalFormatting>
  <conditionalFormatting sqref="K22">
    <cfRule type="expression" dxfId="128" priority="9">
      <formula>J22="NO CUMPLE"</formula>
    </cfRule>
    <cfRule type="expression" dxfId="127" priority="10">
      <formula>J22="CUMPLE"</formula>
    </cfRule>
  </conditionalFormatting>
  <conditionalFormatting sqref="K23:K24">
    <cfRule type="expression" dxfId="126" priority="7">
      <formula>J23="NO CUMPLE"</formula>
    </cfRule>
    <cfRule type="expression" dxfId="125" priority="8">
      <formula>J23="CUMPLE"</formula>
    </cfRule>
  </conditionalFormatting>
  <conditionalFormatting sqref="K25">
    <cfRule type="expression" dxfId="124" priority="5">
      <formula>J25="NO CUMPLE"</formula>
    </cfRule>
    <cfRule type="expression" dxfId="123" priority="6">
      <formula>J25="CUMPLE"</formula>
    </cfRule>
  </conditionalFormatting>
  <conditionalFormatting sqref="K26:K27">
    <cfRule type="expression" dxfId="122" priority="3">
      <formula>J26="NO CUMPLE"</formula>
    </cfRule>
    <cfRule type="expression" dxfId="121" priority="4">
      <formula>J26="CUMPLE"</formula>
    </cfRule>
  </conditionalFormatting>
  <conditionalFormatting sqref="K21 K18">
    <cfRule type="expression" dxfId="120" priority="1">
      <formula>J18="NO CUMPLE"</formula>
    </cfRule>
    <cfRule type="expression" dxfId="119" priority="2">
      <formula>J18="CUMPLE"</formula>
    </cfRule>
  </conditionalFormatting>
  <dataValidations count="8">
    <dataValidation type="list" allowBlank="1" showInputMessage="1" showErrorMessage="1" sqref="T13:T27">
      <formula1>"SI,NO"</formula1>
    </dataValidation>
    <dataValidation type="list" allowBlank="1" showInputMessage="1" showErrorMessage="1" sqref="B10">
      <formula1>"1,2,3,4,5,6,7,8,9,10,11,12,13,14,15"</formula1>
    </dataValidation>
    <dataValidation type="list" allowBlank="1" showInputMessage="1" showErrorMessage="1" sqref="O13 O25 O22 O16 O19">
      <formula1>"ACORDE A ITEM 5.2.1 (T.R.),NO ESTÁ ACORDE A ITEM 5.2.1 (T.R.),DESCRIPCIÓN INSUFICIENTE,PENDIENTE POR DESCRIPCIÓN"</formula1>
    </dataValidation>
    <dataValidation type="list" allowBlank="1" showInputMessage="1" showErrorMessage="1" sqref="J13:J27 L13:L27">
      <formula1>",CUMPLE,NO CUMPLE"</formula1>
    </dataValidation>
    <dataValidation type="list" allowBlank="1" showInputMessage="1" showErrorMessage="1" sqref="H13 H19 H16 H22 H25">
      <formula1>"I,C,UT"</formula1>
    </dataValidation>
    <dataValidation type="list" allowBlank="1" showInputMessage="1" showErrorMessage="1" sqref="N13 N25 N22 N16 N19">
      <formula1>"PRESENTÓ CERTIFICADO,NO PRESENTÓ CERTIFICADO"</formula1>
    </dataValidation>
    <dataValidation type="list" allowBlank="1" showInputMessage="1" showErrorMessage="1" sqref="Q13 Q25 Q22 Q16 Q19">
      <formula1>"SIN OBSERVACIÓN, PENDIENTES POR SUBSANAR, REQUERIMIENTOS SUBSANADOS, NO SUBSANABLE"</formula1>
    </dataValidation>
    <dataValidation type="list" allowBlank="1" showInputMessage="1" showErrorMessage="1" sqref="R13 R25 R22 R16 R19">
      <formula1>"NINGUNO, PENDIENTES, CUMPLEN CON LO SOLICITADO, NO CUMPLEN CON LO SOLICITADO"</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S6"/>
  <sheetViews>
    <sheetView showGridLines="0" workbookViewId="0">
      <selection activeCell="F16" sqref="F16"/>
    </sheetView>
  </sheetViews>
  <sheetFormatPr baseColWidth="10" defaultRowHeight="12.75" x14ac:dyDescent="0.2"/>
  <cols>
    <col min="2" max="2" width="24.85546875" customWidth="1"/>
    <col min="3" max="3" width="16.28515625" customWidth="1"/>
    <col min="4" max="4" width="20.42578125" customWidth="1"/>
    <col min="7" max="7" width="18.85546875" customWidth="1"/>
    <col min="8" max="8" width="16.42578125" bestFit="1" customWidth="1"/>
    <col min="11" max="13" width="16.42578125" bestFit="1" customWidth="1"/>
    <col min="14" max="14" width="29.140625" customWidth="1"/>
    <col min="18" max="18" width="38.140625" customWidth="1"/>
    <col min="19" max="19" width="14.85546875" customWidth="1"/>
  </cols>
  <sheetData>
    <row r="1" spans="1:19" ht="23.25" x14ac:dyDescent="0.2">
      <c r="A1" s="277" t="s">
        <v>324</v>
      </c>
      <c r="B1" s="277"/>
      <c r="C1" s="277"/>
      <c r="D1" s="277"/>
      <c r="E1" s="277"/>
      <c r="F1" s="277"/>
      <c r="G1" s="277"/>
      <c r="H1" s="277"/>
      <c r="I1" s="277"/>
      <c r="J1" s="277"/>
      <c r="K1" s="277"/>
      <c r="L1" s="277"/>
      <c r="M1" s="277"/>
      <c r="N1" s="277"/>
      <c r="O1" s="80"/>
      <c r="P1" s="80"/>
      <c r="Q1" s="104"/>
      <c r="R1" s="80"/>
      <c r="S1" s="105"/>
    </row>
    <row r="2" spans="1:19" ht="18" x14ac:dyDescent="0.2">
      <c r="A2" s="106"/>
      <c r="B2" s="106"/>
      <c r="C2" s="106"/>
      <c r="D2" s="106"/>
      <c r="E2" s="106"/>
      <c r="F2" s="106"/>
      <c r="G2" s="106"/>
      <c r="H2" s="106"/>
      <c r="I2" s="106"/>
      <c r="J2" s="106"/>
      <c r="K2" s="106"/>
      <c r="L2" s="106"/>
      <c r="M2" s="106"/>
      <c r="N2" s="106"/>
      <c r="O2" s="107"/>
      <c r="P2" s="107"/>
      <c r="Q2" s="108"/>
      <c r="R2" s="107"/>
      <c r="S2" s="109"/>
    </row>
    <row r="3" spans="1:19" ht="15.75" x14ac:dyDescent="0.2">
      <c r="A3" s="278" t="s">
        <v>247</v>
      </c>
      <c r="B3" s="278" t="s">
        <v>325</v>
      </c>
      <c r="C3" s="279" t="s">
        <v>326</v>
      </c>
      <c r="D3" s="279"/>
      <c r="E3" s="279"/>
      <c r="F3" s="279"/>
      <c r="G3" s="279" t="s">
        <v>327</v>
      </c>
      <c r="H3" s="279"/>
      <c r="I3" s="279"/>
      <c r="J3" s="279"/>
      <c r="K3" s="280" t="s">
        <v>328</v>
      </c>
      <c r="L3" s="280"/>
      <c r="M3" s="280"/>
      <c r="N3" s="280"/>
      <c r="O3" s="80"/>
      <c r="P3" s="80"/>
      <c r="Q3" s="104"/>
      <c r="R3" s="80"/>
      <c r="S3" s="105"/>
    </row>
    <row r="4" spans="1:19" ht="22.5" x14ac:dyDescent="0.2">
      <c r="A4" s="278"/>
      <c r="B4" s="278"/>
      <c r="C4" s="110" t="s">
        <v>329</v>
      </c>
      <c r="D4" s="281" t="s">
        <v>330</v>
      </c>
      <c r="E4" s="282"/>
      <c r="F4" s="111">
        <v>0.8</v>
      </c>
      <c r="G4" s="110" t="s">
        <v>331</v>
      </c>
      <c r="H4" s="281" t="s">
        <v>332</v>
      </c>
      <c r="I4" s="282"/>
      <c r="J4" s="112">
        <v>1.2</v>
      </c>
      <c r="K4" s="113" t="s">
        <v>333</v>
      </c>
      <c r="L4" s="283" t="s">
        <v>334</v>
      </c>
      <c r="M4" s="284"/>
      <c r="N4" s="126">
        <f>+'5.2_EXPERIENCIA_GENERAL'!N6:O6*3</f>
        <v>5157806376</v>
      </c>
      <c r="O4" s="80"/>
      <c r="P4" s="80"/>
      <c r="Q4" s="104"/>
      <c r="R4" s="80"/>
      <c r="S4" s="105"/>
    </row>
    <row r="5" spans="1:19" ht="26.25" customHeight="1" x14ac:dyDescent="0.2">
      <c r="A5" s="278"/>
      <c r="B5" s="278"/>
      <c r="C5" s="110" t="s">
        <v>335</v>
      </c>
      <c r="D5" s="110" t="s">
        <v>336</v>
      </c>
      <c r="E5" s="110" t="s">
        <v>0</v>
      </c>
      <c r="F5" s="110" t="s">
        <v>337</v>
      </c>
      <c r="G5" s="110" t="s">
        <v>338</v>
      </c>
      <c r="H5" s="110" t="s">
        <v>339</v>
      </c>
      <c r="I5" s="110" t="s">
        <v>0</v>
      </c>
      <c r="J5" s="110" t="s">
        <v>337</v>
      </c>
      <c r="K5" s="114" t="s">
        <v>338</v>
      </c>
      <c r="L5" s="114" t="s">
        <v>339</v>
      </c>
      <c r="M5" s="114" t="s">
        <v>0</v>
      </c>
      <c r="N5" s="114" t="s">
        <v>337</v>
      </c>
      <c r="O5" s="83"/>
      <c r="P5" s="83"/>
      <c r="Q5" s="225" t="s">
        <v>340</v>
      </c>
      <c r="R5" s="225"/>
      <c r="S5" s="115" t="s">
        <v>341</v>
      </c>
    </row>
    <row r="6" spans="1:19" ht="70.5" customHeight="1" x14ac:dyDescent="0.2">
      <c r="A6" s="116">
        <f>IF('[5]1_ENTREGA'!A8="","",'[5]1_ENTREGA'!A8)</f>
        <v>1</v>
      </c>
      <c r="B6" s="117" t="str">
        <f t="shared" ref="B6" si="0">IF(A6="","",VLOOKUP(A6,LISTA_OFERENTES,2,FALSE))</f>
        <v>Comercial y Servicios Larco S.A.S</v>
      </c>
      <c r="C6" s="118">
        <v>41443543998</v>
      </c>
      <c r="D6" s="118">
        <v>51831469851</v>
      </c>
      <c r="E6" s="173">
        <f>C6/D6</f>
        <v>0.79958264963617309</v>
      </c>
      <c r="F6" s="119" t="str">
        <f t="shared" ref="F6" si="1">IF(B6="","",IF(E6&lt;=$F$4,"CUMPLE","NO CUMPLE"))</f>
        <v>CUMPLE</v>
      </c>
      <c r="G6" s="118">
        <v>50439496982</v>
      </c>
      <c r="H6" s="118">
        <v>38208577271</v>
      </c>
      <c r="I6" s="120">
        <f>G6/H6</f>
        <v>1.3201092682475557</v>
      </c>
      <c r="J6" s="119" t="str">
        <f>IF(I6="","",IF(I6&gt;$J$4,"CUMPLE","NO CUMPLE"))</f>
        <v>CUMPLE</v>
      </c>
      <c r="K6" s="121">
        <f>G6</f>
        <v>50439496982</v>
      </c>
      <c r="L6" s="121">
        <f>H6</f>
        <v>38208577271</v>
      </c>
      <c r="M6" s="122">
        <f>K6-L6</f>
        <v>12230919711</v>
      </c>
      <c r="N6" s="119" t="str">
        <f>IF(B6="","",IF(M6="","NO CUMPLE",IF(M6&gt;=$N$4,"CUMPLE","NO CUMPLE")))</f>
        <v>CUMPLE</v>
      </c>
      <c r="O6" s="275"/>
      <c r="P6" s="276"/>
      <c r="Q6" s="123">
        <v>1</v>
      </c>
      <c r="R6" s="124" t="str">
        <f t="shared" ref="R6" si="2">VLOOKUP(Q6,LISTA_OFERENTES,2,FALSE)</f>
        <v>Comercial y Servicios Larco S.A.S</v>
      </c>
      <c r="S6" s="125" t="str">
        <f>IF(OR(F6="NO CUMPLE",J6="NO CUMPLE",N6="NO CUMPLE"),"NH","H")</f>
        <v>H</v>
      </c>
    </row>
  </sheetData>
  <sheetProtection algorithmName="SHA-512" hashValue="N0V70RMNyaTHL1NlYbrtzR0lzqtRMOVbeNl3KvsJ+Xv8afnS7z4mhW8ylzwQfZDX5Bwbs/Bl4QSvA0ClCCeQ5Q==" saltValue="XYs58Yi9i09DaoQdYP9lLQ==" spinCount="100000" sheet="1" objects="1" scenarios="1"/>
  <mergeCells count="11">
    <mergeCell ref="O6:P6"/>
    <mergeCell ref="Q5:R5"/>
    <mergeCell ref="A1:N1"/>
    <mergeCell ref="A3:A5"/>
    <mergeCell ref="B3:B5"/>
    <mergeCell ref="C3:F3"/>
    <mergeCell ref="G3:J3"/>
    <mergeCell ref="K3:N3"/>
    <mergeCell ref="D4:E4"/>
    <mergeCell ref="H4:I4"/>
    <mergeCell ref="L4:M4"/>
  </mergeCells>
  <conditionalFormatting sqref="N6">
    <cfRule type="cellIs" dxfId="118" priority="3" operator="equal">
      <formula>"NO CUMPLE"</formula>
    </cfRule>
  </conditionalFormatting>
  <conditionalFormatting sqref="F6">
    <cfRule type="cellIs" dxfId="117" priority="2" operator="equal">
      <formula>"NO CUMPLE"</formula>
    </cfRule>
  </conditionalFormatting>
  <conditionalFormatting sqref="J6">
    <cfRule type="cellIs" dxfId="116" priority="1" operator="equal">
      <formula>"NO CUMPLE"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N4"/>
  <sheetViews>
    <sheetView showGridLines="0" topLeftCell="C1" zoomScale="70" zoomScaleNormal="70" workbookViewId="0">
      <selection activeCell="L3" sqref="L3:N4"/>
    </sheetView>
  </sheetViews>
  <sheetFormatPr baseColWidth="10" defaultRowHeight="12.75" x14ac:dyDescent="0.2"/>
  <cols>
    <col min="2" max="2" width="42.7109375" customWidth="1"/>
    <col min="3" max="3" width="33.28515625" customWidth="1"/>
    <col min="4" max="4" width="46.140625" customWidth="1"/>
    <col min="5" max="5" width="56.7109375" customWidth="1"/>
    <col min="6" max="6" width="44.7109375" customWidth="1"/>
    <col min="7" max="7" width="25" customWidth="1"/>
    <col min="8" max="9" width="30.85546875" customWidth="1"/>
    <col min="13" max="13" width="27.5703125" customWidth="1"/>
    <col min="14" max="14" width="35.85546875" customWidth="1"/>
  </cols>
  <sheetData>
    <row r="1" spans="1:14" ht="23.25" x14ac:dyDescent="0.2">
      <c r="A1" s="285" t="s">
        <v>342</v>
      </c>
      <c r="B1" s="286"/>
      <c r="C1" s="286"/>
      <c r="D1" s="286"/>
      <c r="E1" s="286"/>
      <c r="F1" s="286"/>
      <c r="G1" s="286"/>
      <c r="H1" s="286"/>
      <c r="I1" s="286"/>
      <c r="J1" s="127"/>
      <c r="K1" s="127"/>
      <c r="L1" s="127"/>
      <c r="M1" s="127"/>
      <c r="N1" s="127"/>
    </row>
    <row r="2" spans="1:14" x14ac:dyDescent="0.2">
      <c r="A2" s="127"/>
      <c r="B2" s="127"/>
      <c r="C2" s="127"/>
      <c r="D2" s="127"/>
      <c r="E2" s="127"/>
      <c r="F2" s="127"/>
      <c r="G2" s="127"/>
      <c r="H2" s="127"/>
      <c r="I2" s="127"/>
      <c r="J2" s="127"/>
      <c r="K2" s="127"/>
      <c r="L2" s="127"/>
      <c r="M2" s="127"/>
      <c r="N2" s="127"/>
    </row>
    <row r="3" spans="1:14" ht="63.75" x14ac:dyDescent="0.2">
      <c r="A3" s="128" t="s">
        <v>254</v>
      </c>
      <c r="B3" s="129" t="s">
        <v>270</v>
      </c>
      <c r="C3" s="130" t="s">
        <v>343</v>
      </c>
      <c r="D3" s="130" t="s">
        <v>344</v>
      </c>
      <c r="E3" s="130" t="s">
        <v>345</v>
      </c>
      <c r="F3" s="130" t="s">
        <v>346</v>
      </c>
      <c r="G3" s="130" t="s">
        <v>347</v>
      </c>
      <c r="H3" s="130" t="s">
        <v>348</v>
      </c>
      <c r="I3" s="130" t="s">
        <v>349</v>
      </c>
      <c r="J3" s="127"/>
      <c r="K3" s="127"/>
      <c r="L3" s="225" t="s">
        <v>340</v>
      </c>
      <c r="M3" s="225"/>
      <c r="N3" s="115" t="s">
        <v>341</v>
      </c>
    </row>
    <row r="4" spans="1:14" ht="31.5" x14ac:dyDescent="0.2">
      <c r="A4" s="131">
        <f>+IF('[5]1_ENTREGA'!A8="","",'[5]1_ENTREGA'!A8)</f>
        <v>1</v>
      </c>
      <c r="B4" s="132" t="str">
        <f t="shared" ref="B4" si="0">IF(A4="","",VLOOKUP(A4,LISTA_OFERENTES,2,FALSE))</f>
        <v>Comercial y Servicios Larco S.A.S</v>
      </c>
      <c r="C4" s="133" t="s">
        <v>287</v>
      </c>
      <c r="D4" s="133" t="s">
        <v>287</v>
      </c>
      <c r="E4" s="133" t="s">
        <v>287</v>
      </c>
      <c r="F4" s="133" t="s">
        <v>287</v>
      </c>
      <c r="G4" s="133" t="s">
        <v>287</v>
      </c>
      <c r="H4" s="133" t="s">
        <v>287</v>
      </c>
      <c r="I4" s="133" t="s">
        <v>287</v>
      </c>
      <c r="J4" s="127"/>
      <c r="K4" s="127"/>
      <c r="L4" s="123">
        <v>1</v>
      </c>
      <c r="M4" s="125" t="str">
        <f t="shared" ref="M4" si="1">VLOOKUP(L4,LISTA_OFERENTES,2,FALSE)</f>
        <v>Comercial y Servicios Larco S.A.S</v>
      </c>
      <c r="N4" s="125" t="str">
        <f>IF(AND(C4="CUMPLE",D4="CUMPLE",E4="CUMPLE",F4="CUMPLE",G4="CUMPLE",H4="CUMPLE",I4="CUMPLE"),"H","NH")</f>
        <v>H</v>
      </c>
    </row>
  </sheetData>
  <sheetProtection algorithmName="SHA-512" hashValue="3iq8PzoY9FEr2tP2o68IQKdUqDRR2Av1EqE/nZWVdJBZT8ufCjlSwsEgfdpMtW3oLx+d/0PD1kA04xd4EZLTlA==" saltValue="bwXV4JR0Z4m9gKoPExlG/g==" spinCount="100000" sheet="1" objects="1" scenarios="1"/>
  <mergeCells count="2">
    <mergeCell ref="A1:I1"/>
    <mergeCell ref="L3:M3"/>
  </mergeCells>
  <conditionalFormatting sqref="C4:I4">
    <cfRule type="cellIs" dxfId="115" priority="1" operator="equal">
      <formula>"NO CUMPLE"</formula>
    </cfRule>
    <cfRule type="cellIs" dxfId="114" priority="2" operator="equal">
      <formula>"CUMPLE"</formula>
    </cfRule>
  </conditionalFormatting>
  <dataValidations count="1">
    <dataValidation type="list" allowBlank="1" showInputMessage="1" showErrorMessage="1" sqref="C4:I4">
      <formula1>"CUMPLE,NO CUMPLE"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92D050"/>
    <pageSetUpPr fitToPage="1"/>
  </sheetPr>
  <dimension ref="B1:AM73"/>
  <sheetViews>
    <sheetView showGridLines="0" topLeftCell="O1" zoomScale="80" zoomScaleNormal="80" zoomScaleSheetLayoutView="80" workbookViewId="0">
      <selection activeCell="Y25" sqref="Y25"/>
    </sheetView>
  </sheetViews>
  <sheetFormatPr baseColWidth="10" defaultRowHeight="15" x14ac:dyDescent="0.25"/>
  <cols>
    <col min="1" max="1" width="1.5703125" style="375" customWidth="1"/>
    <col min="2" max="2" width="5.7109375" style="374" customWidth="1"/>
    <col min="3" max="3" width="29" style="375" customWidth="1"/>
    <col min="4" max="4" width="15.85546875" style="376" customWidth="1"/>
    <col min="5" max="5" width="23.85546875" style="375" customWidth="1"/>
    <col min="6" max="7" width="16" style="375" customWidth="1"/>
    <col min="8" max="8" width="16.5703125" style="375" customWidth="1"/>
    <col min="9" max="9" width="19.7109375" style="375" customWidth="1"/>
    <col min="10" max="10" width="17.7109375" style="375" customWidth="1"/>
    <col min="11" max="11" width="19.85546875" style="377" customWidth="1"/>
    <col min="12" max="12" width="24.42578125" style="375" customWidth="1"/>
    <col min="13" max="13" width="11.42578125" style="375" customWidth="1"/>
    <col min="14" max="14" width="17.140625" style="375" customWidth="1"/>
    <col min="15" max="15" width="5.7109375" style="374" customWidth="1"/>
    <col min="16" max="16" width="29" style="375" customWidth="1"/>
    <col min="17" max="17" width="15.85546875" style="376" customWidth="1"/>
    <col min="18" max="18" width="23.85546875" style="375" customWidth="1"/>
    <col min="19" max="20" width="16" style="375" customWidth="1"/>
    <col min="21" max="21" width="16.5703125" style="375" customWidth="1"/>
    <col min="22" max="22" width="19.7109375" style="375" customWidth="1"/>
    <col min="23" max="23" width="17.7109375" style="375" customWidth="1"/>
    <col min="24" max="24" width="19.85546875" style="377" customWidth="1"/>
    <col min="25" max="25" width="24.42578125" style="375" customWidth="1"/>
    <col min="26" max="27" width="10.7109375" style="375" customWidth="1"/>
    <col min="28" max="28" width="13" style="375" customWidth="1"/>
    <col min="29" max="37" width="10.7109375" style="375" customWidth="1"/>
    <col min="38" max="38" width="23.5703125" style="375" customWidth="1"/>
    <col min="39" max="49" width="10.7109375" style="375" customWidth="1"/>
    <col min="50" max="16384" width="11.42578125" style="375"/>
  </cols>
  <sheetData>
    <row r="1" spans="2:39" s="375" customFormat="1" x14ac:dyDescent="0.25">
      <c r="B1" s="374"/>
      <c r="D1" s="376"/>
      <c r="K1" s="377"/>
      <c r="O1" s="374"/>
      <c r="Q1" s="376"/>
      <c r="X1" s="377"/>
      <c r="Z1" s="378" t="s">
        <v>395</v>
      </c>
      <c r="AA1" s="378" t="s">
        <v>40</v>
      </c>
      <c r="AB1" s="378" t="s">
        <v>39</v>
      </c>
      <c r="AC1" s="378" t="s">
        <v>38</v>
      </c>
      <c r="AD1" s="378" t="s">
        <v>37</v>
      </c>
      <c r="AE1" s="378" t="s">
        <v>49</v>
      </c>
      <c r="AF1" s="378" t="s">
        <v>48</v>
      </c>
      <c r="AG1" s="378" t="s">
        <v>35</v>
      </c>
      <c r="AH1" s="378" t="s">
        <v>34</v>
      </c>
      <c r="AI1" s="378" t="s">
        <v>33</v>
      </c>
      <c r="AJ1" s="378" t="s">
        <v>396</v>
      </c>
      <c r="AL1" s="378" t="s">
        <v>401</v>
      </c>
      <c r="AM1" s="378" t="s">
        <v>402</v>
      </c>
    </row>
    <row r="2" spans="2:39" s="375" customFormat="1" x14ac:dyDescent="0.25">
      <c r="B2" s="374"/>
      <c r="D2" s="376"/>
      <c r="K2" s="377"/>
      <c r="O2" s="374"/>
      <c r="Q2" s="376"/>
      <c r="X2" s="377"/>
      <c r="Z2" s="379"/>
      <c r="AA2" s="379"/>
      <c r="AB2" s="379"/>
      <c r="AC2" s="379"/>
      <c r="AD2" s="379"/>
      <c r="AE2" s="379"/>
      <c r="AF2" s="379"/>
      <c r="AG2" s="379"/>
      <c r="AH2" s="379"/>
      <c r="AI2" s="379"/>
      <c r="AJ2" s="379"/>
      <c r="AL2" s="379"/>
      <c r="AM2" s="379"/>
    </row>
    <row r="3" spans="2:39" s="375" customFormat="1" x14ac:dyDescent="0.25">
      <c r="B3" s="374"/>
      <c r="D3" s="376"/>
      <c r="K3" s="377"/>
      <c r="O3" s="374"/>
      <c r="Q3" s="376"/>
      <c r="X3" s="377"/>
      <c r="Z3" s="379"/>
      <c r="AA3" s="379"/>
      <c r="AB3" s="379"/>
      <c r="AC3" s="379"/>
      <c r="AD3" s="379"/>
      <c r="AE3" s="379"/>
      <c r="AF3" s="379"/>
      <c r="AG3" s="379"/>
      <c r="AH3" s="379"/>
      <c r="AI3" s="379"/>
      <c r="AJ3" s="379"/>
      <c r="AL3" s="379"/>
      <c r="AM3" s="379"/>
    </row>
    <row r="4" spans="2:39" s="375" customFormat="1" x14ac:dyDescent="0.25">
      <c r="B4" s="374"/>
      <c r="D4" s="376"/>
      <c r="K4" s="377"/>
      <c r="O4" s="374"/>
      <c r="Q4" s="376"/>
      <c r="X4" s="377"/>
      <c r="Z4" s="379"/>
      <c r="AA4" s="379"/>
      <c r="AB4" s="379"/>
      <c r="AC4" s="379"/>
      <c r="AD4" s="379"/>
      <c r="AE4" s="379"/>
      <c r="AF4" s="379"/>
      <c r="AG4" s="379"/>
      <c r="AH4" s="379"/>
      <c r="AI4" s="379"/>
      <c r="AJ4" s="379"/>
      <c r="AL4" s="379"/>
      <c r="AM4" s="379"/>
    </row>
    <row r="5" spans="2:39" s="375" customFormat="1" x14ac:dyDescent="0.25">
      <c r="B5" s="374"/>
      <c r="D5" s="376"/>
      <c r="K5" s="377"/>
      <c r="O5" s="374"/>
      <c r="Q5" s="376"/>
      <c r="X5" s="377"/>
      <c r="Z5" s="379"/>
      <c r="AA5" s="379"/>
      <c r="AB5" s="379"/>
      <c r="AC5" s="379"/>
      <c r="AD5" s="379"/>
      <c r="AE5" s="379"/>
      <c r="AF5" s="379"/>
      <c r="AG5" s="379"/>
      <c r="AH5" s="379"/>
      <c r="AI5" s="379"/>
      <c r="AJ5" s="379"/>
      <c r="AL5" s="379"/>
      <c r="AM5" s="379"/>
    </row>
    <row r="6" spans="2:39" s="375" customFormat="1" x14ac:dyDescent="0.25">
      <c r="B6" s="374"/>
      <c r="D6" s="376"/>
      <c r="K6" s="377"/>
      <c r="O6" s="374"/>
      <c r="P6" s="380" t="s">
        <v>248</v>
      </c>
      <c r="Q6" s="381">
        <v>1</v>
      </c>
      <c r="R6" s="382" t="str">
        <f>+'1_ENTREGA'!B8</f>
        <v>Comercial y Servicios Larco S.A.S</v>
      </c>
      <c r="S6" s="382"/>
      <c r="T6" s="382"/>
      <c r="U6" s="382"/>
      <c r="V6" s="382"/>
      <c r="W6" s="382"/>
      <c r="X6" s="382"/>
      <c r="Y6" s="383"/>
      <c r="Z6" s="379"/>
      <c r="AA6" s="379"/>
      <c r="AB6" s="379"/>
      <c r="AC6" s="379"/>
      <c r="AD6" s="379"/>
      <c r="AE6" s="379"/>
      <c r="AF6" s="379"/>
      <c r="AG6" s="379"/>
      <c r="AH6" s="379"/>
      <c r="AI6" s="379"/>
      <c r="AJ6" s="379"/>
      <c r="AL6" s="379"/>
      <c r="AM6" s="379"/>
    </row>
    <row r="7" spans="2:39" s="375" customFormat="1" x14ac:dyDescent="0.25">
      <c r="B7" s="374"/>
      <c r="D7" s="376"/>
      <c r="K7" s="377"/>
      <c r="O7" s="374"/>
      <c r="P7" s="380"/>
      <c r="Q7" s="381"/>
      <c r="R7" s="382"/>
      <c r="S7" s="382"/>
      <c r="T7" s="382"/>
      <c r="U7" s="382"/>
      <c r="V7" s="382"/>
      <c r="W7" s="382"/>
      <c r="X7" s="382"/>
      <c r="Y7" s="383"/>
      <c r="Z7" s="379"/>
      <c r="AA7" s="379"/>
      <c r="AB7" s="379"/>
      <c r="AC7" s="379"/>
      <c r="AD7" s="379"/>
      <c r="AE7" s="379"/>
      <c r="AF7" s="379"/>
      <c r="AG7" s="379"/>
      <c r="AH7" s="379"/>
      <c r="AI7" s="379"/>
      <c r="AJ7" s="379"/>
      <c r="AL7" s="379"/>
      <c r="AM7" s="379"/>
    </row>
    <row r="8" spans="2:39" s="375" customFormat="1" x14ac:dyDescent="0.25">
      <c r="B8" s="374"/>
      <c r="D8" s="376"/>
      <c r="K8" s="377"/>
      <c r="O8" s="374"/>
      <c r="P8" s="380"/>
      <c r="Q8" s="381"/>
      <c r="R8" s="382"/>
      <c r="S8" s="382"/>
      <c r="T8" s="382"/>
      <c r="U8" s="382"/>
      <c r="V8" s="382"/>
      <c r="W8" s="382"/>
      <c r="X8" s="382"/>
      <c r="Y8" s="383"/>
      <c r="Z8" s="379"/>
      <c r="AA8" s="379"/>
      <c r="AB8" s="379"/>
      <c r="AC8" s="379"/>
      <c r="AD8" s="379"/>
      <c r="AE8" s="379"/>
      <c r="AF8" s="379"/>
      <c r="AG8" s="379"/>
      <c r="AH8" s="379"/>
      <c r="AI8" s="379"/>
      <c r="AJ8" s="379"/>
      <c r="AL8" s="379"/>
      <c r="AM8" s="379"/>
    </row>
    <row r="9" spans="2:39" s="375" customFormat="1" ht="18.75" customHeight="1" x14ac:dyDescent="0.25">
      <c r="B9" s="374"/>
      <c r="C9" s="384" t="s">
        <v>224</v>
      </c>
      <c r="D9" s="384"/>
      <c r="E9" s="384"/>
      <c r="F9" s="384"/>
      <c r="G9" s="384"/>
      <c r="H9" s="384"/>
      <c r="I9" s="384"/>
      <c r="J9" s="384"/>
      <c r="K9" s="384"/>
      <c r="L9" s="384"/>
      <c r="O9" s="374"/>
      <c r="P9" s="384" t="s">
        <v>224</v>
      </c>
      <c r="Q9" s="384"/>
      <c r="R9" s="384"/>
      <c r="S9" s="384"/>
      <c r="T9" s="384"/>
      <c r="U9" s="384"/>
      <c r="V9" s="384"/>
      <c r="W9" s="384"/>
      <c r="X9" s="384"/>
      <c r="Y9" s="385"/>
      <c r="Z9" s="379"/>
      <c r="AA9" s="379"/>
      <c r="AB9" s="379"/>
      <c r="AC9" s="379"/>
      <c r="AD9" s="379"/>
      <c r="AE9" s="379"/>
      <c r="AF9" s="379"/>
      <c r="AG9" s="379"/>
      <c r="AH9" s="379"/>
      <c r="AI9" s="379"/>
      <c r="AJ9" s="379"/>
      <c r="AL9" s="379"/>
      <c r="AM9" s="379"/>
    </row>
    <row r="10" spans="2:39" s="375" customFormat="1" ht="62.25" customHeight="1" x14ac:dyDescent="0.25">
      <c r="B10" s="386">
        <v>1</v>
      </c>
      <c r="C10" s="387" t="s">
        <v>41</v>
      </c>
      <c r="D10" s="388" t="s">
        <v>40</v>
      </c>
      <c r="E10" s="388" t="s">
        <v>39</v>
      </c>
      <c r="F10" s="388" t="s">
        <v>38</v>
      </c>
      <c r="G10" s="389" t="s">
        <v>37</v>
      </c>
      <c r="H10" s="389" t="s">
        <v>49</v>
      </c>
      <c r="I10" s="389" t="s">
        <v>48</v>
      </c>
      <c r="J10" s="389" t="s">
        <v>35</v>
      </c>
      <c r="K10" s="389" t="s">
        <v>34</v>
      </c>
      <c r="L10" s="390" t="s">
        <v>33</v>
      </c>
      <c r="O10" s="386">
        <v>1</v>
      </c>
      <c r="P10" s="391" t="s">
        <v>41</v>
      </c>
      <c r="Q10" s="388" t="s">
        <v>40</v>
      </c>
      <c r="R10" s="388" t="s">
        <v>39</v>
      </c>
      <c r="S10" s="388" t="s">
        <v>38</v>
      </c>
      <c r="T10" s="389" t="s">
        <v>37</v>
      </c>
      <c r="U10" s="389" t="s">
        <v>49</v>
      </c>
      <c r="V10" s="389" t="s">
        <v>48</v>
      </c>
      <c r="W10" s="389" t="s">
        <v>35</v>
      </c>
      <c r="X10" s="389" t="s">
        <v>34</v>
      </c>
      <c r="Y10" s="392" t="s">
        <v>33</v>
      </c>
      <c r="Z10" s="386">
        <f t="shared" ref="Z10:Z41" si="0">IFERROR(IF(EXACT(VLOOKUP(O10,FORMATO_GUIA,2,FALSE),P10),1,0),"")</f>
        <v>1</v>
      </c>
      <c r="AA10" s="386">
        <f t="shared" ref="AA10:AA41" si="1">IFERROR(IF(EXACT(VLOOKUP(O10,FORMATO_GUIA,3,FALSE),Q10),1,0),"")</f>
        <v>1</v>
      </c>
      <c r="AB10" s="386">
        <f>IFERROR(IF(EXACT(VLOOKUP(O10,FORMATO_GUIA,4,FALSE),R10),1,0),"")</f>
        <v>1</v>
      </c>
      <c r="AC10" s="386">
        <f t="shared" ref="AC10:AC41" si="2">IFERROR(IF(EXACT(VLOOKUP(O10,FORMATO_GUIA,5,FALSE),S10),1,0),"")</f>
        <v>1</v>
      </c>
      <c r="AD10" s="386">
        <f>IFERROR(IF(EXACT(VLOOKUP(O10,FORMATO_GUIA,6,FALSE),T10),1,0),"")</f>
        <v>1</v>
      </c>
      <c r="AE10" s="386">
        <f>IFERROR(IF(EXACT(VLOOKUP(O10,FORMATO_GUIA,7,FALSE),U10),1,0),"")</f>
        <v>1</v>
      </c>
      <c r="AF10" s="386">
        <f>IFERROR(IF(EXACT(VLOOKUP(O10,FORMATO_GUIA,8,FALSE),V10),1,0),"")</f>
        <v>1</v>
      </c>
      <c r="AG10" s="386">
        <f t="shared" ref="AG10:AG24" si="3">IFERROR(IF(EXACT(VLOOKUP(O10,FORMATO_GUIA,9,FALSE),W10),1,0),"")</f>
        <v>1</v>
      </c>
      <c r="AH10" s="386">
        <f t="shared" ref="AH10:AH27" si="4">IFERROR(IF(EXACT(VLOOKUP(O10,FORMATO_GUIA,10,FALSE),X10),1,0),"")</f>
        <v>1</v>
      </c>
      <c r="AI10" s="386">
        <f>IFERROR(IF(EXACT(VLOOKUP(O10,FORMATO_GUIA,11,FALSE),Y10),1,0),"")</f>
        <v>1</v>
      </c>
      <c r="AJ10" s="386">
        <f>PRODUCT(Z10:AI10)</f>
        <v>1</v>
      </c>
      <c r="AL10" s="393">
        <f>IFERROR(ROUND(Y10,0),0)</f>
        <v>0</v>
      </c>
      <c r="AM10" s="394"/>
    </row>
    <row r="11" spans="2:39" s="375" customFormat="1" x14ac:dyDescent="0.25">
      <c r="B11" s="386">
        <v>2</v>
      </c>
      <c r="C11" s="395"/>
      <c r="D11" s="396" t="s">
        <v>32</v>
      </c>
      <c r="E11" s="396" t="s">
        <v>31</v>
      </c>
      <c r="F11" s="396" t="s">
        <v>30</v>
      </c>
      <c r="G11" s="396" t="s">
        <v>29</v>
      </c>
      <c r="H11" s="396" t="s">
        <v>28</v>
      </c>
      <c r="I11" s="396" t="s">
        <v>27</v>
      </c>
      <c r="J11" s="396" t="s">
        <v>26</v>
      </c>
      <c r="K11" s="396" t="s">
        <v>25</v>
      </c>
      <c r="L11" s="396" t="s">
        <v>24</v>
      </c>
      <c r="O11" s="386">
        <v>2</v>
      </c>
      <c r="P11" s="396"/>
      <c r="Q11" s="396" t="s">
        <v>32</v>
      </c>
      <c r="R11" s="396" t="s">
        <v>31</v>
      </c>
      <c r="S11" s="396" t="s">
        <v>30</v>
      </c>
      <c r="T11" s="396" t="s">
        <v>29</v>
      </c>
      <c r="U11" s="396" t="s">
        <v>28</v>
      </c>
      <c r="V11" s="396" t="s">
        <v>27</v>
      </c>
      <c r="W11" s="396" t="s">
        <v>26</v>
      </c>
      <c r="X11" s="396" t="s">
        <v>25</v>
      </c>
      <c r="Y11" s="397" t="s">
        <v>24</v>
      </c>
      <c r="Z11" s="386">
        <f t="shared" si="0"/>
        <v>1</v>
      </c>
      <c r="AA11" s="386">
        <f t="shared" si="1"/>
        <v>1</v>
      </c>
      <c r="AB11" s="386">
        <f>IFERROR(IF(EXACT(VLOOKUP(O11,FORMATO_GUIA,4,FALSE),R11),1,0),"")</f>
        <v>1</v>
      </c>
      <c r="AC11" s="386">
        <f t="shared" si="2"/>
        <v>1</v>
      </c>
      <c r="AD11" s="386">
        <f>IFERROR(IF(EXACT(VLOOKUP(O11,FORMATO_GUIA,6,FALSE),T11),1,0),"")</f>
        <v>1</v>
      </c>
      <c r="AE11" s="386">
        <f>IFERROR(IF(EXACT(VLOOKUP(O11,FORMATO_GUIA,7,FALSE),U11),1,0),"")</f>
        <v>1</v>
      </c>
      <c r="AF11" s="386">
        <f>IFERROR(IF(EXACT(VLOOKUP(O11,FORMATO_GUIA,8,FALSE),V11),1,0),"")</f>
        <v>1</v>
      </c>
      <c r="AG11" s="386">
        <f t="shared" si="3"/>
        <v>1</v>
      </c>
      <c r="AH11" s="386">
        <f t="shared" si="4"/>
        <v>1</v>
      </c>
      <c r="AI11" s="386">
        <f>IFERROR(IF(EXACT(VLOOKUP(O11,FORMATO_GUIA,11,FALSE),Y11),1,0),"")</f>
        <v>1</v>
      </c>
      <c r="AJ11" s="386">
        <f t="shared" ref="AJ11:AJ60" si="5">PRODUCT(Z11:AI11)</f>
        <v>1</v>
      </c>
      <c r="AL11" s="393">
        <f t="shared" ref="AL11:AL60" si="6">IFERROR(ROUND(Y11,0),0)</f>
        <v>0</v>
      </c>
      <c r="AM11" s="394"/>
    </row>
    <row r="12" spans="2:39" s="375" customFormat="1" ht="15" customHeight="1" x14ac:dyDescent="0.25">
      <c r="B12" s="386">
        <v>3</v>
      </c>
      <c r="C12" s="398" t="s">
        <v>47</v>
      </c>
      <c r="D12" s="399"/>
      <c r="E12" s="399"/>
      <c r="F12" s="399"/>
      <c r="G12" s="399"/>
      <c r="H12" s="399"/>
      <c r="I12" s="399"/>
      <c r="J12" s="399"/>
      <c r="K12" s="399"/>
      <c r="L12" s="399"/>
      <c r="O12" s="386">
        <v>3</v>
      </c>
      <c r="P12" s="399" t="s">
        <v>47</v>
      </c>
      <c r="Q12" s="399"/>
      <c r="R12" s="399"/>
      <c r="S12" s="399"/>
      <c r="T12" s="399"/>
      <c r="U12" s="399"/>
      <c r="V12" s="399"/>
      <c r="W12" s="399"/>
      <c r="X12" s="399"/>
      <c r="Y12" s="400"/>
      <c r="Z12" s="386">
        <f t="shared" si="0"/>
        <v>1</v>
      </c>
      <c r="AA12" s="386">
        <f t="shared" si="1"/>
        <v>1</v>
      </c>
      <c r="AB12" s="386">
        <f>IFERROR(IF(EXACT(VLOOKUP(O12,FORMATO_GUIA,4,FALSE),R12),1,0),"")</f>
        <v>1</v>
      </c>
      <c r="AC12" s="386">
        <f t="shared" si="2"/>
        <v>1</v>
      </c>
      <c r="AD12" s="386">
        <f>IFERROR(IF(EXACT(VLOOKUP(O12,FORMATO_GUIA,6,FALSE),T12),1,0),"")</f>
        <v>1</v>
      </c>
      <c r="AE12" s="386">
        <f>IFERROR(IF(EXACT(VLOOKUP(O12,FORMATO_GUIA,7,FALSE),U12),1,0),"")</f>
        <v>1</v>
      </c>
      <c r="AF12" s="386">
        <f>IFERROR(IF(EXACT(VLOOKUP(O12,FORMATO_GUIA,8,FALSE),V12),1,0),"")</f>
        <v>1</v>
      </c>
      <c r="AG12" s="386">
        <f t="shared" si="3"/>
        <v>1</v>
      </c>
      <c r="AH12" s="386">
        <f t="shared" si="4"/>
        <v>1</v>
      </c>
      <c r="AI12" s="386">
        <f>IFERROR(IF(EXACT(VLOOKUP(O12,FORMATO_GUIA,11,FALSE),Y12),1,0),"")</f>
        <v>1</v>
      </c>
      <c r="AJ12" s="386">
        <f t="shared" si="5"/>
        <v>1</v>
      </c>
      <c r="AL12" s="393">
        <f t="shared" si="6"/>
        <v>0</v>
      </c>
      <c r="AM12" s="394"/>
    </row>
    <row r="13" spans="2:39" s="375" customFormat="1" ht="30" x14ac:dyDescent="0.25">
      <c r="B13" s="386">
        <v>4</v>
      </c>
      <c r="C13" s="401" t="s">
        <v>46</v>
      </c>
      <c r="D13" s="402">
        <v>1</v>
      </c>
      <c r="E13" s="403"/>
      <c r="F13" s="404">
        <v>1</v>
      </c>
      <c r="G13" s="405">
        <f>F13*E13</f>
        <v>0</v>
      </c>
      <c r="H13" s="406"/>
      <c r="I13" s="407">
        <f>G13*(H13+1)</f>
        <v>0</v>
      </c>
      <c r="J13" s="405">
        <v>0</v>
      </c>
      <c r="K13" s="408"/>
      <c r="L13" s="409">
        <f>(I13+J13+K13)*D13</f>
        <v>0</v>
      </c>
      <c r="O13" s="386">
        <v>4</v>
      </c>
      <c r="P13" s="410" t="s">
        <v>46</v>
      </c>
      <c r="Q13" s="402">
        <v>1</v>
      </c>
      <c r="R13" s="411">
        <v>4500000</v>
      </c>
      <c r="S13" s="404">
        <v>1</v>
      </c>
      <c r="T13" s="412">
        <f>S13*R13</f>
        <v>4500000</v>
      </c>
      <c r="U13" s="413">
        <v>0.7</v>
      </c>
      <c r="V13" s="414">
        <f>T13*(U13+1)</f>
        <v>7650000</v>
      </c>
      <c r="W13" s="412">
        <v>0</v>
      </c>
      <c r="X13" s="408"/>
      <c r="Y13" s="415">
        <f>(V13+W13+X13)*Q13</f>
        <v>7650000</v>
      </c>
      <c r="Z13" s="386">
        <f t="shared" si="0"/>
        <v>1</v>
      </c>
      <c r="AA13" s="386">
        <f t="shared" si="1"/>
        <v>1</v>
      </c>
      <c r="AB13" s="386">
        <f>IFERROR(IF(R13&lt;=0,0,1),"")</f>
        <v>1</v>
      </c>
      <c r="AC13" s="386">
        <f t="shared" si="2"/>
        <v>1</v>
      </c>
      <c r="AD13" s="386">
        <f>IFERROR(IF(T13=R13*S13,1,0),"")</f>
        <v>1</v>
      </c>
      <c r="AE13" s="386">
        <f>IFERROR(IF(U13&lt;=0,0,1),"")</f>
        <v>1</v>
      </c>
      <c r="AF13" s="386">
        <f>IFERROR(IF(V13=T13*(U13+1),1,0),"")</f>
        <v>1</v>
      </c>
      <c r="AG13" s="386">
        <f t="shared" si="3"/>
        <v>1</v>
      </c>
      <c r="AH13" s="386">
        <f t="shared" si="4"/>
        <v>1</v>
      </c>
      <c r="AI13" s="386">
        <f>IFERROR(IF(Y13=(V13+W13+X13)*Q13,1,0),"")</f>
        <v>1</v>
      </c>
      <c r="AJ13" s="386">
        <f t="shared" si="5"/>
        <v>1</v>
      </c>
      <c r="AL13" s="393">
        <f t="shared" si="6"/>
        <v>7650000</v>
      </c>
      <c r="AM13" s="394">
        <f>Y13-AL13</f>
        <v>0</v>
      </c>
    </row>
    <row r="14" spans="2:39" s="375" customFormat="1" x14ac:dyDescent="0.25">
      <c r="B14" s="386">
        <v>5</v>
      </c>
      <c r="C14" s="416" t="s">
        <v>45</v>
      </c>
      <c r="D14" s="402">
        <v>1</v>
      </c>
      <c r="E14" s="403"/>
      <c r="F14" s="404">
        <f>15/30</f>
        <v>0.5</v>
      </c>
      <c r="G14" s="405">
        <f>F14*E14</f>
        <v>0</v>
      </c>
      <c r="H14" s="406"/>
      <c r="I14" s="407">
        <f>G14*(H14+1)</f>
        <v>0</v>
      </c>
      <c r="J14" s="405">
        <v>0</v>
      </c>
      <c r="K14" s="408"/>
      <c r="L14" s="409">
        <f>(I14+J14+K14)*D14</f>
        <v>0</v>
      </c>
      <c r="O14" s="386">
        <v>5</v>
      </c>
      <c r="P14" s="410" t="s">
        <v>45</v>
      </c>
      <c r="Q14" s="402">
        <v>1</v>
      </c>
      <c r="R14" s="411">
        <v>2500000</v>
      </c>
      <c r="S14" s="404">
        <f>15/30</f>
        <v>0.5</v>
      </c>
      <c r="T14" s="412">
        <f>S14*R14</f>
        <v>1250000</v>
      </c>
      <c r="U14" s="413">
        <v>0.7</v>
      </c>
      <c r="V14" s="414">
        <f>T14*(U14+1)</f>
        <v>2125000</v>
      </c>
      <c r="W14" s="412">
        <v>0</v>
      </c>
      <c r="X14" s="408"/>
      <c r="Y14" s="415">
        <f>(V14+W14+X14)*Q14</f>
        <v>2125000</v>
      </c>
      <c r="Z14" s="386">
        <f t="shared" si="0"/>
        <v>1</v>
      </c>
      <c r="AA14" s="386">
        <f t="shared" si="1"/>
        <v>1</v>
      </c>
      <c r="AB14" s="386">
        <f>IFERROR(IF(R14&lt;=0,0,1),"")</f>
        <v>1</v>
      </c>
      <c r="AC14" s="386">
        <f t="shared" si="2"/>
        <v>1</v>
      </c>
      <c r="AD14" s="386">
        <f>IFERROR(IF(T14=R14*S14,1,0),"")</f>
        <v>1</v>
      </c>
      <c r="AE14" s="386">
        <f>IFERROR(IF(U14&lt;=0,0,1),"")</f>
        <v>1</v>
      </c>
      <c r="AF14" s="386">
        <f>IFERROR(IF(V14=T14*(U14+1),1,0),"")</f>
        <v>1</v>
      </c>
      <c r="AG14" s="386">
        <f t="shared" si="3"/>
        <v>1</v>
      </c>
      <c r="AH14" s="386">
        <f t="shared" si="4"/>
        <v>1</v>
      </c>
      <c r="AI14" s="386">
        <f>IFERROR(IF(Y14=(V14+W14+X14)*Q14,1,0),"")</f>
        <v>1</v>
      </c>
      <c r="AJ14" s="386">
        <f t="shared" si="5"/>
        <v>1</v>
      </c>
      <c r="AL14" s="393">
        <f t="shared" si="6"/>
        <v>2125000</v>
      </c>
      <c r="AM14" s="394">
        <f t="shared" ref="AM14:AM60" si="7">Y14-AL14</f>
        <v>0</v>
      </c>
    </row>
    <row r="15" spans="2:39" s="375" customFormat="1" ht="15" customHeight="1" x14ac:dyDescent="0.25">
      <c r="B15" s="386">
        <v>6</v>
      </c>
      <c r="C15" s="417" t="s">
        <v>44</v>
      </c>
      <c r="D15" s="418"/>
      <c r="E15" s="418"/>
      <c r="F15" s="418"/>
      <c r="G15" s="418"/>
      <c r="H15" s="418"/>
      <c r="I15" s="418"/>
      <c r="J15" s="418"/>
      <c r="K15" s="418"/>
      <c r="L15" s="418"/>
      <c r="O15" s="386">
        <v>6</v>
      </c>
      <c r="P15" s="418" t="s">
        <v>44</v>
      </c>
      <c r="Q15" s="418"/>
      <c r="R15" s="418"/>
      <c r="S15" s="418"/>
      <c r="T15" s="418"/>
      <c r="U15" s="418"/>
      <c r="V15" s="418"/>
      <c r="W15" s="418"/>
      <c r="X15" s="418"/>
      <c r="Y15" s="419"/>
      <c r="Z15" s="386">
        <f t="shared" si="0"/>
        <v>1</v>
      </c>
      <c r="AA15" s="386">
        <f t="shared" si="1"/>
        <v>1</v>
      </c>
      <c r="AB15" s="386">
        <f t="shared" ref="AB15:AB24" si="8">IFERROR(IF(EXACT(VLOOKUP(O15,FORMATO_GUIA,4,FALSE),R15),1,0),"")</f>
        <v>1</v>
      </c>
      <c r="AC15" s="386">
        <f t="shared" si="2"/>
        <v>1</v>
      </c>
      <c r="AD15" s="386">
        <f t="shared" ref="AD15:AD24" si="9">IFERROR(IF(EXACT(VLOOKUP(O15,FORMATO_GUIA,6,FALSE),T15),1,0),"")</f>
        <v>1</v>
      </c>
      <c r="AE15" s="386">
        <f t="shared" ref="AE15:AE24" si="10">IFERROR(IF(EXACT(VLOOKUP(O15,FORMATO_GUIA,7,FALSE),U15),1,0),"")</f>
        <v>1</v>
      </c>
      <c r="AF15" s="386">
        <f t="shared" ref="AF15:AF24" si="11">IFERROR(IF(EXACT(VLOOKUP(O15,FORMATO_GUIA,8,FALSE),V15),1,0),"")</f>
        <v>1</v>
      </c>
      <c r="AG15" s="386">
        <f t="shared" si="3"/>
        <v>1</v>
      </c>
      <c r="AH15" s="386">
        <f t="shared" si="4"/>
        <v>1</v>
      </c>
      <c r="AI15" s="386">
        <f>IFERROR(IF(EXACT(VLOOKUP(O15,FORMATO_GUIA,11,FALSE),Y15),1,0),"")</f>
        <v>1</v>
      </c>
      <c r="AJ15" s="386">
        <f t="shared" si="5"/>
        <v>1</v>
      </c>
      <c r="AL15" s="393">
        <f t="shared" si="6"/>
        <v>0</v>
      </c>
      <c r="AM15" s="394">
        <f t="shared" si="7"/>
        <v>0</v>
      </c>
    </row>
    <row r="16" spans="2:39" s="375" customFormat="1" ht="15" customHeight="1" x14ac:dyDescent="0.25">
      <c r="B16" s="386">
        <v>7</v>
      </c>
      <c r="C16" s="420" t="s">
        <v>233</v>
      </c>
      <c r="D16" s="421"/>
      <c r="E16" s="421"/>
      <c r="F16" s="421"/>
      <c r="G16" s="421"/>
      <c r="H16" s="421"/>
      <c r="I16" s="421"/>
      <c r="J16" s="421"/>
      <c r="K16" s="421"/>
      <c r="L16" s="422"/>
      <c r="O16" s="386">
        <v>7</v>
      </c>
      <c r="P16" s="423" t="s">
        <v>233</v>
      </c>
      <c r="Q16" s="423"/>
      <c r="R16" s="423"/>
      <c r="S16" s="423"/>
      <c r="T16" s="423"/>
      <c r="U16" s="423"/>
      <c r="V16" s="423"/>
      <c r="W16" s="423"/>
      <c r="X16" s="423"/>
      <c r="Y16" s="424">
        <v>1100000</v>
      </c>
      <c r="Z16" s="386">
        <f t="shared" si="0"/>
        <v>1</v>
      </c>
      <c r="AA16" s="386">
        <f t="shared" si="1"/>
        <v>1</v>
      </c>
      <c r="AB16" s="386">
        <f t="shared" si="8"/>
        <v>1</v>
      </c>
      <c r="AC16" s="386">
        <f t="shared" si="2"/>
        <v>1</v>
      </c>
      <c r="AD16" s="386">
        <f t="shared" si="9"/>
        <v>1</v>
      </c>
      <c r="AE16" s="386">
        <f t="shared" si="10"/>
        <v>1</v>
      </c>
      <c r="AF16" s="386">
        <f t="shared" si="11"/>
        <v>1</v>
      </c>
      <c r="AG16" s="386">
        <f t="shared" si="3"/>
        <v>1</v>
      </c>
      <c r="AH16" s="386">
        <f t="shared" si="4"/>
        <v>1</v>
      </c>
      <c r="AI16" s="386">
        <f>IFERROR(IF(Y16&lt;=0,0,1),"")</f>
        <v>1</v>
      </c>
      <c r="AJ16" s="386">
        <f t="shared" si="5"/>
        <v>1</v>
      </c>
      <c r="AL16" s="393">
        <f t="shared" si="6"/>
        <v>1100000</v>
      </c>
      <c r="AM16" s="394">
        <f t="shared" si="7"/>
        <v>0</v>
      </c>
    </row>
    <row r="17" spans="2:39" s="375" customFormat="1" ht="15" customHeight="1" x14ac:dyDescent="0.25">
      <c r="B17" s="386">
        <v>8</v>
      </c>
      <c r="C17" s="420" t="s">
        <v>232</v>
      </c>
      <c r="D17" s="421"/>
      <c r="E17" s="421"/>
      <c r="F17" s="421"/>
      <c r="G17" s="421"/>
      <c r="H17" s="421"/>
      <c r="I17" s="421"/>
      <c r="J17" s="421"/>
      <c r="K17" s="421"/>
      <c r="L17" s="422"/>
      <c r="O17" s="386">
        <v>8</v>
      </c>
      <c r="P17" s="423" t="s">
        <v>232</v>
      </c>
      <c r="Q17" s="423"/>
      <c r="R17" s="423"/>
      <c r="S17" s="423"/>
      <c r="T17" s="423"/>
      <c r="U17" s="423"/>
      <c r="V17" s="423"/>
      <c r="W17" s="423"/>
      <c r="X17" s="423"/>
      <c r="Y17" s="424">
        <v>281178</v>
      </c>
      <c r="Z17" s="386">
        <f t="shared" si="0"/>
        <v>1</v>
      </c>
      <c r="AA17" s="386">
        <f t="shared" si="1"/>
        <v>1</v>
      </c>
      <c r="AB17" s="386">
        <f t="shared" si="8"/>
        <v>1</v>
      </c>
      <c r="AC17" s="386">
        <f t="shared" si="2"/>
        <v>1</v>
      </c>
      <c r="AD17" s="386">
        <f t="shared" si="9"/>
        <v>1</v>
      </c>
      <c r="AE17" s="386">
        <f t="shared" si="10"/>
        <v>1</v>
      </c>
      <c r="AF17" s="386">
        <f t="shared" si="11"/>
        <v>1</v>
      </c>
      <c r="AG17" s="386">
        <f t="shared" si="3"/>
        <v>1</v>
      </c>
      <c r="AH17" s="386">
        <f t="shared" si="4"/>
        <v>1</v>
      </c>
      <c r="AI17" s="386">
        <f t="shared" ref="AI17:AI18" si="12">IFERROR(IF(Y17&lt;=0,0,1),"")</f>
        <v>1</v>
      </c>
      <c r="AJ17" s="386">
        <f t="shared" si="5"/>
        <v>1</v>
      </c>
      <c r="AL17" s="393">
        <f t="shared" si="6"/>
        <v>281178</v>
      </c>
      <c r="AM17" s="394">
        <f t="shared" si="7"/>
        <v>0</v>
      </c>
    </row>
    <row r="18" spans="2:39" s="375" customFormat="1" ht="15" customHeight="1" x14ac:dyDescent="0.25">
      <c r="B18" s="386">
        <v>9</v>
      </c>
      <c r="C18" s="425" t="s">
        <v>239</v>
      </c>
      <c r="D18" s="421"/>
      <c r="E18" s="421"/>
      <c r="F18" s="421"/>
      <c r="G18" s="421"/>
      <c r="H18" s="421"/>
      <c r="I18" s="421"/>
      <c r="J18" s="421"/>
      <c r="K18" s="421"/>
      <c r="L18" s="422"/>
      <c r="O18" s="386">
        <v>9</v>
      </c>
      <c r="P18" s="423" t="s">
        <v>239</v>
      </c>
      <c r="Q18" s="423"/>
      <c r="R18" s="423"/>
      <c r="S18" s="423"/>
      <c r="T18" s="423"/>
      <c r="U18" s="423"/>
      <c r="V18" s="423"/>
      <c r="W18" s="423"/>
      <c r="X18" s="423"/>
      <c r="Y18" s="424">
        <v>950000</v>
      </c>
      <c r="Z18" s="386">
        <f t="shared" si="0"/>
        <v>1</v>
      </c>
      <c r="AA18" s="386">
        <f t="shared" si="1"/>
        <v>1</v>
      </c>
      <c r="AB18" s="386">
        <f t="shared" si="8"/>
        <v>1</v>
      </c>
      <c r="AC18" s="386">
        <f t="shared" si="2"/>
        <v>1</v>
      </c>
      <c r="AD18" s="386">
        <f t="shared" si="9"/>
        <v>1</v>
      </c>
      <c r="AE18" s="386">
        <f t="shared" si="10"/>
        <v>1</v>
      </c>
      <c r="AF18" s="386">
        <f t="shared" si="11"/>
        <v>1</v>
      </c>
      <c r="AG18" s="386">
        <f t="shared" si="3"/>
        <v>1</v>
      </c>
      <c r="AH18" s="386">
        <f t="shared" si="4"/>
        <v>1</v>
      </c>
      <c r="AI18" s="386">
        <f t="shared" si="12"/>
        <v>1</v>
      </c>
      <c r="AJ18" s="386">
        <f t="shared" si="5"/>
        <v>1</v>
      </c>
      <c r="AL18" s="393">
        <f t="shared" si="6"/>
        <v>950000</v>
      </c>
      <c r="AM18" s="394">
        <f t="shared" si="7"/>
        <v>0</v>
      </c>
    </row>
    <row r="19" spans="2:39" s="375" customFormat="1" ht="19.5" customHeight="1" x14ac:dyDescent="0.25">
      <c r="B19" s="386">
        <v>10</v>
      </c>
      <c r="C19" s="426" t="s">
        <v>43</v>
      </c>
      <c r="D19" s="427"/>
      <c r="E19" s="427"/>
      <c r="F19" s="427"/>
      <c r="G19" s="427"/>
      <c r="H19" s="427"/>
      <c r="I19" s="427"/>
      <c r="J19" s="427"/>
      <c r="K19" s="427"/>
      <c r="L19" s="428">
        <f>SUM(L13:L18)</f>
        <v>0</v>
      </c>
      <c r="O19" s="386">
        <v>10</v>
      </c>
      <c r="P19" s="427" t="s">
        <v>43</v>
      </c>
      <c r="Q19" s="427"/>
      <c r="R19" s="427"/>
      <c r="S19" s="427"/>
      <c r="T19" s="427"/>
      <c r="U19" s="427"/>
      <c r="V19" s="427"/>
      <c r="W19" s="427"/>
      <c r="X19" s="427"/>
      <c r="Y19" s="429">
        <f>SUM(Y13:Y18)</f>
        <v>12106178</v>
      </c>
      <c r="Z19" s="386">
        <f t="shared" si="0"/>
        <v>1</v>
      </c>
      <c r="AA19" s="386">
        <f t="shared" si="1"/>
        <v>1</v>
      </c>
      <c r="AB19" s="386">
        <f t="shared" si="8"/>
        <v>1</v>
      </c>
      <c r="AC19" s="386">
        <f t="shared" si="2"/>
        <v>1</v>
      </c>
      <c r="AD19" s="386">
        <f t="shared" si="9"/>
        <v>1</v>
      </c>
      <c r="AE19" s="386">
        <f t="shared" si="10"/>
        <v>1</v>
      </c>
      <c r="AF19" s="386">
        <f t="shared" si="11"/>
        <v>1</v>
      </c>
      <c r="AG19" s="386">
        <f t="shared" si="3"/>
        <v>1</v>
      </c>
      <c r="AH19" s="386">
        <f t="shared" si="4"/>
        <v>1</v>
      </c>
      <c r="AI19" s="386">
        <f>IFERROR(IF(Y19=SUM(Y13:Y18),1,0),"")</f>
        <v>1</v>
      </c>
      <c r="AJ19" s="386">
        <f t="shared" si="5"/>
        <v>1</v>
      </c>
      <c r="AL19" s="393">
        <f t="shared" si="6"/>
        <v>12106178</v>
      </c>
      <c r="AM19" s="394">
        <f t="shared" si="7"/>
        <v>0</v>
      </c>
    </row>
    <row r="20" spans="2:39" s="375" customFormat="1" x14ac:dyDescent="0.25">
      <c r="B20" s="386">
        <v>11</v>
      </c>
      <c r="C20" s="430"/>
      <c r="D20" s="431"/>
      <c r="E20" s="431"/>
      <c r="F20" s="431"/>
      <c r="G20" s="431"/>
      <c r="H20" s="431"/>
      <c r="I20" s="431"/>
      <c r="J20" s="431"/>
      <c r="K20" s="431"/>
      <c r="L20" s="431"/>
      <c r="O20" s="386">
        <v>11</v>
      </c>
      <c r="P20" s="431"/>
      <c r="Q20" s="431"/>
      <c r="R20" s="431"/>
      <c r="S20" s="431"/>
      <c r="T20" s="431"/>
      <c r="U20" s="431"/>
      <c r="V20" s="431"/>
      <c r="W20" s="431"/>
      <c r="X20" s="431"/>
      <c r="Y20" s="432"/>
      <c r="Z20" s="386">
        <f t="shared" si="0"/>
        <v>1</v>
      </c>
      <c r="AA20" s="386">
        <f t="shared" si="1"/>
        <v>1</v>
      </c>
      <c r="AB20" s="386">
        <f t="shared" si="8"/>
        <v>1</v>
      </c>
      <c r="AC20" s="386">
        <f t="shared" si="2"/>
        <v>1</v>
      </c>
      <c r="AD20" s="386">
        <f t="shared" si="9"/>
        <v>1</v>
      </c>
      <c r="AE20" s="386">
        <f t="shared" si="10"/>
        <v>1</v>
      </c>
      <c r="AF20" s="386">
        <f t="shared" si="11"/>
        <v>1</v>
      </c>
      <c r="AG20" s="386">
        <f t="shared" si="3"/>
        <v>1</v>
      </c>
      <c r="AH20" s="386">
        <f t="shared" si="4"/>
        <v>1</v>
      </c>
      <c r="AI20" s="386">
        <f>IFERROR(IF(EXACT(VLOOKUP(O20,FORMATO_GUIA,11,FALSE),Y20),1,0),"")</f>
        <v>1</v>
      </c>
      <c r="AJ20" s="386">
        <f t="shared" si="5"/>
        <v>1</v>
      </c>
      <c r="AL20" s="393">
        <f t="shared" si="6"/>
        <v>0</v>
      </c>
      <c r="AM20" s="394">
        <f t="shared" si="7"/>
        <v>0</v>
      </c>
    </row>
    <row r="21" spans="2:39" s="375" customFormat="1" ht="15" customHeight="1" x14ac:dyDescent="0.25">
      <c r="B21" s="386">
        <v>12</v>
      </c>
      <c r="C21" s="433" t="s">
        <v>42</v>
      </c>
      <c r="D21" s="434"/>
      <c r="E21" s="434"/>
      <c r="F21" s="434"/>
      <c r="G21" s="434"/>
      <c r="H21" s="434"/>
      <c r="I21" s="434"/>
      <c r="J21" s="434"/>
      <c r="K21" s="434"/>
      <c r="L21" s="434"/>
      <c r="O21" s="386">
        <v>12</v>
      </c>
      <c r="P21" s="434" t="s">
        <v>42</v>
      </c>
      <c r="Q21" s="434"/>
      <c r="R21" s="434"/>
      <c r="S21" s="434"/>
      <c r="T21" s="434"/>
      <c r="U21" s="434"/>
      <c r="V21" s="434"/>
      <c r="W21" s="434"/>
      <c r="X21" s="434"/>
      <c r="Y21" s="435"/>
      <c r="Z21" s="386">
        <f t="shared" si="0"/>
        <v>1</v>
      </c>
      <c r="AA21" s="386">
        <f t="shared" si="1"/>
        <v>1</v>
      </c>
      <c r="AB21" s="386">
        <f t="shared" si="8"/>
        <v>1</v>
      </c>
      <c r="AC21" s="386">
        <f t="shared" si="2"/>
        <v>1</v>
      </c>
      <c r="AD21" s="386">
        <f t="shared" si="9"/>
        <v>1</v>
      </c>
      <c r="AE21" s="386">
        <f t="shared" si="10"/>
        <v>1</v>
      </c>
      <c r="AF21" s="386">
        <f t="shared" si="11"/>
        <v>1</v>
      </c>
      <c r="AG21" s="386">
        <f t="shared" si="3"/>
        <v>1</v>
      </c>
      <c r="AH21" s="386">
        <f t="shared" si="4"/>
        <v>1</v>
      </c>
      <c r="AI21" s="386">
        <f>IFERROR(IF(EXACT(VLOOKUP(O21,FORMATO_GUIA,11,FALSE),Y21),1,0),"")</f>
        <v>1</v>
      </c>
      <c r="AJ21" s="386">
        <f t="shared" si="5"/>
        <v>1</v>
      </c>
      <c r="AL21" s="393">
        <f t="shared" si="6"/>
        <v>0</v>
      </c>
      <c r="AM21" s="394">
        <f t="shared" si="7"/>
        <v>0</v>
      </c>
    </row>
    <row r="22" spans="2:39" s="375" customFormat="1" ht="73.5" customHeight="1" x14ac:dyDescent="0.25">
      <c r="B22" s="386">
        <v>13</v>
      </c>
      <c r="C22" s="387" t="s">
        <v>41</v>
      </c>
      <c r="D22" s="388" t="s">
        <v>40</v>
      </c>
      <c r="E22" s="388" t="s">
        <v>39</v>
      </c>
      <c r="F22" s="388" t="s">
        <v>38</v>
      </c>
      <c r="G22" s="389" t="s">
        <v>37</v>
      </c>
      <c r="H22" s="436" t="s">
        <v>36</v>
      </c>
      <c r="I22" s="436" t="s">
        <v>229</v>
      </c>
      <c r="J22" s="389" t="s">
        <v>35</v>
      </c>
      <c r="K22" s="389" t="s">
        <v>34</v>
      </c>
      <c r="L22" s="390" t="s">
        <v>33</v>
      </c>
      <c r="O22" s="386">
        <v>13</v>
      </c>
      <c r="P22" s="391" t="s">
        <v>41</v>
      </c>
      <c r="Q22" s="388" t="s">
        <v>40</v>
      </c>
      <c r="R22" s="388" t="s">
        <v>39</v>
      </c>
      <c r="S22" s="388" t="s">
        <v>38</v>
      </c>
      <c r="T22" s="389" t="s">
        <v>37</v>
      </c>
      <c r="U22" s="436" t="s">
        <v>36</v>
      </c>
      <c r="V22" s="436" t="s">
        <v>229</v>
      </c>
      <c r="W22" s="389" t="s">
        <v>35</v>
      </c>
      <c r="X22" s="389" t="s">
        <v>34</v>
      </c>
      <c r="Y22" s="392" t="s">
        <v>33</v>
      </c>
      <c r="Z22" s="386">
        <f t="shared" si="0"/>
        <v>1</v>
      </c>
      <c r="AA22" s="386">
        <f t="shared" si="1"/>
        <v>1</v>
      </c>
      <c r="AB22" s="386">
        <f t="shared" si="8"/>
        <v>1</v>
      </c>
      <c r="AC22" s="386">
        <f t="shared" si="2"/>
        <v>1</v>
      </c>
      <c r="AD22" s="386">
        <f t="shared" si="9"/>
        <v>1</v>
      </c>
      <c r="AE22" s="386">
        <f t="shared" si="10"/>
        <v>1</v>
      </c>
      <c r="AF22" s="386">
        <f t="shared" si="11"/>
        <v>1</v>
      </c>
      <c r="AG22" s="386">
        <f t="shared" si="3"/>
        <v>1</v>
      </c>
      <c r="AH22" s="386">
        <f t="shared" si="4"/>
        <v>1</v>
      </c>
      <c r="AI22" s="386">
        <f>IFERROR(IF(EXACT(VLOOKUP(O22,FORMATO_GUIA,11,FALSE),Y22),1,0),"")</f>
        <v>1</v>
      </c>
      <c r="AJ22" s="386">
        <f t="shared" si="5"/>
        <v>1</v>
      </c>
      <c r="AL22" s="393">
        <f t="shared" si="6"/>
        <v>0</v>
      </c>
      <c r="AM22" s="394"/>
    </row>
    <row r="23" spans="2:39" s="375" customFormat="1" ht="14.25" customHeight="1" x14ac:dyDescent="0.25">
      <c r="B23" s="386">
        <v>14</v>
      </c>
      <c r="C23" s="437"/>
      <c r="D23" s="428" t="s">
        <v>32</v>
      </c>
      <c r="E23" s="428" t="s">
        <v>31</v>
      </c>
      <c r="F23" s="428" t="s">
        <v>30</v>
      </c>
      <c r="G23" s="428" t="s">
        <v>29</v>
      </c>
      <c r="H23" s="428" t="s">
        <v>28</v>
      </c>
      <c r="I23" s="428" t="s">
        <v>27</v>
      </c>
      <c r="J23" s="428" t="s">
        <v>26</v>
      </c>
      <c r="K23" s="428" t="s">
        <v>25</v>
      </c>
      <c r="L23" s="428" t="s">
        <v>24</v>
      </c>
      <c r="O23" s="386">
        <v>14</v>
      </c>
      <c r="P23" s="428"/>
      <c r="Q23" s="428" t="s">
        <v>32</v>
      </c>
      <c r="R23" s="428" t="s">
        <v>31</v>
      </c>
      <c r="S23" s="428" t="s">
        <v>30</v>
      </c>
      <c r="T23" s="428" t="s">
        <v>29</v>
      </c>
      <c r="U23" s="428" t="s">
        <v>28</v>
      </c>
      <c r="V23" s="428" t="s">
        <v>27</v>
      </c>
      <c r="W23" s="428" t="s">
        <v>26</v>
      </c>
      <c r="X23" s="428" t="s">
        <v>25</v>
      </c>
      <c r="Y23" s="429" t="s">
        <v>24</v>
      </c>
      <c r="Z23" s="386">
        <f t="shared" si="0"/>
        <v>1</v>
      </c>
      <c r="AA23" s="386">
        <f t="shared" si="1"/>
        <v>1</v>
      </c>
      <c r="AB23" s="386">
        <f t="shared" si="8"/>
        <v>1</v>
      </c>
      <c r="AC23" s="386">
        <f t="shared" si="2"/>
        <v>1</v>
      </c>
      <c r="AD23" s="386">
        <f t="shared" si="9"/>
        <v>1</v>
      </c>
      <c r="AE23" s="386">
        <f t="shared" si="10"/>
        <v>1</v>
      </c>
      <c r="AF23" s="386">
        <f t="shared" si="11"/>
        <v>1</v>
      </c>
      <c r="AG23" s="386">
        <f t="shared" si="3"/>
        <v>1</v>
      </c>
      <c r="AH23" s="386">
        <f t="shared" si="4"/>
        <v>1</v>
      </c>
      <c r="AI23" s="386">
        <f>IFERROR(IF(EXACT(VLOOKUP(O23,FORMATO_GUIA,11,FALSE),Y23),1,0),"")</f>
        <v>1</v>
      </c>
      <c r="AJ23" s="386">
        <f t="shared" si="5"/>
        <v>1</v>
      </c>
      <c r="AL23" s="393">
        <f t="shared" si="6"/>
        <v>0</v>
      </c>
      <c r="AM23" s="394"/>
    </row>
    <row r="24" spans="2:39" s="375" customFormat="1" ht="15.75" customHeight="1" x14ac:dyDescent="0.25">
      <c r="B24" s="386">
        <v>15</v>
      </c>
      <c r="C24" s="433" t="s">
        <v>23</v>
      </c>
      <c r="D24" s="434"/>
      <c r="E24" s="434"/>
      <c r="F24" s="434"/>
      <c r="G24" s="434"/>
      <c r="H24" s="434"/>
      <c r="I24" s="434"/>
      <c r="J24" s="434"/>
      <c r="K24" s="434"/>
      <c r="L24" s="434"/>
      <c r="O24" s="386">
        <v>15</v>
      </c>
      <c r="P24" s="434" t="s">
        <v>23</v>
      </c>
      <c r="Q24" s="434"/>
      <c r="R24" s="434"/>
      <c r="S24" s="434"/>
      <c r="T24" s="434"/>
      <c r="U24" s="434"/>
      <c r="V24" s="434"/>
      <c r="W24" s="434"/>
      <c r="X24" s="434"/>
      <c r="Y24" s="435"/>
      <c r="Z24" s="386">
        <f t="shared" si="0"/>
        <v>1</v>
      </c>
      <c r="AA24" s="386">
        <f t="shared" si="1"/>
        <v>1</v>
      </c>
      <c r="AB24" s="386">
        <f t="shared" si="8"/>
        <v>1</v>
      </c>
      <c r="AC24" s="386">
        <f t="shared" si="2"/>
        <v>1</v>
      </c>
      <c r="AD24" s="386">
        <f t="shared" si="9"/>
        <v>1</v>
      </c>
      <c r="AE24" s="386">
        <f t="shared" si="10"/>
        <v>1</v>
      </c>
      <c r="AF24" s="386">
        <f t="shared" si="11"/>
        <v>1</v>
      </c>
      <c r="AG24" s="386">
        <f t="shared" si="3"/>
        <v>1</v>
      </c>
      <c r="AH24" s="386">
        <f t="shared" si="4"/>
        <v>1</v>
      </c>
      <c r="AI24" s="386">
        <f>IFERROR(IF(EXACT(VLOOKUP(O24,FORMATO_GUIA,11,FALSE),Y24),1,0),"")</f>
        <v>1</v>
      </c>
      <c r="AJ24" s="386">
        <f t="shared" si="5"/>
        <v>1</v>
      </c>
      <c r="AL24" s="393">
        <f t="shared" si="6"/>
        <v>0</v>
      </c>
      <c r="AM24" s="394">
        <f t="shared" si="7"/>
        <v>0</v>
      </c>
    </row>
    <row r="25" spans="2:39" s="375" customFormat="1" ht="15" customHeight="1" x14ac:dyDescent="0.25">
      <c r="B25" s="386">
        <v>16</v>
      </c>
      <c r="C25" s="416" t="s">
        <v>19</v>
      </c>
      <c r="D25" s="438">
        <v>8</v>
      </c>
      <c r="E25" s="403"/>
      <c r="F25" s="404">
        <v>1</v>
      </c>
      <c r="G25" s="405">
        <f>F25*E25</f>
        <v>0</v>
      </c>
      <c r="H25" s="439"/>
      <c r="I25" s="405">
        <f>G25*(H25+1)</f>
        <v>0</v>
      </c>
      <c r="J25" s="405">
        <f>F25*HERRAMIENTA!F53</f>
        <v>0</v>
      </c>
      <c r="K25" s="440">
        <v>0</v>
      </c>
      <c r="L25" s="409">
        <f>(I25+J25+K25)*D25</f>
        <v>0</v>
      </c>
      <c r="N25" s="441"/>
      <c r="O25" s="386">
        <v>16</v>
      </c>
      <c r="P25" s="410" t="s">
        <v>19</v>
      </c>
      <c r="Q25" s="438">
        <v>8</v>
      </c>
      <c r="R25" s="411">
        <v>2000000</v>
      </c>
      <c r="S25" s="404">
        <v>1</v>
      </c>
      <c r="T25" s="412">
        <f>S25*R25</f>
        <v>2000000</v>
      </c>
      <c r="U25" s="442">
        <v>0.68</v>
      </c>
      <c r="V25" s="412">
        <f>T25*(U25+1)</f>
        <v>3360000.0000000005</v>
      </c>
      <c r="W25" s="412">
        <f>S25*HERRAMIENTA!$L$53</f>
        <v>78823.958333333328</v>
      </c>
      <c r="X25" s="440">
        <v>0</v>
      </c>
      <c r="Y25" s="415">
        <f>(V25+W25+X25)*Q25</f>
        <v>27510591.666666672</v>
      </c>
      <c r="Z25" s="386">
        <f t="shared" si="0"/>
        <v>1</v>
      </c>
      <c r="AA25" s="386">
        <f t="shared" si="1"/>
        <v>1</v>
      </c>
      <c r="AB25" s="386">
        <f>IFERROR(IF(R25&lt;=0,0,1),"")</f>
        <v>1</v>
      </c>
      <c r="AC25" s="386">
        <f t="shared" si="2"/>
        <v>1</v>
      </c>
      <c r="AD25" s="386">
        <f>IFERROR(IF(T25=R25*S25,1,0),"")</f>
        <v>1</v>
      </c>
      <c r="AE25" s="386">
        <f>IFERROR(IF(U25&lt;=0,0,1),"")</f>
        <v>1</v>
      </c>
      <c r="AF25" s="386">
        <f>IFERROR(IF(V25=T25*(U25+1),1,0),"")</f>
        <v>1</v>
      </c>
      <c r="AG25" s="386">
        <f>IFERROR(IF(W25=S25*HERRAMIENTA!$L$53,1,0),"")</f>
        <v>1</v>
      </c>
      <c r="AH25" s="386">
        <f t="shared" si="4"/>
        <v>1</v>
      </c>
      <c r="AI25" s="386">
        <f>IFERROR(IF(Y25=(V25+W25+X25)*Q25,1,0),"")</f>
        <v>1</v>
      </c>
      <c r="AJ25" s="386">
        <f t="shared" si="5"/>
        <v>1</v>
      </c>
      <c r="AL25" s="393">
        <f t="shared" si="6"/>
        <v>27510592</v>
      </c>
      <c r="AM25" s="394">
        <f t="shared" si="7"/>
        <v>-0.3333333283662796</v>
      </c>
    </row>
    <row r="26" spans="2:39" s="375" customFormat="1" ht="15" customHeight="1" x14ac:dyDescent="0.25">
      <c r="B26" s="386">
        <v>17</v>
      </c>
      <c r="C26" s="443" t="s">
        <v>18</v>
      </c>
      <c r="D26" s="438">
        <v>8</v>
      </c>
      <c r="E26" s="403"/>
      <c r="F26" s="404">
        <v>1</v>
      </c>
      <c r="G26" s="405">
        <f>F26*E26</f>
        <v>0</v>
      </c>
      <c r="H26" s="439"/>
      <c r="I26" s="405">
        <f>G26*(H26+1)</f>
        <v>0</v>
      </c>
      <c r="J26" s="405"/>
      <c r="K26" s="440">
        <v>0</v>
      </c>
      <c r="L26" s="409">
        <f>(I26+J26+K26)*D26</f>
        <v>0</v>
      </c>
      <c r="O26" s="386">
        <v>17</v>
      </c>
      <c r="P26" s="444" t="s">
        <v>18</v>
      </c>
      <c r="Q26" s="438">
        <v>8</v>
      </c>
      <c r="R26" s="411">
        <v>1500000</v>
      </c>
      <c r="S26" s="404">
        <v>1</v>
      </c>
      <c r="T26" s="412">
        <f>S26*R26</f>
        <v>1500000</v>
      </c>
      <c r="U26" s="442">
        <v>0.68</v>
      </c>
      <c r="V26" s="412">
        <f>T26*(U26+1)</f>
        <v>2520000.0000000005</v>
      </c>
      <c r="W26" s="412"/>
      <c r="X26" s="440">
        <v>0</v>
      </c>
      <c r="Y26" s="415">
        <f>(V26+W26+X26)*Q26</f>
        <v>20160000.000000004</v>
      </c>
      <c r="Z26" s="386">
        <f t="shared" si="0"/>
        <v>1</v>
      </c>
      <c r="AA26" s="386">
        <f t="shared" si="1"/>
        <v>1</v>
      </c>
      <c r="AB26" s="386">
        <f>IFERROR(IF(R26&lt;=0,0,1),"")</f>
        <v>1</v>
      </c>
      <c r="AC26" s="386">
        <f t="shared" si="2"/>
        <v>1</v>
      </c>
      <c r="AD26" s="386">
        <f>IFERROR(IF(T26=R26*S26,1,0),"")</f>
        <v>1</v>
      </c>
      <c r="AE26" s="386">
        <f>IFERROR(IF(U26&lt;=0,0,1),"")</f>
        <v>1</v>
      </c>
      <c r="AF26" s="386">
        <f>IFERROR(IF(V26=T26*(U26+1),1,0),"")</f>
        <v>1</v>
      </c>
      <c r="AG26" s="386">
        <f>IFERROR(IF(EXACT(VLOOKUP(O26,FORMATO_GUIA,9,FALSE),W26),1,0),"")</f>
        <v>1</v>
      </c>
      <c r="AH26" s="386">
        <f t="shared" si="4"/>
        <v>1</v>
      </c>
      <c r="AI26" s="386">
        <f>IFERROR(IF(Y26=(V26+W26+X26)*Q26,1,0),"")</f>
        <v>1</v>
      </c>
      <c r="AJ26" s="386">
        <f t="shared" si="5"/>
        <v>1</v>
      </c>
      <c r="AL26" s="393">
        <f t="shared" si="6"/>
        <v>20160000</v>
      </c>
      <c r="AM26" s="394">
        <f t="shared" si="7"/>
        <v>0</v>
      </c>
    </row>
    <row r="27" spans="2:39" s="445" customFormat="1" ht="15" customHeight="1" x14ac:dyDescent="0.25">
      <c r="B27" s="386">
        <v>18</v>
      </c>
      <c r="C27" s="433" t="s">
        <v>22</v>
      </c>
      <c r="D27" s="434"/>
      <c r="E27" s="434"/>
      <c r="F27" s="434"/>
      <c r="G27" s="434"/>
      <c r="H27" s="434"/>
      <c r="I27" s="434"/>
      <c r="J27" s="434"/>
      <c r="K27" s="434"/>
      <c r="L27" s="434"/>
      <c r="O27" s="386">
        <v>18</v>
      </c>
      <c r="P27" s="434" t="s">
        <v>22</v>
      </c>
      <c r="Q27" s="434"/>
      <c r="R27" s="434"/>
      <c r="S27" s="434"/>
      <c r="T27" s="434"/>
      <c r="U27" s="434"/>
      <c r="V27" s="434"/>
      <c r="W27" s="434"/>
      <c r="X27" s="434"/>
      <c r="Y27" s="435"/>
      <c r="Z27" s="386">
        <f t="shared" si="0"/>
        <v>1</v>
      </c>
      <c r="AA27" s="386">
        <f t="shared" si="1"/>
        <v>1</v>
      </c>
      <c r="AB27" s="386">
        <f>IFERROR(IF(EXACT(VLOOKUP(O27,FORMATO_GUIA,4,FALSE),R27),1,0),"")</f>
        <v>1</v>
      </c>
      <c r="AC27" s="386">
        <f t="shared" si="2"/>
        <v>1</v>
      </c>
      <c r="AD27" s="386">
        <f>IFERROR(IF(EXACT(VLOOKUP(O27,FORMATO_GUIA,6,FALSE),T27),1,0),"")</f>
        <v>1</v>
      </c>
      <c r="AE27" s="386">
        <f>IFERROR(IF(EXACT(VLOOKUP(O27,FORMATO_GUIA,7,FALSE),U27),1,0),"")</f>
        <v>1</v>
      </c>
      <c r="AF27" s="386">
        <f>IFERROR(IF(EXACT(VLOOKUP(O27,FORMATO_GUIA,8,FALSE),V27),1,0),"")</f>
        <v>1</v>
      </c>
      <c r="AG27" s="386">
        <f>IFERROR(IF(EXACT(VLOOKUP(O27,FORMATO_GUIA,9,FALSE),W27),1,0),"")</f>
        <v>1</v>
      </c>
      <c r="AH27" s="386">
        <f t="shared" si="4"/>
        <v>1</v>
      </c>
      <c r="AI27" s="386">
        <f>IFERROR(IF(EXACT(VLOOKUP(O27,FORMATO_GUIA,11,FALSE),Y27),1,0),"")</f>
        <v>1</v>
      </c>
      <c r="AJ27" s="386">
        <f t="shared" si="5"/>
        <v>1</v>
      </c>
      <c r="AL27" s="393">
        <f t="shared" si="6"/>
        <v>0</v>
      </c>
      <c r="AM27" s="394">
        <f t="shared" si="7"/>
        <v>0</v>
      </c>
    </row>
    <row r="28" spans="2:39" s="445" customFormat="1" ht="15" customHeight="1" x14ac:dyDescent="0.25">
      <c r="B28" s="386">
        <v>19</v>
      </c>
      <c r="C28" s="443" t="s">
        <v>19</v>
      </c>
      <c r="D28" s="438">
        <v>1</v>
      </c>
      <c r="E28" s="403"/>
      <c r="F28" s="404">
        <f>12/30</f>
        <v>0.4</v>
      </c>
      <c r="G28" s="405">
        <f>F28*E28</f>
        <v>0</v>
      </c>
      <c r="H28" s="439"/>
      <c r="I28" s="405">
        <f>G28*(H28+1)</f>
        <v>0</v>
      </c>
      <c r="J28" s="405">
        <f>F28*HERRAMIENTA!F53</f>
        <v>0</v>
      </c>
      <c r="K28" s="446">
        <f>VIATICOS!F21/2</f>
        <v>0</v>
      </c>
      <c r="L28" s="409">
        <f>(I28+J28+K28)*D28</f>
        <v>0</v>
      </c>
      <c r="O28" s="386">
        <v>19</v>
      </c>
      <c r="P28" s="444" t="s">
        <v>19</v>
      </c>
      <c r="Q28" s="438">
        <v>1</v>
      </c>
      <c r="R28" s="411">
        <v>2000000</v>
      </c>
      <c r="S28" s="404">
        <f>12/30</f>
        <v>0.4</v>
      </c>
      <c r="T28" s="412">
        <f>S28*R28</f>
        <v>800000</v>
      </c>
      <c r="U28" s="442">
        <v>0.68</v>
      </c>
      <c r="V28" s="412">
        <f>T28*(U28+1)</f>
        <v>1344000.0000000002</v>
      </c>
      <c r="W28" s="412">
        <f>S28*HERRAMIENTA!$L$53</f>
        <v>31529.583333333332</v>
      </c>
      <c r="X28" s="447">
        <f>VIATICOS!$M$21/2</f>
        <v>690000</v>
      </c>
      <c r="Y28" s="415">
        <f>(V28+W28+X28)*Q28</f>
        <v>2065529.5833333335</v>
      </c>
      <c r="Z28" s="386">
        <f t="shared" si="0"/>
        <v>1</v>
      </c>
      <c r="AA28" s="386">
        <f t="shared" si="1"/>
        <v>1</v>
      </c>
      <c r="AB28" s="386">
        <f>IFERROR(IF(R28&lt;=0,0,1),"")</f>
        <v>1</v>
      </c>
      <c r="AC28" s="386">
        <f t="shared" si="2"/>
        <v>1</v>
      </c>
      <c r="AD28" s="386">
        <f>IFERROR(IF(T28=R28*S28,1,0),"")</f>
        <v>1</v>
      </c>
      <c r="AE28" s="386">
        <f>IFERROR(IF(U28&lt;=0,0,1),"")</f>
        <v>1</v>
      </c>
      <c r="AF28" s="386">
        <f>IFERROR(IF(V28=T28*(U28+1),1,0),"")</f>
        <v>1</v>
      </c>
      <c r="AG28" s="386">
        <f>IFERROR(IF(W28=S28*HERRAMIENTA!$L$53,1,0),"")</f>
        <v>1</v>
      </c>
      <c r="AH28" s="386">
        <f>IFERROR(IF(X28=VIATICOS!$M$21/2,1,0),"")</f>
        <v>1</v>
      </c>
      <c r="AI28" s="386">
        <f>IFERROR(IF(Y28=(V28+W28+X28)*Q28,1,0),"")</f>
        <v>1</v>
      </c>
      <c r="AJ28" s="386">
        <f t="shared" si="5"/>
        <v>1</v>
      </c>
      <c r="AL28" s="393">
        <f t="shared" si="6"/>
        <v>2065530</v>
      </c>
      <c r="AM28" s="394">
        <f t="shared" si="7"/>
        <v>-0.41666666651144624</v>
      </c>
    </row>
    <row r="29" spans="2:39" s="445" customFormat="1" ht="15" customHeight="1" x14ac:dyDescent="0.25">
      <c r="B29" s="386">
        <v>20</v>
      </c>
      <c r="C29" s="443" t="s">
        <v>18</v>
      </c>
      <c r="D29" s="438">
        <v>1</v>
      </c>
      <c r="E29" s="403"/>
      <c r="F29" s="404">
        <f>12/30</f>
        <v>0.4</v>
      </c>
      <c r="G29" s="405">
        <f>F29*E29</f>
        <v>0</v>
      </c>
      <c r="H29" s="439"/>
      <c r="I29" s="405">
        <f>G29*(H29+1)</f>
        <v>0</v>
      </c>
      <c r="J29" s="405"/>
      <c r="K29" s="446">
        <f>VIATICOS!F21/2</f>
        <v>0</v>
      </c>
      <c r="L29" s="409">
        <f>(I29+J29+K29)*D29</f>
        <v>0</v>
      </c>
      <c r="N29" s="448"/>
      <c r="O29" s="386">
        <v>20</v>
      </c>
      <c r="P29" s="444" t="s">
        <v>18</v>
      </c>
      <c r="Q29" s="438">
        <v>1</v>
      </c>
      <c r="R29" s="411">
        <v>1500000</v>
      </c>
      <c r="S29" s="404">
        <f>12/30</f>
        <v>0.4</v>
      </c>
      <c r="T29" s="412">
        <f>S29*R29</f>
        <v>600000</v>
      </c>
      <c r="U29" s="442">
        <v>0.68</v>
      </c>
      <c r="V29" s="412">
        <f>T29*(U29+1)</f>
        <v>1008000.0000000001</v>
      </c>
      <c r="W29" s="412"/>
      <c r="X29" s="447">
        <f>VIATICOS!$M$21/2</f>
        <v>690000</v>
      </c>
      <c r="Y29" s="415">
        <f>(V29+W29+X29)*Q29</f>
        <v>1698000</v>
      </c>
      <c r="Z29" s="386">
        <f t="shared" si="0"/>
        <v>1</v>
      </c>
      <c r="AA29" s="386">
        <f t="shared" si="1"/>
        <v>1</v>
      </c>
      <c r="AB29" s="386">
        <f>IFERROR(IF(R29&lt;=0,0,1),"")</f>
        <v>1</v>
      </c>
      <c r="AC29" s="386">
        <f t="shared" si="2"/>
        <v>1</v>
      </c>
      <c r="AD29" s="386">
        <f>IFERROR(IF(T29=R29*S29,1,0),"")</f>
        <v>1</v>
      </c>
      <c r="AE29" s="386">
        <f>IFERROR(IF(U29&lt;=0,0,1),"")</f>
        <v>1</v>
      </c>
      <c r="AF29" s="386">
        <f>IFERROR(IF(V29=T29*(U29+1),1,0),"")</f>
        <v>1</v>
      </c>
      <c r="AG29" s="386">
        <f>IFERROR(IF(EXACT(VLOOKUP(O29,FORMATO_GUIA,9,FALSE),W29),1,0),"")</f>
        <v>1</v>
      </c>
      <c r="AH29" s="386">
        <f>IFERROR(IF(X29=VIATICOS!$M$21/2,1,0),"")</f>
        <v>1</v>
      </c>
      <c r="AI29" s="386">
        <f>IFERROR(IF(Y29=(V29+W29+X29)*Q29,1,0),"")</f>
        <v>1</v>
      </c>
      <c r="AJ29" s="386">
        <f t="shared" si="5"/>
        <v>1</v>
      </c>
      <c r="AL29" s="393">
        <f t="shared" si="6"/>
        <v>1698000</v>
      </c>
      <c r="AM29" s="394">
        <f t="shared" si="7"/>
        <v>0</v>
      </c>
    </row>
    <row r="30" spans="2:39" s="445" customFormat="1" ht="15" customHeight="1" x14ac:dyDescent="0.25">
      <c r="B30" s="386">
        <v>21</v>
      </c>
      <c r="C30" s="433" t="s">
        <v>21</v>
      </c>
      <c r="D30" s="434"/>
      <c r="E30" s="434"/>
      <c r="F30" s="434"/>
      <c r="G30" s="434"/>
      <c r="H30" s="434"/>
      <c r="I30" s="434"/>
      <c r="J30" s="434"/>
      <c r="K30" s="434"/>
      <c r="L30" s="434"/>
      <c r="O30" s="386">
        <v>21</v>
      </c>
      <c r="P30" s="434" t="s">
        <v>21</v>
      </c>
      <c r="Q30" s="434"/>
      <c r="R30" s="434"/>
      <c r="S30" s="434"/>
      <c r="T30" s="434"/>
      <c r="U30" s="434"/>
      <c r="V30" s="434"/>
      <c r="W30" s="434"/>
      <c r="X30" s="434"/>
      <c r="Y30" s="435"/>
      <c r="Z30" s="386">
        <f t="shared" si="0"/>
        <v>1</v>
      </c>
      <c r="AA30" s="386">
        <f t="shared" si="1"/>
        <v>1</v>
      </c>
      <c r="AB30" s="386">
        <f>IFERROR(IF(EXACT(VLOOKUP(O30,FORMATO_GUIA,4,FALSE),R30),1,0),"")</f>
        <v>1</v>
      </c>
      <c r="AC30" s="386">
        <f t="shared" si="2"/>
        <v>1</v>
      </c>
      <c r="AD30" s="386">
        <f>IFERROR(IF(EXACT(VLOOKUP(O30,FORMATO_GUIA,6,FALSE),T30),1,0),"")</f>
        <v>1</v>
      </c>
      <c r="AE30" s="386">
        <f>IFERROR(IF(EXACT(VLOOKUP(O30,FORMATO_GUIA,7,FALSE),U30),1,0),"")</f>
        <v>1</v>
      </c>
      <c r="AF30" s="386">
        <f>IFERROR(IF(EXACT(VLOOKUP(O30,FORMATO_GUIA,8,FALSE),V30),1,0),"")</f>
        <v>1</v>
      </c>
      <c r="AG30" s="386">
        <f>IFERROR(IF(EXACT(VLOOKUP(O30,FORMATO_GUIA,9,FALSE),W30),1,0),"")</f>
        <v>1</v>
      </c>
      <c r="AH30" s="386">
        <f>IFERROR(IF(EXACT(VLOOKUP(O30,FORMATO_GUIA,10,FALSE),X30),1,0),"")</f>
        <v>1</v>
      </c>
      <c r="AI30" s="386">
        <f>IFERROR(IF(EXACT(VLOOKUP(O30,FORMATO_GUIA,11,FALSE),Y30),1,0),"")</f>
        <v>1</v>
      </c>
      <c r="AJ30" s="386">
        <f t="shared" si="5"/>
        <v>1</v>
      </c>
      <c r="AL30" s="393">
        <f t="shared" si="6"/>
        <v>0</v>
      </c>
      <c r="AM30" s="394">
        <f t="shared" si="7"/>
        <v>0</v>
      </c>
    </row>
    <row r="31" spans="2:39" s="445" customFormat="1" ht="15" customHeight="1" x14ac:dyDescent="0.25">
      <c r="B31" s="386">
        <v>22</v>
      </c>
      <c r="C31" s="443" t="s">
        <v>19</v>
      </c>
      <c r="D31" s="438">
        <v>1</v>
      </c>
      <c r="E31" s="403"/>
      <c r="F31" s="404">
        <f>10/30</f>
        <v>0.33333333333333331</v>
      </c>
      <c r="G31" s="405">
        <f>F31*E31</f>
        <v>0</v>
      </c>
      <c r="H31" s="439"/>
      <c r="I31" s="405">
        <f>G31*(H31+1)</f>
        <v>0</v>
      </c>
      <c r="J31" s="405">
        <f>F31*HERRAMIENTA!F53</f>
        <v>0</v>
      </c>
      <c r="K31" s="446">
        <f>VIATICOS!F15/2</f>
        <v>0</v>
      </c>
      <c r="L31" s="409">
        <f>(I31+J31+K31)*D31</f>
        <v>0</v>
      </c>
      <c r="O31" s="386">
        <v>22</v>
      </c>
      <c r="P31" s="444" t="s">
        <v>19</v>
      </c>
      <c r="Q31" s="438">
        <v>1</v>
      </c>
      <c r="R31" s="411">
        <v>2000000</v>
      </c>
      <c r="S31" s="404">
        <f>10/30</f>
        <v>0.33333333333333331</v>
      </c>
      <c r="T31" s="412">
        <f>S31*R31</f>
        <v>666666.66666666663</v>
      </c>
      <c r="U31" s="442">
        <v>0.68</v>
      </c>
      <c r="V31" s="412">
        <f>T31*(U31+1)</f>
        <v>1120000</v>
      </c>
      <c r="W31" s="412">
        <f>S31*HERRAMIENTA!$L$53</f>
        <v>26274.652777777774</v>
      </c>
      <c r="X31" s="447">
        <f>VIATICOS!$M$15/2</f>
        <v>650000</v>
      </c>
      <c r="Y31" s="415">
        <f>(V31+W31+X31)*Q31</f>
        <v>1796274.6527777778</v>
      </c>
      <c r="Z31" s="386">
        <f t="shared" si="0"/>
        <v>1</v>
      </c>
      <c r="AA31" s="386">
        <f t="shared" si="1"/>
        <v>1</v>
      </c>
      <c r="AB31" s="386">
        <f>IFERROR(IF(R31&lt;=0,0,1),"")</f>
        <v>1</v>
      </c>
      <c r="AC31" s="386">
        <f t="shared" si="2"/>
        <v>1</v>
      </c>
      <c r="AD31" s="386">
        <f>IFERROR(IF(T31=R31*S31,1,0),"")</f>
        <v>1</v>
      </c>
      <c r="AE31" s="386">
        <f>IFERROR(IF(U31&lt;=0,0,1),"")</f>
        <v>1</v>
      </c>
      <c r="AF31" s="386">
        <f>IFERROR(IF(V31=T31*(U31+1),1,0),"")</f>
        <v>1</v>
      </c>
      <c r="AG31" s="386">
        <f>IFERROR(IF(W31=S31*HERRAMIENTA!$L$53,1,0),"")</f>
        <v>1</v>
      </c>
      <c r="AH31" s="386">
        <f>IFERROR(IF(X31=VIATICOS!$M$15/2,1,0),"")</f>
        <v>1</v>
      </c>
      <c r="AI31" s="386">
        <f>IFERROR(IF(Y31=(V31+W31+X31)*Q31,1,0),"")</f>
        <v>1</v>
      </c>
      <c r="AJ31" s="386">
        <f t="shared" si="5"/>
        <v>1</v>
      </c>
      <c r="AL31" s="393">
        <f t="shared" si="6"/>
        <v>1796275</v>
      </c>
      <c r="AM31" s="394">
        <f t="shared" si="7"/>
        <v>-0.34722222224809229</v>
      </c>
    </row>
    <row r="32" spans="2:39" s="445" customFormat="1" ht="15" customHeight="1" x14ac:dyDescent="0.25">
      <c r="B32" s="386">
        <v>23</v>
      </c>
      <c r="C32" s="443" t="s">
        <v>18</v>
      </c>
      <c r="D32" s="438">
        <v>1</v>
      </c>
      <c r="E32" s="403"/>
      <c r="F32" s="404">
        <f>10/30</f>
        <v>0.33333333333333331</v>
      </c>
      <c r="G32" s="405">
        <f>F32*E32</f>
        <v>0</v>
      </c>
      <c r="H32" s="439"/>
      <c r="I32" s="405">
        <f>G32*(H32+1)</f>
        <v>0</v>
      </c>
      <c r="J32" s="405"/>
      <c r="K32" s="446">
        <f>VIATICOS!F15/2</f>
        <v>0</v>
      </c>
      <c r="L32" s="409">
        <f>(I32+J32+K32)*D32</f>
        <v>0</v>
      </c>
      <c r="O32" s="386">
        <v>23</v>
      </c>
      <c r="P32" s="444" t="s">
        <v>18</v>
      </c>
      <c r="Q32" s="438">
        <v>1</v>
      </c>
      <c r="R32" s="411">
        <v>1500000</v>
      </c>
      <c r="S32" s="404">
        <f>10/30</f>
        <v>0.33333333333333331</v>
      </c>
      <c r="T32" s="412">
        <f>S32*R32</f>
        <v>500000</v>
      </c>
      <c r="U32" s="442">
        <v>0.68</v>
      </c>
      <c r="V32" s="412">
        <f>T32*(U32+1)</f>
        <v>840000.00000000012</v>
      </c>
      <c r="W32" s="412"/>
      <c r="X32" s="447">
        <f>VIATICOS!$M$15/2</f>
        <v>650000</v>
      </c>
      <c r="Y32" s="415">
        <f>(V32+W32+X32)*Q32</f>
        <v>1490000</v>
      </c>
      <c r="Z32" s="386">
        <f t="shared" si="0"/>
        <v>1</v>
      </c>
      <c r="AA32" s="386">
        <f t="shared" si="1"/>
        <v>1</v>
      </c>
      <c r="AB32" s="386">
        <f>IFERROR(IF(R32&lt;=0,0,1),"")</f>
        <v>1</v>
      </c>
      <c r="AC32" s="386">
        <f t="shared" si="2"/>
        <v>1</v>
      </c>
      <c r="AD32" s="386">
        <f>IFERROR(IF(T32=R32*S32,1,0),"")</f>
        <v>1</v>
      </c>
      <c r="AE32" s="386">
        <f>IFERROR(IF(U32&lt;=0,0,1),"")</f>
        <v>1</v>
      </c>
      <c r="AF32" s="386">
        <f>IFERROR(IF(V32=T32*(U32+1),1,0),"")</f>
        <v>1</v>
      </c>
      <c r="AG32" s="386">
        <f>IFERROR(IF(EXACT(VLOOKUP(O32,FORMATO_GUIA,9,FALSE),W32),1,0),"")</f>
        <v>1</v>
      </c>
      <c r="AH32" s="386">
        <f>IFERROR(IF(X32=VIATICOS!$M$15/2,1,0),"")</f>
        <v>1</v>
      </c>
      <c r="AI32" s="386">
        <f>IFERROR(IF(Y32=(V32+W32+X32)*Q32,1,0),"")</f>
        <v>1</v>
      </c>
      <c r="AJ32" s="386">
        <f t="shared" si="5"/>
        <v>1</v>
      </c>
      <c r="AL32" s="393">
        <f t="shared" si="6"/>
        <v>1490000</v>
      </c>
      <c r="AM32" s="394">
        <f t="shared" si="7"/>
        <v>0</v>
      </c>
    </row>
    <row r="33" spans="2:39" s="445" customFormat="1" ht="15" customHeight="1" x14ac:dyDescent="0.25">
      <c r="B33" s="386">
        <v>24</v>
      </c>
      <c r="C33" s="433" t="s">
        <v>20</v>
      </c>
      <c r="D33" s="434"/>
      <c r="E33" s="434"/>
      <c r="F33" s="434"/>
      <c r="G33" s="434"/>
      <c r="H33" s="434"/>
      <c r="I33" s="434"/>
      <c r="J33" s="434"/>
      <c r="K33" s="434"/>
      <c r="L33" s="434"/>
      <c r="O33" s="386">
        <v>24</v>
      </c>
      <c r="P33" s="434" t="s">
        <v>20</v>
      </c>
      <c r="Q33" s="434"/>
      <c r="R33" s="434"/>
      <c r="S33" s="434"/>
      <c r="T33" s="434"/>
      <c r="U33" s="434"/>
      <c r="V33" s="434"/>
      <c r="W33" s="434"/>
      <c r="X33" s="434"/>
      <c r="Y33" s="435"/>
      <c r="Z33" s="386">
        <f t="shared" si="0"/>
        <v>1</v>
      </c>
      <c r="AA33" s="386">
        <f t="shared" si="1"/>
        <v>1</v>
      </c>
      <c r="AB33" s="386">
        <f>IFERROR(IF(EXACT(VLOOKUP(O33,FORMATO_GUIA,4,FALSE),R33),1,0),"")</f>
        <v>1</v>
      </c>
      <c r="AC33" s="386">
        <f t="shared" si="2"/>
        <v>1</v>
      </c>
      <c r="AD33" s="386">
        <f>IFERROR(IF(EXACT(VLOOKUP(O33,FORMATO_GUIA,6,FALSE),T33),1,0),"")</f>
        <v>1</v>
      </c>
      <c r="AE33" s="386">
        <f>IFERROR(IF(EXACT(VLOOKUP(O33,FORMATO_GUIA,7,FALSE),U33),1,0),"")</f>
        <v>1</v>
      </c>
      <c r="AF33" s="386">
        <f>IFERROR(IF(EXACT(VLOOKUP(O33,FORMATO_GUIA,8,FALSE),V33),1,0),"")</f>
        <v>1</v>
      </c>
      <c r="AG33" s="386">
        <f>IFERROR(IF(EXACT(VLOOKUP(O33,FORMATO_GUIA,9,FALSE),W33),1,0),"")</f>
        <v>1</v>
      </c>
      <c r="AH33" s="386">
        <f>IFERROR(IF(EXACT(VLOOKUP(O33,FORMATO_GUIA,10,FALSE),X33),1,0),"")</f>
        <v>1</v>
      </c>
      <c r="AI33" s="386">
        <f>IFERROR(IF(EXACT(VLOOKUP(O33,FORMATO_GUIA,11,FALSE),Y33),1,0),"")</f>
        <v>1</v>
      </c>
      <c r="AJ33" s="386">
        <f t="shared" si="5"/>
        <v>1</v>
      </c>
      <c r="AL33" s="393">
        <f t="shared" si="6"/>
        <v>0</v>
      </c>
      <c r="AM33" s="394">
        <f t="shared" si="7"/>
        <v>0</v>
      </c>
    </row>
    <row r="34" spans="2:39" s="445" customFormat="1" ht="15" customHeight="1" x14ac:dyDescent="0.25">
      <c r="B34" s="386">
        <v>25</v>
      </c>
      <c r="C34" s="443" t="s">
        <v>19</v>
      </c>
      <c r="D34" s="438">
        <v>1</v>
      </c>
      <c r="E34" s="403"/>
      <c r="F34" s="404">
        <f>8/30</f>
        <v>0.26666666666666666</v>
      </c>
      <c r="G34" s="405">
        <f>F34*E34</f>
        <v>0</v>
      </c>
      <c r="H34" s="439"/>
      <c r="I34" s="405">
        <f>G34*(H34+1)</f>
        <v>0</v>
      </c>
      <c r="J34" s="405">
        <f>F34*HERRAMIENTA!F53</f>
        <v>0</v>
      </c>
      <c r="K34" s="446">
        <f>VIATICOS!F9/2</f>
        <v>0</v>
      </c>
      <c r="L34" s="409">
        <f>(I34+J34+K34)*D34</f>
        <v>0</v>
      </c>
      <c r="O34" s="386">
        <v>25</v>
      </c>
      <c r="P34" s="444" t="s">
        <v>19</v>
      </c>
      <c r="Q34" s="438">
        <v>1</v>
      </c>
      <c r="R34" s="411">
        <v>2000000</v>
      </c>
      <c r="S34" s="404">
        <f>8/30</f>
        <v>0.26666666666666666</v>
      </c>
      <c r="T34" s="412">
        <f>S34*R34</f>
        <v>533333.33333333337</v>
      </c>
      <c r="U34" s="442">
        <v>0.68</v>
      </c>
      <c r="V34" s="412">
        <f>T34*(U34+1)</f>
        <v>896000.00000000012</v>
      </c>
      <c r="W34" s="412">
        <f>S34*HERRAMIENTA!$L$53</f>
        <v>21019.722222222219</v>
      </c>
      <c r="X34" s="447">
        <f>VIATICOS!$M$9/2</f>
        <v>200000</v>
      </c>
      <c r="Y34" s="415">
        <f>(V34+W34+X34)*Q34</f>
        <v>1117019.7222222225</v>
      </c>
      <c r="Z34" s="386">
        <f t="shared" si="0"/>
        <v>1</v>
      </c>
      <c r="AA34" s="386">
        <f t="shared" si="1"/>
        <v>1</v>
      </c>
      <c r="AB34" s="386">
        <f>IFERROR(IF(R34&lt;=0,0,1),"")</f>
        <v>1</v>
      </c>
      <c r="AC34" s="386">
        <f t="shared" si="2"/>
        <v>1</v>
      </c>
      <c r="AD34" s="386">
        <f>IFERROR(IF(T34=R34*S34,1,0),"")</f>
        <v>1</v>
      </c>
      <c r="AE34" s="386">
        <f>IFERROR(IF(U34&lt;=0,0,1),"")</f>
        <v>1</v>
      </c>
      <c r="AF34" s="386">
        <f>IFERROR(IF(V34=T34*(U34+1),1,0),"")</f>
        <v>1</v>
      </c>
      <c r="AG34" s="386">
        <f>IFERROR(IF(W34=S34*HERRAMIENTA!$L$53,1,0),"")</f>
        <v>1</v>
      </c>
      <c r="AH34" s="386">
        <f>IFERROR(IF(X34=VIATICOS!$M$9/2,1,0),"")</f>
        <v>1</v>
      </c>
      <c r="AI34" s="386">
        <f>IFERROR(IF(Y34=(V34+W34+X34)*Q34,1,0),"")</f>
        <v>1</v>
      </c>
      <c r="AJ34" s="386">
        <f t="shared" si="5"/>
        <v>1</v>
      </c>
      <c r="AL34" s="393">
        <f t="shared" si="6"/>
        <v>1117020</v>
      </c>
      <c r="AM34" s="394">
        <f t="shared" si="7"/>
        <v>-0.27777777751907706</v>
      </c>
    </row>
    <row r="35" spans="2:39" s="445" customFormat="1" ht="15" customHeight="1" x14ac:dyDescent="0.25">
      <c r="B35" s="386">
        <v>26</v>
      </c>
      <c r="C35" s="443" t="s">
        <v>18</v>
      </c>
      <c r="D35" s="438">
        <v>1</v>
      </c>
      <c r="E35" s="403"/>
      <c r="F35" s="404">
        <f>8/30</f>
        <v>0.26666666666666666</v>
      </c>
      <c r="G35" s="405">
        <f>F35*E35</f>
        <v>0</v>
      </c>
      <c r="H35" s="439"/>
      <c r="I35" s="405">
        <f>G35*(H35+1)</f>
        <v>0</v>
      </c>
      <c r="J35" s="405"/>
      <c r="K35" s="446">
        <f>VIATICOS!F9/2</f>
        <v>0</v>
      </c>
      <c r="L35" s="409">
        <f>(I35+J35+K35)*D35</f>
        <v>0</v>
      </c>
      <c r="O35" s="386">
        <v>26</v>
      </c>
      <c r="P35" s="444" t="s">
        <v>18</v>
      </c>
      <c r="Q35" s="438">
        <v>1</v>
      </c>
      <c r="R35" s="411">
        <v>1500000</v>
      </c>
      <c r="S35" s="404">
        <f>8/30</f>
        <v>0.26666666666666666</v>
      </c>
      <c r="T35" s="412">
        <f>S35*R35</f>
        <v>400000</v>
      </c>
      <c r="U35" s="442">
        <v>0.68</v>
      </c>
      <c r="V35" s="412">
        <f>T35*(U35+1)</f>
        <v>672000.00000000012</v>
      </c>
      <c r="W35" s="412"/>
      <c r="X35" s="447">
        <f>VIATICOS!$M$9/2</f>
        <v>200000</v>
      </c>
      <c r="Y35" s="415">
        <f>(V35+W35+X35)*Q35</f>
        <v>872000.00000000012</v>
      </c>
      <c r="Z35" s="386">
        <f t="shared" si="0"/>
        <v>1</v>
      </c>
      <c r="AA35" s="386">
        <f t="shared" si="1"/>
        <v>1</v>
      </c>
      <c r="AB35" s="386">
        <f>IFERROR(IF(R35&lt;=0,0,1),"")</f>
        <v>1</v>
      </c>
      <c r="AC35" s="386">
        <f t="shared" si="2"/>
        <v>1</v>
      </c>
      <c r="AD35" s="386">
        <f>IFERROR(IF(T35=R35*S35,1,0),"")</f>
        <v>1</v>
      </c>
      <c r="AE35" s="386">
        <f>IFERROR(IF(U35&lt;=0,0,1),"")</f>
        <v>1</v>
      </c>
      <c r="AF35" s="386">
        <f>IFERROR(IF(V35=T35*(U35+1),1,0),"")</f>
        <v>1</v>
      </c>
      <c r="AG35" s="386">
        <f t="shared" ref="AG35:AG60" si="13">IFERROR(IF(EXACT(VLOOKUP(O35,FORMATO_GUIA,9,FALSE),W35),1,0),"")</f>
        <v>1</v>
      </c>
      <c r="AH35" s="386">
        <f>IFERROR(IF(X35=VIATICOS!$M$9/2,1,0),"")</f>
        <v>1</v>
      </c>
      <c r="AI35" s="386">
        <f>IFERROR(IF(Y35=(V35+W35+X35)*Q35,1,0),"")</f>
        <v>1</v>
      </c>
      <c r="AJ35" s="386">
        <f t="shared" si="5"/>
        <v>1</v>
      </c>
      <c r="AL35" s="393">
        <f t="shared" si="6"/>
        <v>872000</v>
      </c>
      <c r="AM35" s="394">
        <f t="shared" si="7"/>
        <v>0</v>
      </c>
    </row>
    <row r="36" spans="2:39" s="445" customFormat="1" ht="15" customHeight="1" x14ac:dyDescent="0.25">
      <c r="B36" s="386">
        <v>27</v>
      </c>
      <c r="C36" s="433"/>
      <c r="D36" s="434"/>
      <c r="E36" s="434"/>
      <c r="F36" s="434"/>
      <c r="G36" s="434"/>
      <c r="H36" s="434"/>
      <c r="I36" s="434"/>
      <c r="J36" s="434"/>
      <c r="K36" s="434"/>
      <c r="L36" s="434"/>
      <c r="O36" s="386">
        <v>27</v>
      </c>
      <c r="P36" s="434"/>
      <c r="Q36" s="434"/>
      <c r="R36" s="434"/>
      <c r="S36" s="434"/>
      <c r="T36" s="434"/>
      <c r="U36" s="434"/>
      <c r="V36" s="434"/>
      <c r="W36" s="434"/>
      <c r="X36" s="434"/>
      <c r="Y36" s="435"/>
      <c r="Z36" s="386">
        <f t="shared" si="0"/>
        <v>1</v>
      </c>
      <c r="AA36" s="386">
        <f t="shared" si="1"/>
        <v>1</v>
      </c>
      <c r="AB36" s="386">
        <f t="shared" ref="AB36:AB60" si="14">IFERROR(IF(EXACT(VLOOKUP(O36,FORMATO_GUIA,4,FALSE),R36),1,0),"")</f>
        <v>1</v>
      </c>
      <c r="AC36" s="386">
        <f t="shared" si="2"/>
        <v>1</v>
      </c>
      <c r="AD36" s="386">
        <f t="shared" ref="AD36:AD60" si="15">IFERROR(IF(EXACT(VLOOKUP(O36,FORMATO_GUIA,6,FALSE),T36),1,0),"")</f>
        <v>1</v>
      </c>
      <c r="AE36" s="386">
        <f t="shared" ref="AE36:AE60" si="16">IFERROR(IF(EXACT(VLOOKUP(O36,FORMATO_GUIA,7,FALSE),U36),1,0),"")</f>
        <v>1</v>
      </c>
      <c r="AF36" s="386">
        <f t="shared" ref="AF36:AF60" si="17">IFERROR(IF(EXACT(VLOOKUP(O36,FORMATO_GUIA,8,FALSE),V36),1,0),"")</f>
        <v>1</v>
      </c>
      <c r="AG36" s="386">
        <f t="shared" si="13"/>
        <v>1</v>
      </c>
      <c r="AH36" s="386">
        <f t="shared" ref="AH36:AH47" si="18">IFERROR(IF(EXACT(VLOOKUP(O36,FORMATO_GUIA,10,FALSE),X36),1,0),"")</f>
        <v>1</v>
      </c>
      <c r="AI36" s="386">
        <f>IFERROR(IF(EXACT(VLOOKUP(O36,FORMATO_GUIA,11,FALSE),Y36),1,0),"")</f>
        <v>1</v>
      </c>
      <c r="AJ36" s="386">
        <f t="shared" si="5"/>
        <v>1</v>
      </c>
      <c r="AL36" s="393">
        <f t="shared" si="6"/>
        <v>0</v>
      </c>
      <c r="AM36" s="394">
        <f t="shared" si="7"/>
        <v>0</v>
      </c>
    </row>
    <row r="37" spans="2:39" s="445" customFormat="1" ht="15" customHeight="1" x14ac:dyDescent="0.25">
      <c r="B37" s="386">
        <v>28</v>
      </c>
      <c r="C37" s="449" t="s">
        <v>17</v>
      </c>
      <c r="D37" s="450"/>
      <c r="E37" s="450"/>
      <c r="F37" s="450"/>
      <c r="G37" s="450"/>
      <c r="H37" s="450"/>
      <c r="I37" s="450"/>
      <c r="J37" s="450"/>
      <c r="K37" s="450"/>
      <c r="L37" s="451">
        <f>SUM(L25:L35)</f>
        <v>0</v>
      </c>
      <c r="O37" s="386">
        <v>28</v>
      </c>
      <c r="P37" s="450" t="s">
        <v>17</v>
      </c>
      <c r="Q37" s="450"/>
      <c r="R37" s="450"/>
      <c r="S37" s="450"/>
      <c r="T37" s="450"/>
      <c r="U37" s="450"/>
      <c r="V37" s="450"/>
      <c r="W37" s="450"/>
      <c r="X37" s="450"/>
      <c r="Y37" s="452">
        <f>SUM(Y25:Y35)</f>
        <v>56709415.625000007</v>
      </c>
      <c r="Z37" s="386">
        <f t="shared" si="0"/>
        <v>1</v>
      </c>
      <c r="AA37" s="386">
        <f t="shared" si="1"/>
        <v>1</v>
      </c>
      <c r="AB37" s="386">
        <f t="shared" si="14"/>
        <v>1</v>
      </c>
      <c r="AC37" s="386">
        <f t="shared" si="2"/>
        <v>1</v>
      </c>
      <c r="AD37" s="386">
        <f t="shared" si="15"/>
        <v>1</v>
      </c>
      <c r="AE37" s="386">
        <f t="shared" si="16"/>
        <v>1</v>
      </c>
      <c r="AF37" s="386">
        <f t="shared" si="17"/>
        <v>1</v>
      </c>
      <c r="AG37" s="386">
        <f t="shared" si="13"/>
        <v>1</v>
      </c>
      <c r="AH37" s="386">
        <f t="shared" si="18"/>
        <v>1</v>
      </c>
      <c r="AI37" s="386">
        <f>IFERROR(IF(Y37=SUM(Y25:Y35),1,0),"")</f>
        <v>1</v>
      </c>
      <c r="AJ37" s="386">
        <f t="shared" si="5"/>
        <v>1</v>
      </c>
      <c r="AL37" s="393">
        <f t="shared" si="6"/>
        <v>56709416</v>
      </c>
      <c r="AM37" s="394">
        <f t="shared" si="7"/>
        <v>-0.3749999925494194</v>
      </c>
    </row>
    <row r="38" spans="2:39" s="445" customFormat="1" ht="15" customHeight="1" x14ac:dyDescent="0.25">
      <c r="B38" s="386">
        <v>29</v>
      </c>
      <c r="C38" s="449" t="s">
        <v>234</v>
      </c>
      <c r="D38" s="450"/>
      <c r="E38" s="450"/>
      <c r="F38" s="450"/>
      <c r="G38" s="450"/>
      <c r="H38" s="450"/>
      <c r="I38" s="450"/>
      <c r="J38" s="450"/>
      <c r="K38" s="450"/>
      <c r="L38" s="453">
        <v>32808504.170000002</v>
      </c>
      <c r="M38" s="454"/>
      <c r="O38" s="386">
        <v>29</v>
      </c>
      <c r="P38" s="450" t="s">
        <v>234</v>
      </c>
      <c r="Q38" s="450"/>
      <c r="R38" s="450"/>
      <c r="S38" s="450"/>
      <c r="T38" s="450"/>
      <c r="U38" s="450"/>
      <c r="V38" s="450"/>
      <c r="W38" s="450"/>
      <c r="X38" s="450"/>
      <c r="Y38" s="455">
        <v>32808504.170000002</v>
      </c>
      <c r="Z38" s="386">
        <f t="shared" si="0"/>
        <v>1</v>
      </c>
      <c r="AA38" s="386">
        <f t="shared" si="1"/>
        <v>1</v>
      </c>
      <c r="AB38" s="386">
        <f t="shared" si="14"/>
        <v>1</v>
      </c>
      <c r="AC38" s="386">
        <f t="shared" si="2"/>
        <v>1</v>
      </c>
      <c r="AD38" s="386">
        <f t="shared" si="15"/>
        <v>1</v>
      </c>
      <c r="AE38" s="386">
        <f t="shared" si="16"/>
        <v>1</v>
      </c>
      <c r="AF38" s="386">
        <f t="shared" si="17"/>
        <v>1</v>
      </c>
      <c r="AG38" s="386">
        <f t="shared" si="13"/>
        <v>1</v>
      </c>
      <c r="AH38" s="386">
        <f t="shared" si="18"/>
        <v>1</v>
      </c>
      <c r="AI38" s="386">
        <f>IFERROR(IF(EXACT(VLOOKUP(O38,FORMATO_GUIA,11,FALSE),Y38),1,0),"")</f>
        <v>1</v>
      </c>
      <c r="AJ38" s="386">
        <f t="shared" si="5"/>
        <v>1</v>
      </c>
      <c r="AL38" s="393">
        <f t="shared" si="6"/>
        <v>32808504</v>
      </c>
      <c r="AM38" s="394">
        <f t="shared" si="7"/>
        <v>0.17000000178813934</v>
      </c>
    </row>
    <row r="39" spans="2:39" s="445" customFormat="1" ht="15" customHeight="1" x14ac:dyDescent="0.25">
      <c r="B39" s="386">
        <v>30</v>
      </c>
      <c r="C39" s="449" t="s">
        <v>235</v>
      </c>
      <c r="D39" s="450"/>
      <c r="E39" s="450"/>
      <c r="F39" s="450"/>
      <c r="G39" s="450"/>
      <c r="H39" s="450"/>
      <c r="I39" s="450"/>
      <c r="J39" s="450"/>
      <c r="K39" s="450"/>
      <c r="L39" s="453">
        <v>10191552</v>
      </c>
      <c r="M39" s="454"/>
      <c r="O39" s="386">
        <v>30</v>
      </c>
      <c r="P39" s="450" t="s">
        <v>235</v>
      </c>
      <c r="Q39" s="450"/>
      <c r="R39" s="450"/>
      <c r="S39" s="450"/>
      <c r="T39" s="450"/>
      <c r="U39" s="450"/>
      <c r="V39" s="450"/>
      <c r="W39" s="450"/>
      <c r="X39" s="450"/>
      <c r="Y39" s="455">
        <v>10191552</v>
      </c>
      <c r="Z39" s="386">
        <f t="shared" si="0"/>
        <v>1</v>
      </c>
      <c r="AA39" s="386">
        <f t="shared" si="1"/>
        <v>1</v>
      </c>
      <c r="AB39" s="386">
        <f t="shared" si="14"/>
        <v>1</v>
      </c>
      <c r="AC39" s="386">
        <f t="shared" si="2"/>
        <v>1</v>
      </c>
      <c r="AD39" s="386">
        <f t="shared" si="15"/>
        <v>1</v>
      </c>
      <c r="AE39" s="386">
        <f t="shared" si="16"/>
        <v>1</v>
      </c>
      <c r="AF39" s="386">
        <f t="shared" si="17"/>
        <v>1</v>
      </c>
      <c r="AG39" s="386">
        <f t="shared" si="13"/>
        <v>1</v>
      </c>
      <c r="AH39" s="386">
        <f t="shared" si="18"/>
        <v>1</v>
      </c>
      <c r="AI39" s="386">
        <f>IFERROR(IF(EXACT(VLOOKUP(O39,FORMATO_GUIA,11,FALSE),Y39),1,0),"")</f>
        <v>1</v>
      </c>
      <c r="AJ39" s="386">
        <f t="shared" si="5"/>
        <v>1</v>
      </c>
      <c r="AL39" s="393">
        <f t="shared" si="6"/>
        <v>10191552</v>
      </c>
      <c r="AM39" s="394">
        <f t="shared" si="7"/>
        <v>0</v>
      </c>
    </row>
    <row r="40" spans="2:39" s="445" customFormat="1" ht="15" customHeight="1" x14ac:dyDescent="0.25">
      <c r="B40" s="386">
        <v>31</v>
      </c>
      <c r="C40" s="456" t="s">
        <v>16</v>
      </c>
      <c r="D40" s="457"/>
      <c r="E40" s="457"/>
      <c r="F40" s="457"/>
      <c r="G40" s="457"/>
      <c r="H40" s="457"/>
      <c r="I40" s="457"/>
      <c r="J40" s="457"/>
      <c r="K40" s="457"/>
      <c r="L40" s="451">
        <f>L37+L38+L39</f>
        <v>43000056.170000002</v>
      </c>
      <c r="O40" s="386">
        <v>31</v>
      </c>
      <c r="P40" s="457" t="s">
        <v>16</v>
      </c>
      <c r="Q40" s="457"/>
      <c r="R40" s="457"/>
      <c r="S40" s="457"/>
      <c r="T40" s="457"/>
      <c r="U40" s="457"/>
      <c r="V40" s="457"/>
      <c r="W40" s="457"/>
      <c r="X40" s="457"/>
      <c r="Y40" s="452">
        <f>Y37+Y38+Y39</f>
        <v>99709471.795000017</v>
      </c>
      <c r="Z40" s="386">
        <f t="shared" si="0"/>
        <v>1</v>
      </c>
      <c r="AA40" s="386">
        <f t="shared" si="1"/>
        <v>1</v>
      </c>
      <c r="AB40" s="386">
        <f t="shared" si="14"/>
        <v>1</v>
      </c>
      <c r="AC40" s="386">
        <f t="shared" si="2"/>
        <v>1</v>
      </c>
      <c r="AD40" s="386">
        <f t="shared" si="15"/>
        <v>1</v>
      </c>
      <c r="AE40" s="386">
        <f t="shared" si="16"/>
        <v>1</v>
      </c>
      <c r="AF40" s="386">
        <f t="shared" si="17"/>
        <v>1</v>
      </c>
      <c r="AG40" s="386">
        <f t="shared" si="13"/>
        <v>1</v>
      </c>
      <c r="AH40" s="386">
        <f t="shared" si="18"/>
        <v>1</v>
      </c>
      <c r="AI40" s="386">
        <f>IFERROR(IF(Y40=Y37+Y38+Y39,1,0),"")</f>
        <v>1</v>
      </c>
      <c r="AJ40" s="386">
        <f t="shared" si="5"/>
        <v>1</v>
      </c>
      <c r="AL40" s="393">
        <f t="shared" si="6"/>
        <v>99709472</v>
      </c>
      <c r="AM40" s="394">
        <f t="shared" si="7"/>
        <v>-0.20499998331069946</v>
      </c>
    </row>
    <row r="41" spans="2:39" s="445" customFormat="1" x14ac:dyDescent="0.25">
      <c r="B41" s="386">
        <v>32</v>
      </c>
      <c r="C41" s="458"/>
      <c r="D41" s="458"/>
      <c r="E41" s="458"/>
      <c r="F41" s="458"/>
      <c r="G41" s="458"/>
      <c r="H41" s="458"/>
      <c r="I41" s="458"/>
      <c r="J41" s="458"/>
      <c r="K41" s="458"/>
      <c r="L41" s="459"/>
      <c r="O41" s="386">
        <v>32</v>
      </c>
      <c r="P41" s="460"/>
      <c r="Q41" s="458"/>
      <c r="R41" s="458"/>
      <c r="S41" s="458"/>
      <c r="T41" s="458"/>
      <c r="U41" s="458"/>
      <c r="V41" s="458"/>
      <c r="W41" s="458"/>
      <c r="X41" s="458"/>
      <c r="Y41" s="458"/>
      <c r="Z41" s="386">
        <f t="shared" si="0"/>
        <v>1</v>
      </c>
      <c r="AA41" s="386">
        <f t="shared" si="1"/>
        <v>1</v>
      </c>
      <c r="AB41" s="386">
        <f t="shared" si="14"/>
        <v>1</v>
      </c>
      <c r="AC41" s="386">
        <f t="shared" si="2"/>
        <v>1</v>
      </c>
      <c r="AD41" s="386">
        <f t="shared" si="15"/>
        <v>1</v>
      </c>
      <c r="AE41" s="386">
        <f t="shared" si="16"/>
        <v>1</v>
      </c>
      <c r="AF41" s="386">
        <f t="shared" si="17"/>
        <v>1</v>
      </c>
      <c r="AG41" s="386">
        <f t="shared" si="13"/>
        <v>1</v>
      </c>
      <c r="AH41" s="386">
        <f t="shared" si="18"/>
        <v>1</v>
      </c>
      <c r="AI41" s="386">
        <f>IFERROR(IF(EXACT(VLOOKUP(O41,FORMATO_GUIA,11,FALSE),Y41),1,0),"")</f>
        <v>1</v>
      </c>
      <c r="AJ41" s="386">
        <f t="shared" si="5"/>
        <v>1</v>
      </c>
      <c r="AL41" s="393">
        <f t="shared" si="6"/>
        <v>0</v>
      </c>
      <c r="AM41" s="394">
        <f t="shared" si="7"/>
        <v>0</v>
      </c>
    </row>
    <row r="42" spans="2:39" s="445" customFormat="1" ht="15.75" customHeight="1" thickBot="1" x14ac:dyDescent="0.3">
      <c r="B42" s="386">
        <v>33</v>
      </c>
      <c r="C42" s="461"/>
      <c r="D42" s="461"/>
      <c r="E42" s="461"/>
      <c r="F42" s="461"/>
      <c r="G42" s="461"/>
      <c r="H42" s="461"/>
      <c r="I42" s="461"/>
      <c r="J42" s="461"/>
      <c r="K42" s="461"/>
      <c r="L42" s="462"/>
      <c r="O42" s="386">
        <v>33</v>
      </c>
      <c r="P42" s="463"/>
      <c r="Q42" s="461"/>
      <c r="R42" s="461"/>
      <c r="S42" s="461"/>
      <c r="T42" s="461"/>
      <c r="U42" s="461"/>
      <c r="V42" s="461"/>
      <c r="W42" s="461"/>
      <c r="X42" s="461"/>
      <c r="Y42" s="461"/>
      <c r="Z42" s="386">
        <f t="shared" ref="Z42:Z60" si="19">IFERROR(IF(EXACT(VLOOKUP(O42,FORMATO_GUIA,2,FALSE),P42),1,0),"")</f>
        <v>1</v>
      </c>
      <c r="AA42" s="386">
        <f t="shared" ref="AA42:AA60" si="20">IFERROR(IF(EXACT(VLOOKUP(O42,FORMATO_GUIA,3,FALSE),Q42),1,0),"")</f>
        <v>1</v>
      </c>
      <c r="AB42" s="386">
        <f t="shared" si="14"/>
        <v>1</v>
      </c>
      <c r="AC42" s="386">
        <f t="shared" ref="AC42:AC60" si="21">IFERROR(IF(EXACT(VLOOKUP(O42,FORMATO_GUIA,5,FALSE),S42),1,0),"")</f>
        <v>1</v>
      </c>
      <c r="AD42" s="386">
        <f t="shared" si="15"/>
        <v>1</v>
      </c>
      <c r="AE42" s="386">
        <f t="shared" si="16"/>
        <v>1</v>
      </c>
      <c r="AF42" s="386">
        <f t="shared" si="17"/>
        <v>1</v>
      </c>
      <c r="AG42" s="386">
        <f t="shared" si="13"/>
        <v>1</v>
      </c>
      <c r="AH42" s="386">
        <f t="shared" si="18"/>
        <v>1</v>
      </c>
      <c r="AI42" s="386">
        <f>IFERROR(IF(EXACT(VLOOKUP(O42,FORMATO_GUIA,11,FALSE),Y42),1,0),"")</f>
        <v>1</v>
      </c>
      <c r="AJ42" s="386">
        <f t="shared" si="5"/>
        <v>1</v>
      </c>
      <c r="AL42" s="393">
        <f t="shared" si="6"/>
        <v>0</v>
      </c>
      <c r="AM42" s="394">
        <f t="shared" si="7"/>
        <v>0</v>
      </c>
    </row>
    <row r="43" spans="2:39" s="445" customFormat="1" ht="15.75" customHeight="1" thickBot="1" x14ac:dyDescent="0.3">
      <c r="B43" s="386">
        <v>34</v>
      </c>
      <c r="C43" s="464" t="s">
        <v>213</v>
      </c>
      <c r="D43" s="464"/>
      <c r="E43" s="464"/>
      <c r="F43" s="464"/>
      <c r="G43" s="464"/>
      <c r="H43" s="464"/>
      <c r="I43" s="464"/>
      <c r="J43" s="464"/>
      <c r="K43" s="465"/>
      <c r="L43" s="466">
        <f>+L40</f>
        <v>43000056.170000002</v>
      </c>
      <c r="O43" s="386">
        <v>34</v>
      </c>
      <c r="P43" s="467" t="s">
        <v>213</v>
      </c>
      <c r="Q43" s="464"/>
      <c r="R43" s="464"/>
      <c r="S43" s="464"/>
      <c r="T43" s="464"/>
      <c r="U43" s="464"/>
      <c r="V43" s="464"/>
      <c r="W43" s="464"/>
      <c r="X43" s="465"/>
      <c r="Y43" s="468">
        <f>+Y40</f>
        <v>99709471.795000017</v>
      </c>
      <c r="Z43" s="386">
        <f t="shared" si="19"/>
        <v>1</v>
      </c>
      <c r="AA43" s="386">
        <f t="shared" si="20"/>
        <v>1</v>
      </c>
      <c r="AB43" s="386">
        <f t="shared" si="14"/>
        <v>1</v>
      </c>
      <c r="AC43" s="386">
        <f t="shared" si="21"/>
        <v>1</v>
      </c>
      <c r="AD43" s="386">
        <f t="shared" si="15"/>
        <v>1</v>
      </c>
      <c r="AE43" s="386">
        <f t="shared" si="16"/>
        <v>1</v>
      </c>
      <c r="AF43" s="386">
        <f t="shared" si="17"/>
        <v>1</v>
      </c>
      <c r="AG43" s="386">
        <f t="shared" si="13"/>
        <v>1</v>
      </c>
      <c r="AH43" s="386">
        <f t="shared" si="18"/>
        <v>1</v>
      </c>
      <c r="AI43" s="386">
        <f>IFERROR(IF(Y43=Y40,1,0),"")</f>
        <v>1</v>
      </c>
      <c r="AJ43" s="386">
        <f t="shared" si="5"/>
        <v>1</v>
      </c>
      <c r="AL43" s="393">
        <f t="shared" si="6"/>
        <v>99709472</v>
      </c>
      <c r="AM43" s="394">
        <f t="shared" si="7"/>
        <v>-0.20499998331069946</v>
      </c>
    </row>
    <row r="44" spans="2:39" s="445" customFormat="1" ht="15.75" customHeight="1" thickBot="1" x14ac:dyDescent="0.3">
      <c r="B44" s="386">
        <v>35</v>
      </c>
      <c r="C44" s="469" t="s">
        <v>212</v>
      </c>
      <c r="D44" s="469"/>
      <c r="E44" s="469"/>
      <c r="F44" s="469"/>
      <c r="G44" s="469"/>
      <c r="H44" s="469"/>
      <c r="I44" s="469"/>
      <c r="J44" s="469"/>
      <c r="K44" s="470">
        <v>7.0000000000000007E-2</v>
      </c>
      <c r="L44" s="466">
        <f>L43*(1+K44)</f>
        <v>46010060.101900004</v>
      </c>
      <c r="O44" s="386">
        <v>35</v>
      </c>
      <c r="P44" s="471" t="s">
        <v>212</v>
      </c>
      <c r="Q44" s="469"/>
      <c r="R44" s="469"/>
      <c r="S44" s="469"/>
      <c r="T44" s="469"/>
      <c r="U44" s="469"/>
      <c r="V44" s="469"/>
      <c r="W44" s="469"/>
      <c r="X44" s="470">
        <v>7.0000000000000007E-2</v>
      </c>
      <c r="Y44" s="468">
        <f>Y43*(1+X44)</f>
        <v>106689134.82065003</v>
      </c>
      <c r="Z44" s="386">
        <f t="shared" si="19"/>
        <v>1</v>
      </c>
      <c r="AA44" s="386">
        <f t="shared" si="20"/>
        <v>1</v>
      </c>
      <c r="AB44" s="386">
        <f t="shared" si="14"/>
        <v>1</v>
      </c>
      <c r="AC44" s="386">
        <f t="shared" si="21"/>
        <v>1</v>
      </c>
      <c r="AD44" s="386">
        <f t="shared" si="15"/>
        <v>1</v>
      </c>
      <c r="AE44" s="386">
        <f t="shared" si="16"/>
        <v>1</v>
      </c>
      <c r="AF44" s="386">
        <f t="shared" si="17"/>
        <v>1</v>
      </c>
      <c r="AG44" s="386">
        <f t="shared" si="13"/>
        <v>1</v>
      </c>
      <c r="AH44" s="386">
        <f t="shared" si="18"/>
        <v>1</v>
      </c>
      <c r="AI44" s="386">
        <f>IFERROR(IF(Y44=Y43*(1+X44),1,0),"")</f>
        <v>1</v>
      </c>
      <c r="AJ44" s="386">
        <f t="shared" si="5"/>
        <v>1</v>
      </c>
      <c r="AL44" s="393">
        <f t="shared" si="6"/>
        <v>106689135</v>
      </c>
      <c r="AM44" s="394">
        <f t="shared" si="7"/>
        <v>-0.17934997379779816</v>
      </c>
    </row>
    <row r="45" spans="2:39" s="445" customFormat="1" ht="15.75" customHeight="1" thickBot="1" x14ac:dyDescent="0.3">
      <c r="B45" s="386">
        <v>36</v>
      </c>
      <c r="C45" s="469" t="s">
        <v>214</v>
      </c>
      <c r="D45" s="469"/>
      <c r="E45" s="469"/>
      <c r="F45" s="469"/>
      <c r="G45" s="469"/>
      <c r="H45" s="469"/>
      <c r="I45" s="469"/>
      <c r="J45" s="469"/>
      <c r="K45" s="472">
        <v>6</v>
      </c>
      <c r="L45" s="466">
        <f>L43*K45</f>
        <v>258000337.02000001</v>
      </c>
      <c r="O45" s="386">
        <v>36</v>
      </c>
      <c r="P45" s="471" t="s">
        <v>214</v>
      </c>
      <c r="Q45" s="469"/>
      <c r="R45" s="469"/>
      <c r="S45" s="469"/>
      <c r="T45" s="469"/>
      <c r="U45" s="469"/>
      <c r="V45" s="469"/>
      <c r="W45" s="469"/>
      <c r="X45" s="472">
        <v>6</v>
      </c>
      <c r="Y45" s="468">
        <f>Y43*X45</f>
        <v>598256830.7700001</v>
      </c>
      <c r="Z45" s="386">
        <f t="shared" si="19"/>
        <v>1</v>
      </c>
      <c r="AA45" s="386">
        <f t="shared" si="20"/>
        <v>1</v>
      </c>
      <c r="AB45" s="386">
        <f t="shared" si="14"/>
        <v>1</v>
      </c>
      <c r="AC45" s="386">
        <f t="shared" si="21"/>
        <v>1</v>
      </c>
      <c r="AD45" s="386">
        <f t="shared" si="15"/>
        <v>1</v>
      </c>
      <c r="AE45" s="386">
        <f t="shared" si="16"/>
        <v>1</v>
      </c>
      <c r="AF45" s="386">
        <f t="shared" si="17"/>
        <v>1</v>
      </c>
      <c r="AG45" s="386">
        <f t="shared" si="13"/>
        <v>1</v>
      </c>
      <c r="AH45" s="386">
        <f t="shared" si="18"/>
        <v>1</v>
      </c>
      <c r="AI45" s="386">
        <f>IFERROR(IF(Y45=Y43*X45,1,0),"")</f>
        <v>1</v>
      </c>
      <c r="AJ45" s="386">
        <f t="shared" si="5"/>
        <v>1</v>
      </c>
      <c r="AL45" s="393">
        <f t="shared" si="6"/>
        <v>598256831</v>
      </c>
      <c r="AM45" s="394">
        <f t="shared" si="7"/>
        <v>-0.22999989986419678</v>
      </c>
    </row>
    <row r="46" spans="2:39" s="445" customFormat="1" ht="15.75" customHeight="1" thickBot="1" x14ac:dyDescent="0.3">
      <c r="B46" s="386">
        <v>37</v>
      </c>
      <c r="C46" s="469" t="s">
        <v>215</v>
      </c>
      <c r="D46" s="469"/>
      <c r="E46" s="469"/>
      <c r="F46" s="469"/>
      <c r="G46" s="469"/>
      <c r="H46" s="469"/>
      <c r="I46" s="469"/>
      <c r="J46" s="469"/>
      <c r="K46" s="472">
        <v>6</v>
      </c>
      <c r="L46" s="466">
        <f>L44*K46</f>
        <v>276060360.61140001</v>
      </c>
      <c r="O46" s="386">
        <v>37</v>
      </c>
      <c r="P46" s="471" t="s">
        <v>215</v>
      </c>
      <c r="Q46" s="469"/>
      <c r="R46" s="469"/>
      <c r="S46" s="469"/>
      <c r="T46" s="469"/>
      <c r="U46" s="469"/>
      <c r="V46" s="469"/>
      <c r="W46" s="469"/>
      <c r="X46" s="472">
        <v>6</v>
      </c>
      <c r="Y46" s="468">
        <f>Y44*X46</f>
        <v>640134808.92390013</v>
      </c>
      <c r="Z46" s="386">
        <f t="shared" si="19"/>
        <v>1</v>
      </c>
      <c r="AA46" s="386">
        <f t="shared" si="20"/>
        <v>1</v>
      </c>
      <c r="AB46" s="386">
        <f t="shared" si="14"/>
        <v>1</v>
      </c>
      <c r="AC46" s="386">
        <f t="shared" si="21"/>
        <v>1</v>
      </c>
      <c r="AD46" s="386">
        <f t="shared" si="15"/>
        <v>1</v>
      </c>
      <c r="AE46" s="386">
        <f t="shared" si="16"/>
        <v>1</v>
      </c>
      <c r="AF46" s="386">
        <f t="shared" si="17"/>
        <v>1</v>
      </c>
      <c r="AG46" s="386">
        <f t="shared" si="13"/>
        <v>1</v>
      </c>
      <c r="AH46" s="386">
        <f t="shared" si="18"/>
        <v>1</v>
      </c>
      <c r="AI46" s="386">
        <f>IFERROR(IF(Y46=Y44*X46,1,0),"")</f>
        <v>1</v>
      </c>
      <c r="AJ46" s="386">
        <f t="shared" si="5"/>
        <v>1</v>
      </c>
      <c r="AL46" s="393">
        <f t="shared" si="6"/>
        <v>640134809</v>
      </c>
      <c r="AM46" s="394">
        <f t="shared" si="7"/>
        <v>-7.6099872589111328E-2</v>
      </c>
    </row>
    <row r="47" spans="2:39" s="445" customFormat="1" ht="15.75" customHeight="1" thickBot="1" x14ac:dyDescent="0.3">
      <c r="B47" s="386">
        <v>38</v>
      </c>
      <c r="C47" s="464" t="s">
        <v>8</v>
      </c>
      <c r="D47" s="464"/>
      <c r="E47" s="464"/>
      <c r="F47" s="464"/>
      <c r="G47" s="464"/>
      <c r="H47" s="464"/>
      <c r="I47" s="464"/>
      <c r="J47" s="473"/>
      <c r="K47" s="474"/>
      <c r="L47" s="466">
        <f>L45+L46</f>
        <v>534060697.63139999</v>
      </c>
      <c r="O47" s="386">
        <v>38</v>
      </c>
      <c r="P47" s="467" t="s">
        <v>8</v>
      </c>
      <c r="Q47" s="464"/>
      <c r="R47" s="464"/>
      <c r="S47" s="464"/>
      <c r="T47" s="464"/>
      <c r="U47" s="464"/>
      <c r="V47" s="464"/>
      <c r="W47" s="473"/>
      <c r="X47" s="474"/>
      <c r="Y47" s="468">
        <f>Y45+Y46</f>
        <v>1238391639.6939001</v>
      </c>
      <c r="Z47" s="386">
        <f t="shared" si="19"/>
        <v>1</v>
      </c>
      <c r="AA47" s="386">
        <f t="shared" si="20"/>
        <v>1</v>
      </c>
      <c r="AB47" s="386">
        <f t="shared" si="14"/>
        <v>1</v>
      </c>
      <c r="AC47" s="386">
        <f t="shared" si="21"/>
        <v>1</v>
      </c>
      <c r="AD47" s="386">
        <f t="shared" si="15"/>
        <v>1</v>
      </c>
      <c r="AE47" s="386">
        <f t="shared" si="16"/>
        <v>1</v>
      </c>
      <c r="AF47" s="386">
        <f t="shared" si="17"/>
        <v>1</v>
      </c>
      <c r="AG47" s="386">
        <f t="shared" si="13"/>
        <v>1</v>
      </c>
      <c r="AH47" s="386">
        <f t="shared" si="18"/>
        <v>1</v>
      </c>
      <c r="AI47" s="386">
        <f>IFERROR(IF(Y47=Y45+Y46,1,0),"")</f>
        <v>1</v>
      </c>
      <c r="AJ47" s="386">
        <f t="shared" si="5"/>
        <v>1</v>
      </c>
      <c r="AL47" s="393">
        <f t="shared" si="6"/>
        <v>1238391640</v>
      </c>
      <c r="AM47" s="394">
        <f t="shared" si="7"/>
        <v>-0.30609989166259766</v>
      </c>
    </row>
    <row r="48" spans="2:39" s="445" customFormat="1" ht="15" customHeight="1" x14ac:dyDescent="0.25">
      <c r="B48" s="386">
        <v>39</v>
      </c>
      <c r="C48" s="469" t="s">
        <v>15</v>
      </c>
      <c r="D48" s="469"/>
      <c r="E48" s="469"/>
      <c r="F48" s="469"/>
      <c r="G48" s="469"/>
      <c r="H48" s="469"/>
      <c r="I48" s="469"/>
      <c r="J48" s="475"/>
      <c r="K48" s="476"/>
      <c r="L48" s="466">
        <f>+L47*K48</f>
        <v>0</v>
      </c>
      <c r="O48" s="386">
        <v>39</v>
      </c>
      <c r="P48" s="471" t="s">
        <v>15</v>
      </c>
      <c r="Q48" s="469"/>
      <c r="R48" s="469"/>
      <c r="S48" s="469"/>
      <c r="T48" s="469"/>
      <c r="U48" s="469"/>
      <c r="V48" s="469"/>
      <c r="W48" s="475"/>
      <c r="X48" s="476">
        <v>0.125</v>
      </c>
      <c r="Y48" s="468">
        <f>+Y47*X48</f>
        <v>154798954.96173751</v>
      </c>
      <c r="Z48" s="386">
        <f t="shared" si="19"/>
        <v>1</v>
      </c>
      <c r="AA48" s="386">
        <f t="shared" si="20"/>
        <v>1</v>
      </c>
      <c r="AB48" s="386">
        <f t="shared" si="14"/>
        <v>1</v>
      </c>
      <c r="AC48" s="386">
        <f t="shared" si="21"/>
        <v>1</v>
      </c>
      <c r="AD48" s="386">
        <f t="shared" si="15"/>
        <v>1</v>
      </c>
      <c r="AE48" s="386">
        <f t="shared" si="16"/>
        <v>1</v>
      </c>
      <c r="AF48" s="386">
        <f t="shared" si="17"/>
        <v>1</v>
      </c>
      <c r="AG48" s="386">
        <f t="shared" si="13"/>
        <v>1</v>
      </c>
      <c r="AH48" s="386">
        <f>IFERROR(IF(X48&lt;=0,0,1),"")</f>
        <v>1</v>
      </c>
      <c r="AI48" s="386">
        <f>IFERROR(IF(Y48=Y47*X48,1,0),"")</f>
        <v>1</v>
      </c>
      <c r="AJ48" s="386">
        <f t="shared" si="5"/>
        <v>1</v>
      </c>
      <c r="AL48" s="393">
        <f t="shared" si="6"/>
        <v>154798955</v>
      </c>
      <c r="AM48" s="394">
        <f t="shared" si="7"/>
        <v>-3.8262486457824707E-2</v>
      </c>
    </row>
    <row r="49" spans="2:39" s="445" customFormat="1" ht="15.75" thickBot="1" x14ac:dyDescent="0.3">
      <c r="B49" s="386">
        <v>40</v>
      </c>
      <c r="C49" s="477" t="s">
        <v>14</v>
      </c>
      <c r="D49" s="477"/>
      <c r="E49" s="477"/>
      <c r="F49" s="477"/>
      <c r="G49" s="477"/>
      <c r="H49" s="477"/>
      <c r="I49" s="477"/>
      <c r="J49" s="478"/>
      <c r="K49" s="476"/>
      <c r="L49" s="466">
        <f>L47*K49</f>
        <v>0</v>
      </c>
      <c r="O49" s="386">
        <v>40</v>
      </c>
      <c r="P49" s="479" t="s">
        <v>14</v>
      </c>
      <c r="Q49" s="477"/>
      <c r="R49" s="477"/>
      <c r="S49" s="477"/>
      <c r="T49" s="477"/>
      <c r="U49" s="477"/>
      <c r="V49" s="477"/>
      <c r="W49" s="478"/>
      <c r="X49" s="476">
        <v>0.04</v>
      </c>
      <c r="Y49" s="468">
        <f>Y47*X49</f>
        <v>49535665.587756008</v>
      </c>
      <c r="Z49" s="386">
        <f t="shared" si="19"/>
        <v>1</v>
      </c>
      <c r="AA49" s="386">
        <f t="shared" si="20"/>
        <v>1</v>
      </c>
      <c r="AB49" s="386">
        <f t="shared" si="14"/>
        <v>1</v>
      </c>
      <c r="AC49" s="386">
        <f t="shared" si="21"/>
        <v>1</v>
      </c>
      <c r="AD49" s="386">
        <f t="shared" si="15"/>
        <v>1</v>
      </c>
      <c r="AE49" s="386">
        <f t="shared" si="16"/>
        <v>1</v>
      </c>
      <c r="AF49" s="386">
        <f t="shared" si="17"/>
        <v>1</v>
      </c>
      <c r="AG49" s="386">
        <f t="shared" si="13"/>
        <v>1</v>
      </c>
      <c r="AH49" s="386">
        <f>IFERROR(IF(X49&lt;=0,0,1),"")</f>
        <v>1</v>
      </c>
      <c r="AI49" s="386">
        <f>IFERROR(IF(Y49=Y47*X49,1,0),"")</f>
        <v>1</v>
      </c>
      <c r="AJ49" s="386">
        <f t="shared" si="5"/>
        <v>1</v>
      </c>
      <c r="AL49" s="393">
        <f t="shared" si="6"/>
        <v>49535666</v>
      </c>
      <c r="AM49" s="394">
        <f t="shared" si="7"/>
        <v>-0.41224399209022522</v>
      </c>
    </row>
    <row r="50" spans="2:39" s="445" customFormat="1" ht="15.75" thickBot="1" x14ac:dyDescent="0.3">
      <c r="B50" s="386">
        <v>41</v>
      </c>
      <c r="C50" s="480" t="s">
        <v>8</v>
      </c>
      <c r="D50" s="481"/>
      <c r="E50" s="480"/>
      <c r="F50" s="480"/>
      <c r="G50" s="480"/>
      <c r="H50" s="480"/>
      <c r="I50" s="480"/>
      <c r="J50" s="480"/>
      <c r="K50" s="472"/>
      <c r="L50" s="466">
        <f>L47+L48+L49</f>
        <v>534060697.63139999</v>
      </c>
      <c r="O50" s="386">
        <v>41</v>
      </c>
      <c r="P50" s="482" t="s">
        <v>8</v>
      </c>
      <c r="Q50" s="481"/>
      <c r="R50" s="480"/>
      <c r="S50" s="480"/>
      <c r="T50" s="480"/>
      <c r="U50" s="480"/>
      <c r="V50" s="480"/>
      <c r="W50" s="480"/>
      <c r="X50" s="472"/>
      <c r="Y50" s="468">
        <f>Y47+Y48+Y49</f>
        <v>1442726260.2433937</v>
      </c>
      <c r="Z50" s="386">
        <f t="shared" si="19"/>
        <v>1</v>
      </c>
      <c r="AA50" s="386">
        <f t="shared" si="20"/>
        <v>1</v>
      </c>
      <c r="AB50" s="386">
        <f t="shared" si="14"/>
        <v>1</v>
      </c>
      <c r="AC50" s="386">
        <f t="shared" si="21"/>
        <v>1</v>
      </c>
      <c r="AD50" s="386">
        <f t="shared" si="15"/>
        <v>1</v>
      </c>
      <c r="AE50" s="386">
        <f t="shared" si="16"/>
        <v>1</v>
      </c>
      <c r="AF50" s="386">
        <f t="shared" si="17"/>
        <v>1</v>
      </c>
      <c r="AG50" s="386">
        <f t="shared" si="13"/>
        <v>1</v>
      </c>
      <c r="AH50" s="386">
        <f t="shared" ref="AH50:AH60" si="22">IFERROR(IF(EXACT(VLOOKUP(O50,FORMATO_GUIA,10,FALSE),X50),1,0),"")</f>
        <v>1</v>
      </c>
      <c r="AI50" s="386">
        <f>IFERROR(IF(Y50=Y47+Y48+Y49,1,0),"")</f>
        <v>1</v>
      </c>
      <c r="AJ50" s="386">
        <f t="shared" si="5"/>
        <v>1</v>
      </c>
      <c r="AL50" s="393">
        <f t="shared" si="6"/>
        <v>1442726260</v>
      </c>
      <c r="AM50" s="394">
        <f t="shared" si="7"/>
        <v>0.2433936595916748</v>
      </c>
    </row>
    <row r="51" spans="2:39" s="445" customFormat="1" x14ac:dyDescent="0.25">
      <c r="B51" s="386">
        <v>42</v>
      </c>
      <c r="C51" s="469" t="s">
        <v>13</v>
      </c>
      <c r="D51" s="469"/>
      <c r="E51" s="469"/>
      <c r="F51" s="469"/>
      <c r="G51" s="469"/>
      <c r="H51" s="469"/>
      <c r="I51" s="469"/>
      <c r="J51" s="469"/>
      <c r="K51" s="483">
        <v>0.19</v>
      </c>
      <c r="L51" s="466">
        <f>L50*K51</f>
        <v>101471532.54996599</v>
      </c>
      <c r="O51" s="386">
        <v>42</v>
      </c>
      <c r="P51" s="471" t="s">
        <v>13</v>
      </c>
      <c r="Q51" s="469"/>
      <c r="R51" s="469"/>
      <c r="S51" s="469"/>
      <c r="T51" s="469"/>
      <c r="U51" s="469"/>
      <c r="V51" s="469"/>
      <c r="W51" s="469"/>
      <c r="X51" s="483">
        <v>0.19</v>
      </c>
      <c r="Y51" s="468">
        <f>Y50*X51</f>
        <v>274117989.44624478</v>
      </c>
      <c r="Z51" s="386">
        <f t="shared" si="19"/>
        <v>1</v>
      </c>
      <c r="AA51" s="386">
        <f t="shared" si="20"/>
        <v>1</v>
      </c>
      <c r="AB51" s="386">
        <f t="shared" si="14"/>
        <v>1</v>
      </c>
      <c r="AC51" s="386">
        <f t="shared" si="21"/>
        <v>1</v>
      </c>
      <c r="AD51" s="386">
        <f t="shared" si="15"/>
        <v>1</v>
      </c>
      <c r="AE51" s="386">
        <f t="shared" si="16"/>
        <v>1</v>
      </c>
      <c r="AF51" s="386">
        <f t="shared" si="17"/>
        <v>1</v>
      </c>
      <c r="AG51" s="386">
        <f t="shared" si="13"/>
        <v>1</v>
      </c>
      <c r="AH51" s="386">
        <f t="shared" si="22"/>
        <v>1</v>
      </c>
      <c r="AI51" s="386">
        <f>IFERROR(IF(Y51=Y50*X51,1,0),"")</f>
        <v>1</v>
      </c>
      <c r="AJ51" s="386">
        <f t="shared" si="5"/>
        <v>1</v>
      </c>
      <c r="AL51" s="393">
        <f t="shared" si="6"/>
        <v>274117989</v>
      </c>
      <c r="AM51" s="394">
        <f t="shared" si="7"/>
        <v>0.44624477624893188</v>
      </c>
    </row>
    <row r="52" spans="2:39" s="445" customFormat="1" ht="15.75" customHeight="1" thickBot="1" x14ac:dyDescent="0.3">
      <c r="B52" s="386">
        <v>43</v>
      </c>
      <c r="C52" s="484" t="s">
        <v>216</v>
      </c>
      <c r="D52" s="484"/>
      <c r="E52" s="484"/>
      <c r="F52" s="484"/>
      <c r="G52" s="484"/>
      <c r="H52" s="484"/>
      <c r="I52" s="484"/>
      <c r="J52" s="484"/>
      <c r="K52" s="485"/>
      <c r="L52" s="466">
        <f>L50+L51</f>
        <v>635532230.18136597</v>
      </c>
      <c r="M52" s="486"/>
      <c r="N52" s="487"/>
      <c r="O52" s="386">
        <v>43</v>
      </c>
      <c r="P52" s="488" t="s">
        <v>216</v>
      </c>
      <c r="Q52" s="484"/>
      <c r="R52" s="484"/>
      <c r="S52" s="484"/>
      <c r="T52" s="484"/>
      <c r="U52" s="484"/>
      <c r="V52" s="484"/>
      <c r="W52" s="484"/>
      <c r="X52" s="485"/>
      <c r="Y52" s="468">
        <f>Y50+Y51</f>
        <v>1716844249.6896384</v>
      </c>
      <c r="Z52" s="386">
        <f t="shared" si="19"/>
        <v>1</v>
      </c>
      <c r="AA52" s="386">
        <f t="shared" si="20"/>
        <v>1</v>
      </c>
      <c r="AB52" s="386">
        <f t="shared" si="14"/>
        <v>1</v>
      </c>
      <c r="AC52" s="386">
        <f t="shared" si="21"/>
        <v>1</v>
      </c>
      <c r="AD52" s="386">
        <f t="shared" si="15"/>
        <v>1</v>
      </c>
      <c r="AE52" s="386">
        <f t="shared" si="16"/>
        <v>1</v>
      </c>
      <c r="AF52" s="386">
        <f t="shared" si="17"/>
        <v>1</v>
      </c>
      <c r="AG52" s="386">
        <f t="shared" si="13"/>
        <v>1</v>
      </c>
      <c r="AH52" s="386">
        <f t="shared" si="22"/>
        <v>1</v>
      </c>
      <c r="AI52" s="386">
        <f>IFERROR(IF(Y52=Y50+Y51,1,0),"")</f>
        <v>1</v>
      </c>
      <c r="AJ52" s="386">
        <f t="shared" si="5"/>
        <v>1</v>
      </c>
      <c r="AL52" s="489">
        <f t="shared" si="6"/>
        <v>1716844250</v>
      </c>
      <c r="AM52" s="394">
        <f t="shared" si="7"/>
        <v>-0.31036162376403809</v>
      </c>
    </row>
    <row r="53" spans="2:39" s="375" customFormat="1" ht="23.25" customHeight="1" thickBot="1" x14ac:dyDescent="0.3">
      <c r="B53" s="386">
        <v>44</v>
      </c>
      <c r="C53" s="490" t="s">
        <v>12</v>
      </c>
      <c r="D53" s="490"/>
      <c r="E53" s="490"/>
      <c r="F53" s="490"/>
      <c r="G53" s="490"/>
      <c r="H53" s="490"/>
      <c r="I53" s="490"/>
      <c r="J53" s="490"/>
      <c r="K53" s="490"/>
      <c r="L53" s="490"/>
      <c r="O53" s="386">
        <v>44</v>
      </c>
      <c r="P53" s="490" t="s">
        <v>12</v>
      </c>
      <c r="Q53" s="490"/>
      <c r="R53" s="490"/>
      <c r="S53" s="490"/>
      <c r="T53" s="490"/>
      <c r="U53" s="490"/>
      <c r="V53" s="490"/>
      <c r="W53" s="490"/>
      <c r="X53" s="490"/>
      <c r="Y53" s="490"/>
      <c r="Z53" s="386">
        <f t="shared" si="19"/>
        <v>1</v>
      </c>
      <c r="AA53" s="386">
        <f t="shared" si="20"/>
        <v>1</v>
      </c>
      <c r="AB53" s="386">
        <f t="shared" si="14"/>
        <v>1</v>
      </c>
      <c r="AC53" s="386">
        <f t="shared" si="21"/>
        <v>1</v>
      </c>
      <c r="AD53" s="386">
        <f t="shared" si="15"/>
        <v>1</v>
      </c>
      <c r="AE53" s="386">
        <f t="shared" si="16"/>
        <v>1</v>
      </c>
      <c r="AF53" s="386">
        <f t="shared" si="17"/>
        <v>1</v>
      </c>
      <c r="AG53" s="386">
        <f t="shared" si="13"/>
        <v>1</v>
      </c>
      <c r="AH53" s="386">
        <f t="shared" si="22"/>
        <v>1</v>
      </c>
      <c r="AI53" s="386">
        <f t="shared" ref="AI53:AI60" si="23">IFERROR(IF(EXACT(VLOOKUP(O53,FORMATO_GUIA,11,FALSE),Y53),1,0),"")</f>
        <v>1</v>
      </c>
      <c r="AJ53" s="386">
        <f t="shared" si="5"/>
        <v>1</v>
      </c>
      <c r="AL53" s="393">
        <f t="shared" si="6"/>
        <v>0</v>
      </c>
      <c r="AM53" s="394">
        <f t="shared" si="7"/>
        <v>0</v>
      </c>
    </row>
    <row r="54" spans="2:39" s="375" customFormat="1" ht="21" customHeight="1" x14ac:dyDescent="0.25">
      <c r="B54" s="386">
        <v>45</v>
      </c>
      <c r="C54" s="491" t="s">
        <v>217</v>
      </c>
      <c r="D54" s="491"/>
      <c r="E54" s="491"/>
      <c r="F54" s="491"/>
      <c r="G54" s="491"/>
      <c r="H54" s="491"/>
      <c r="I54" s="491"/>
      <c r="J54" s="491"/>
      <c r="K54" s="491"/>
      <c r="L54" s="492"/>
      <c r="O54" s="386">
        <v>45</v>
      </c>
      <c r="P54" s="493" t="s">
        <v>217</v>
      </c>
      <c r="Q54" s="491"/>
      <c r="R54" s="491"/>
      <c r="S54" s="491"/>
      <c r="T54" s="491"/>
      <c r="U54" s="491"/>
      <c r="V54" s="491"/>
      <c r="W54" s="491"/>
      <c r="X54" s="491"/>
      <c r="Y54" s="491"/>
      <c r="Z54" s="386">
        <f t="shared" si="19"/>
        <v>1</v>
      </c>
      <c r="AA54" s="386">
        <f t="shared" si="20"/>
        <v>1</v>
      </c>
      <c r="AB54" s="386">
        <f t="shared" si="14"/>
        <v>1</v>
      </c>
      <c r="AC54" s="386">
        <f t="shared" si="21"/>
        <v>1</v>
      </c>
      <c r="AD54" s="386">
        <f t="shared" si="15"/>
        <v>1</v>
      </c>
      <c r="AE54" s="386">
        <f t="shared" si="16"/>
        <v>1</v>
      </c>
      <c r="AF54" s="386">
        <f t="shared" si="17"/>
        <v>1</v>
      </c>
      <c r="AG54" s="386">
        <f t="shared" si="13"/>
        <v>1</v>
      </c>
      <c r="AH54" s="386">
        <f t="shared" si="22"/>
        <v>1</v>
      </c>
      <c r="AI54" s="386">
        <f t="shared" si="23"/>
        <v>1</v>
      </c>
      <c r="AJ54" s="386">
        <f t="shared" si="5"/>
        <v>1</v>
      </c>
      <c r="AL54" s="393">
        <f t="shared" si="6"/>
        <v>0</v>
      </c>
      <c r="AM54" s="394">
        <f t="shared" si="7"/>
        <v>0</v>
      </c>
    </row>
    <row r="55" spans="2:39" s="375" customFormat="1" ht="33.75" customHeight="1" x14ac:dyDescent="0.25">
      <c r="B55" s="386">
        <v>46</v>
      </c>
      <c r="C55" s="494" t="s">
        <v>222</v>
      </c>
      <c r="D55" s="494"/>
      <c r="E55" s="494"/>
      <c r="F55" s="494"/>
      <c r="G55" s="494"/>
      <c r="H55" s="494"/>
      <c r="I55" s="494"/>
      <c r="J55" s="494"/>
      <c r="K55" s="494"/>
      <c r="L55" s="495"/>
      <c r="O55" s="386">
        <v>46</v>
      </c>
      <c r="P55" s="496" t="s">
        <v>222</v>
      </c>
      <c r="Q55" s="494"/>
      <c r="R55" s="494"/>
      <c r="S55" s="494"/>
      <c r="T55" s="494"/>
      <c r="U55" s="494"/>
      <c r="V55" s="494"/>
      <c r="W55" s="494"/>
      <c r="X55" s="494"/>
      <c r="Y55" s="494"/>
      <c r="Z55" s="386">
        <f t="shared" si="19"/>
        <v>1</v>
      </c>
      <c r="AA55" s="386">
        <f t="shared" si="20"/>
        <v>1</v>
      </c>
      <c r="AB55" s="386">
        <f t="shared" si="14"/>
        <v>1</v>
      </c>
      <c r="AC55" s="386">
        <f t="shared" si="21"/>
        <v>1</v>
      </c>
      <c r="AD55" s="386">
        <f t="shared" si="15"/>
        <v>1</v>
      </c>
      <c r="AE55" s="386">
        <f t="shared" si="16"/>
        <v>1</v>
      </c>
      <c r="AF55" s="386">
        <f t="shared" si="17"/>
        <v>1</v>
      </c>
      <c r="AG55" s="386">
        <f t="shared" si="13"/>
        <v>1</v>
      </c>
      <c r="AH55" s="386">
        <f t="shared" si="22"/>
        <v>1</v>
      </c>
      <c r="AI55" s="386">
        <f t="shared" si="23"/>
        <v>1</v>
      </c>
      <c r="AJ55" s="386">
        <f t="shared" si="5"/>
        <v>1</v>
      </c>
      <c r="AL55" s="393">
        <f t="shared" si="6"/>
        <v>0</v>
      </c>
      <c r="AM55" s="394">
        <f t="shared" si="7"/>
        <v>0</v>
      </c>
    </row>
    <row r="56" spans="2:39" s="375" customFormat="1" ht="44.25" customHeight="1" x14ac:dyDescent="0.25">
      <c r="B56" s="386">
        <v>47</v>
      </c>
      <c r="C56" s="497" t="s">
        <v>241</v>
      </c>
      <c r="D56" s="497"/>
      <c r="E56" s="497"/>
      <c r="F56" s="497"/>
      <c r="G56" s="497"/>
      <c r="H56" s="497"/>
      <c r="I56" s="497"/>
      <c r="J56" s="497"/>
      <c r="K56" s="497"/>
      <c r="L56" s="498"/>
      <c r="O56" s="386">
        <v>47</v>
      </c>
      <c r="P56" s="499" t="s">
        <v>241</v>
      </c>
      <c r="Q56" s="497"/>
      <c r="R56" s="497"/>
      <c r="S56" s="497"/>
      <c r="T56" s="497"/>
      <c r="U56" s="497"/>
      <c r="V56" s="497"/>
      <c r="W56" s="497"/>
      <c r="X56" s="497"/>
      <c r="Y56" s="500"/>
      <c r="Z56" s="386">
        <f t="shared" si="19"/>
        <v>1</v>
      </c>
      <c r="AA56" s="386">
        <f t="shared" si="20"/>
        <v>1</v>
      </c>
      <c r="AB56" s="386">
        <f t="shared" si="14"/>
        <v>1</v>
      </c>
      <c r="AC56" s="386">
        <f t="shared" si="21"/>
        <v>1</v>
      </c>
      <c r="AD56" s="386">
        <f t="shared" si="15"/>
        <v>1</v>
      </c>
      <c r="AE56" s="386">
        <f t="shared" si="16"/>
        <v>1</v>
      </c>
      <c r="AF56" s="386">
        <f t="shared" si="17"/>
        <v>1</v>
      </c>
      <c r="AG56" s="386">
        <f t="shared" si="13"/>
        <v>1</v>
      </c>
      <c r="AH56" s="386">
        <f t="shared" si="22"/>
        <v>1</v>
      </c>
      <c r="AI56" s="386">
        <f t="shared" si="23"/>
        <v>1</v>
      </c>
      <c r="AJ56" s="386">
        <f t="shared" si="5"/>
        <v>1</v>
      </c>
      <c r="AL56" s="393">
        <f t="shared" si="6"/>
        <v>0</v>
      </c>
      <c r="AM56" s="394">
        <f t="shared" si="7"/>
        <v>0</v>
      </c>
    </row>
    <row r="57" spans="2:39" s="375" customFormat="1" ht="21.75" customHeight="1" x14ac:dyDescent="0.25">
      <c r="B57" s="386">
        <v>48</v>
      </c>
      <c r="C57" s="501" t="s">
        <v>218</v>
      </c>
      <c r="D57" s="501"/>
      <c r="E57" s="501"/>
      <c r="F57" s="501"/>
      <c r="G57" s="501"/>
      <c r="H57" s="501"/>
      <c r="I57" s="501"/>
      <c r="J57" s="501"/>
      <c r="K57" s="501"/>
      <c r="L57" s="502"/>
      <c r="O57" s="386">
        <v>48</v>
      </c>
      <c r="P57" s="503" t="s">
        <v>218</v>
      </c>
      <c r="Q57" s="501"/>
      <c r="R57" s="501"/>
      <c r="S57" s="501"/>
      <c r="T57" s="501"/>
      <c r="U57" s="501"/>
      <c r="V57" s="501"/>
      <c r="W57" s="501"/>
      <c r="X57" s="501"/>
      <c r="Y57" s="501"/>
      <c r="Z57" s="386">
        <f t="shared" si="19"/>
        <v>1</v>
      </c>
      <c r="AA57" s="386">
        <f t="shared" si="20"/>
        <v>1</v>
      </c>
      <c r="AB57" s="386">
        <f t="shared" si="14"/>
        <v>1</v>
      </c>
      <c r="AC57" s="386">
        <f t="shared" si="21"/>
        <v>1</v>
      </c>
      <c r="AD57" s="386">
        <f t="shared" si="15"/>
        <v>1</v>
      </c>
      <c r="AE57" s="386">
        <f t="shared" si="16"/>
        <v>1</v>
      </c>
      <c r="AF57" s="386">
        <f t="shared" si="17"/>
        <v>1</v>
      </c>
      <c r="AG57" s="386">
        <f t="shared" si="13"/>
        <v>1</v>
      </c>
      <c r="AH57" s="386">
        <f t="shared" si="22"/>
        <v>1</v>
      </c>
      <c r="AI57" s="386">
        <f t="shared" si="23"/>
        <v>1</v>
      </c>
      <c r="AJ57" s="386">
        <f t="shared" si="5"/>
        <v>1</v>
      </c>
      <c r="AL57" s="393">
        <f t="shared" si="6"/>
        <v>0</v>
      </c>
      <c r="AM57" s="394">
        <f t="shared" si="7"/>
        <v>0</v>
      </c>
    </row>
    <row r="58" spans="2:39" s="375" customFormat="1" ht="22.5" customHeight="1" x14ac:dyDescent="0.25">
      <c r="B58" s="386">
        <v>49</v>
      </c>
      <c r="C58" s="501" t="s">
        <v>219</v>
      </c>
      <c r="D58" s="501"/>
      <c r="E58" s="501"/>
      <c r="F58" s="501"/>
      <c r="G58" s="501"/>
      <c r="H58" s="501"/>
      <c r="I58" s="501"/>
      <c r="J58" s="501"/>
      <c r="K58" s="501"/>
      <c r="L58" s="502"/>
      <c r="O58" s="386">
        <v>49</v>
      </c>
      <c r="P58" s="503" t="s">
        <v>219</v>
      </c>
      <c r="Q58" s="501"/>
      <c r="R58" s="501"/>
      <c r="S58" s="501"/>
      <c r="T58" s="501"/>
      <c r="U58" s="501"/>
      <c r="V58" s="501"/>
      <c r="W58" s="501"/>
      <c r="X58" s="501"/>
      <c r="Y58" s="501"/>
      <c r="Z58" s="386">
        <f t="shared" si="19"/>
        <v>1</v>
      </c>
      <c r="AA58" s="386">
        <f t="shared" si="20"/>
        <v>1</v>
      </c>
      <c r="AB58" s="386">
        <f t="shared" si="14"/>
        <v>1</v>
      </c>
      <c r="AC58" s="386">
        <f t="shared" si="21"/>
        <v>1</v>
      </c>
      <c r="AD58" s="386">
        <f t="shared" si="15"/>
        <v>1</v>
      </c>
      <c r="AE58" s="386">
        <f t="shared" si="16"/>
        <v>1</v>
      </c>
      <c r="AF58" s="386">
        <f t="shared" si="17"/>
        <v>1</v>
      </c>
      <c r="AG58" s="386">
        <f t="shared" si="13"/>
        <v>1</v>
      </c>
      <c r="AH58" s="386">
        <f t="shared" si="22"/>
        <v>1</v>
      </c>
      <c r="AI58" s="386">
        <f t="shared" si="23"/>
        <v>1</v>
      </c>
      <c r="AJ58" s="386">
        <f t="shared" si="5"/>
        <v>1</v>
      </c>
      <c r="AL58" s="393">
        <f t="shared" si="6"/>
        <v>0</v>
      </c>
      <c r="AM58" s="394">
        <f t="shared" si="7"/>
        <v>0</v>
      </c>
    </row>
    <row r="59" spans="2:39" s="375" customFormat="1" ht="36.75" customHeight="1" x14ac:dyDescent="0.25">
      <c r="B59" s="386">
        <v>50</v>
      </c>
      <c r="C59" s="501" t="s">
        <v>11</v>
      </c>
      <c r="D59" s="501"/>
      <c r="E59" s="501"/>
      <c r="F59" s="501"/>
      <c r="G59" s="501"/>
      <c r="H59" s="501"/>
      <c r="I59" s="501"/>
      <c r="J59" s="501"/>
      <c r="K59" s="501"/>
      <c r="L59" s="502"/>
      <c r="O59" s="386">
        <v>50</v>
      </c>
      <c r="P59" s="503" t="s">
        <v>11</v>
      </c>
      <c r="Q59" s="501"/>
      <c r="R59" s="501"/>
      <c r="S59" s="501"/>
      <c r="T59" s="501"/>
      <c r="U59" s="501"/>
      <c r="V59" s="501"/>
      <c r="W59" s="501"/>
      <c r="X59" s="501"/>
      <c r="Y59" s="501"/>
      <c r="Z59" s="386">
        <f t="shared" si="19"/>
        <v>1</v>
      </c>
      <c r="AA59" s="386">
        <f t="shared" si="20"/>
        <v>1</v>
      </c>
      <c r="AB59" s="386">
        <f t="shared" si="14"/>
        <v>1</v>
      </c>
      <c r="AC59" s="386">
        <f t="shared" si="21"/>
        <v>1</v>
      </c>
      <c r="AD59" s="386">
        <f t="shared" si="15"/>
        <v>1</v>
      </c>
      <c r="AE59" s="386">
        <f t="shared" si="16"/>
        <v>1</v>
      </c>
      <c r="AF59" s="386">
        <f t="shared" si="17"/>
        <v>1</v>
      </c>
      <c r="AG59" s="386">
        <f t="shared" si="13"/>
        <v>1</v>
      </c>
      <c r="AH59" s="386">
        <f t="shared" si="22"/>
        <v>1</v>
      </c>
      <c r="AI59" s="386">
        <f t="shared" si="23"/>
        <v>1</v>
      </c>
      <c r="AJ59" s="386">
        <f t="shared" si="5"/>
        <v>1</v>
      </c>
      <c r="AL59" s="393">
        <f t="shared" si="6"/>
        <v>0</v>
      </c>
      <c r="AM59" s="394">
        <f t="shared" si="7"/>
        <v>0</v>
      </c>
    </row>
    <row r="60" spans="2:39" s="375" customFormat="1" ht="24.75" customHeight="1" thickBot="1" x14ac:dyDescent="0.3">
      <c r="B60" s="386">
        <v>51</v>
      </c>
      <c r="C60" s="504" t="s">
        <v>220</v>
      </c>
      <c r="D60" s="504"/>
      <c r="E60" s="504"/>
      <c r="F60" s="504"/>
      <c r="G60" s="504"/>
      <c r="H60" s="504"/>
      <c r="I60" s="504"/>
      <c r="J60" s="504"/>
      <c r="K60" s="504"/>
      <c r="L60" s="505"/>
      <c r="O60" s="386">
        <v>51</v>
      </c>
      <c r="P60" s="506" t="s">
        <v>220</v>
      </c>
      <c r="Q60" s="504"/>
      <c r="R60" s="504"/>
      <c r="S60" s="504"/>
      <c r="T60" s="504"/>
      <c r="U60" s="504"/>
      <c r="V60" s="504"/>
      <c r="W60" s="504"/>
      <c r="X60" s="504"/>
      <c r="Y60" s="504"/>
      <c r="Z60" s="386">
        <f t="shared" si="19"/>
        <v>1</v>
      </c>
      <c r="AA60" s="386">
        <f t="shared" si="20"/>
        <v>1</v>
      </c>
      <c r="AB60" s="386">
        <f t="shared" si="14"/>
        <v>1</v>
      </c>
      <c r="AC60" s="386">
        <f t="shared" si="21"/>
        <v>1</v>
      </c>
      <c r="AD60" s="386">
        <f t="shared" si="15"/>
        <v>1</v>
      </c>
      <c r="AE60" s="386">
        <f t="shared" si="16"/>
        <v>1</v>
      </c>
      <c r="AF60" s="386">
        <f t="shared" si="17"/>
        <v>1</v>
      </c>
      <c r="AG60" s="386">
        <f t="shared" si="13"/>
        <v>1</v>
      </c>
      <c r="AH60" s="386">
        <f t="shared" si="22"/>
        <v>1</v>
      </c>
      <c r="AI60" s="386">
        <f t="shared" si="23"/>
        <v>1</v>
      </c>
      <c r="AJ60" s="386">
        <f t="shared" si="5"/>
        <v>1</v>
      </c>
      <c r="AL60" s="393">
        <f t="shared" si="6"/>
        <v>0</v>
      </c>
      <c r="AM60" s="394">
        <f t="shared" si="7"/>
        <v>0</v>
      </c>
    </row>
    <row r="61" spans="2:39" s="375" customFormat="1" x14ac:dyDescent="0.25">
      <c r="B61" s="374"/>
      <c r="D61" s="376"/>
      <c r="K61" s="377"/>
      <c r="O61" s="374"/>
      <c r="P61" s="507"/>
      <c r="Q61" s="508"/>
      <c r="R61" s="507"/>
      <c r="S61" s="507"/>
      <c r="T61" s="507"/>
      <c r="U61" s="507"/>
      <c r="V61" s="507"/>
      <c r="W61" s="507"/>
      <c r="X61" s="509"/>
      <c r="Y61" s="507"/>
    </row>
    <row r="62" spans="2:39" s="375" customFormat="1" x14ac:dyDescent="0.25">
      <c r="B62" s="374"/>
      <c r="D62" s="376"/>
      <c r="K62" s="377"/>
      <c r="O62" s="374"/>
      <c r="P62" s="507"/>
      <c r="Q62" s="508"/>
      <c r="R62" s="507"/>
      <c r="S62" s="507"/>
      <c r="T62" s="507"/>
      <c r="U62" s="507"/>
      <c r="V62" s="507"/>
      <c r="W62" s="507"/>
      <c r="X62" s="509"/>
      <c r="Y62" s="507"/>
      <c r="AL62" s="510" t="s">
        <v>398</v>
      </c>
      <c r="AM62" s="511">
        <f>SUM(AM10:AM60)</f>
        <v>-2.8527792564127594</v>
      </c>
    </row>
    <row r="63" spans="2:39" s="375" customFormat="1" ht="52.5" customHeight="1" x14ac:dyDescent="0.25">
      <c r="B63" s="374"/>
      <c r="D63" s="376"/>
      <c r="K63" s="377"/>
      <c r="O63" s="374"/>
      <c r="P63" s="512"/>
      <c r="Q63" s="513"/>
      <c r="R63" s="512"/>
      <c r="S63" s="512"/>
      <c r="T63" s="512"/>
      <c r="U63" s="512"/>
      <c r="V63" s="512"/>
      <c r="W63" s="512"/>
      <c r="X63" s="514"/>
      <c r="Y63" s="512"/>
      <c r="AA63" s="515" t="s">
        <v>409</v>
      </c>
      <c r="AB63" s="516">
        <f>X48+X49</f>
        <v>0.16500000000000001</v>
      </c>
      <c r="AL63" s="517" t="s">
        <v>399</v>
      </c>
      <c r="AM63" s="518">
        <f>ABS(AM62)/Y52</f>
        <v>1.6616412682329624E-9</v>
      </c>
    </row>
    <row r="64" spans="2:39" s="375" customFormat="1" ht="62.25" customHeight="1" x14ac:dyDescent="0.25">
      <c r="B64" s="374"/>
      <c r="D64" s="376"/>
      <c r="K64" s="377"/>
      <c r="O64" s="374"/>
      <c r="P64" s="519">
        <f>Q6</f>
        <v>1</v>
      </c>
      <c r="Q64" s="520" t="str">
        <f>R6</f>
        <v>Comercial y Servicios Larco S.A.S</v>
      </c>
      <c r="R64" s="520"/>
      <c r="S64" s="520"/>
      <c r="T64" s="520"/>
      <c r="U64" s="520"/>
      <c r="V64" s="520"/>
      <c r="W64" s="520"/>
      <c r="X64" s="520"/>
      <c r="Y64" s="520"/>
    </row>
    <row r="65" spans="2:39" s="375" customFormat="1" ht="107.25" customHeight="1" x14ac:dyDescent="0.25">
      <c r="B65" s="374"/>
      <c r="D65" s="376"/>
      <c r="K65" s="377"/>
      <c r="O65" s="374"/>
      <c r="P65" s="521" t="str">
        <f>IF(AF65*AH65*AJ65*AM65=1,"OK","NO HABILITADO")</f>
        <v>OK</v>
      </c>
      <c r="Q65" s="521"/>
      <c r="R65" s="521"/>
      <c r="S65" s="521"/>
      <c r="T65" s="521"/>
      <c r="U65" s="521"/>
      <c r="V65" s="521"/>
      <c r="W65" s="521"/>
      <c r="X65" s="521"/>
      <c r="Y65" s="521"/>
      <c r="AF65" s="522">
        <f>IF(Y52&lt;1719268792,1,0)</f>
        <v>1</v>
      </c>
      <c r="AH65" s="522">
        <f>IF((X48+X49)&lt;17.09%,1,0)</f>
        <v>1</v>
      </c>
      <c r="AJ65" s="522">
        <f>PRODUCT(AJ10:AJ60)</f>
        <v>1</v>
      </c>
      <c r="AM65" s="522">
        <f>IF(AND(AM63&gt;-0.5%,AM63&lt;0.5%),1,0)</f>
        <v>1</v>
      </c>
    </row>
    <row r="67" spans="2:39" s="375" customFormat="1" ht="60" x14ac:dyDescent="0.25">
      <c r="B67" s="374"/>
      <c r="D67" s="376"/>
      <c r="K67" s="377"/>
      <c r="O67" s="374"/>
      <c r="Q67" s="376"/>
      <c r="X67" s="377"/>
      <c r="AF67" s="523" t="s">
        <v>403</v>
      </c>
      <c r="AH67" s="524" t="s">
        <v>404</v>
      </c>
      <c r="AJ67" s="523" t="s">
        <v>397</v>
      </c>
      <c r="AM67" s="523" t="s">
        <v>400</v>
      </c>
    </row>
    <row r="72" spans="2:39" s="375" customFormat="1" ht="15.75" x14ac:dyDescent="0.25">
      <c r="B72" s="374"/>
      <c r="D72" s="376"/>
      <c r="K72" s="377"/>
      <c r="O72" s="374"/>
      <c r="Q72" s="225" t="s">
        <v>340</v>
      </c>
      <c r="R72" s="225"/>
      <c r="S72" s="115" t="s">
        <v>341</v>
      </c>
      <c r="X72" s="377"/>
    </row>
    <row r="73" spans="2:39" s="375" customFormat="1" ht="47.25" x14ac:dyDescent="0.25">
      <c r="B73" s="374"/>
      <c r="D73" s="376"/>
      <c r="K73" s="377"/>
      <c r="O73" s="374"/>
      <c r="Q73" s="123">
        <v>1</v>
      </c>
      <c r="R73" s="125" t="str">
        <f>VLOOKUP(Q73,LISTA_OFERENTES,2,FALSE)</f>
        <v>Comercial y Servicios Larco S.A.S</v>
      </c>
      <c r="S73" s="125" t="str">
        <f>IF(P65="OK","H","NH")</f>
        <v>H</v>
      </c>
      <c r="X73" s="377"/>
    </row>
  </sheetData>
  <sheetProtection algorithmName="SHA-512" hashValue="fvKbDVknPbo5WMGN0JZvKSEdX/XULMBAJrr1jdj5N4IuUiwxAx0+1muxgHZSNsheSohLsZA95te6YdxnB0xCQA==" saltValue="ui6dpdFGpUyPdusHzz0S5Q==" spinCount="100000" sheet="1" objects="1" scenarios="1"/>
  <mergeCells count="89">
    <mergeCell ref="P39:X39"/>
    <mergeCell ref="P40:X40"/>
    <mergeCell ref="P42:Y42"/>
    <mergeCell ref="P43:W43"/>
    <mergeCell ref="P44:W44"/>
    <mergeCell ref="P51:W51"/>
    <mergeCell ref="P52:X52"/>
    <mergeCell ref="P45:W45"/>
    <mergeCell ref="P46:W46"/>
    <mergeCell ref="P47:W47"/>
    <mergeCell ref="P48:W48"/>
    <mergeCell ref="P49:W49"/>
    <mergeCell ref="P37:X37"/>
    <mergeCell ref="P38:X38"/>
    <mergeCell ref="P6:P8"/>
    <mergeCell ref="Q6:Q8"/>
    <mergeCell ref="R6:Y8"/>
    <mergeCell ref="P24:Y24"/>
    <mergeCell ref="P27:Y27"/>
    <mergeCell ref="P30:Y30"/>
    <mergeCell ref="P33:Y33"/>
    <mergeCell ref="P36:Y36"/>
    <mergeCell ref="C9:L9"/>
    <mergeCell ref="C12:L12"/>
    <mergeCell ref="C15:L15"/>
    <mergeCell ref="C51:J51"/>
    <mergeCell ref="C52:K52"/>
    <mergeCell ref="C40:K40"/>
    <mergeCell ref="C43:J43"/>
    <mergeCell ref="C48:J48"/>
    <mergeCell ref="C42:L42"/>
    <mergeCell ref="C44:J44"/>
    <mergeCell ref="C45:J45"/>
    <mergeCell ref="C46:J46"/>
    <mergeCell ref="C47:J47"/>
    <mergeCell ref="C33:L33"/>
    <mergeCell ref="C18:K18"/>
    <mergeCell ref="C16:K16"/>
    <mergeCell ref="C60:L60"/>
    <mergeCell ref="C36:L36"/>
    <mergeCell ref="C58:L58"/>
    <mergeCell ref="C59:L59"/>
    <mergeCell ref="C53:L53"/>
    <mergeCell ref="C54:L54"/>
    <mergeCell ref="C55:L55"/>
    <mergeCell ref="C56:L56"/>
    <mergeCell ref="C38:K38"/>
    <mergeCell ref="C37:K37"/>
    <mergeCell ref="C49:J49"/>
    <mergeCell ref="C57:L57"/>
    <mergeCell ref="C39:K39"/>
    <mergeCell ref="C17:K17"/>
    <mergeCell ref="C30:L30"/>
    <mergeCell ref="C27:L27"/>
    <mergeCell ref="C24:L24"/>
    <mergeCell ref="C21:L21"/>
    <mergeCell ref="C19:K19"/>
    <mergeCell ref="P60:Y60"/>
    <mergeCell ref="Z1:Z9"/>
    <mergeCell ref="AA1:AA9"/>
    <mergeCell ref="P53:Y53"/>
    <mergeCell ref="P54:Y54"/>
    <mergeCell ref="P55:Y55"/>
    <mergeCell ref="P56:Y56"/>
    <mergeCell ref="P57:Y57"/>
    <mergeCell ref="P9:Y9"/>
    <mergeCell ref="P12:Y12"/>
    <mergeCell ref="P15:Y15"/>
    <mergeCell ref="P16:X16"/>
    <mergeCell ref="P17:X17"/>
    <mergeCell ref="P18:X18"/>
    <mergeCell ref="P19:X19"/>
    <mergeCell ref="P21:Y21"/>
    <mergeCell ref="AM1:AM9"/>
    <mergeCell ref="P65:Y65"/>
    <mergeCell ref="Q64:Y64"/>
    <mergeCell ref="Q72:R72"/>
    <mergeCell ref="AG1:AG9"/>
    <mergeCell ref="AH1:AH9"/>
    <mergeCell ref="AI1:AI9"/>
    <mergeCell ref="AJ1:AJ9"/>
    <mergeCell ref="AL1:AL9"/>
    <mergeCell ref="AB1:AB9"/>
    <mergeCell ref="AC1:AC9"/>
    <mergeCell ref="AD1:AD9"/>
    <mergeCell ref="AE1:AE9"/>
    <mergeCell ref="AF1:AF9"/>
    <mergeCell ref="P58:Y58"/>
    <mergeCell ref="P59:Y59"/>
  </mergeCells>
  <conditionalFormatting sqref="Z10:Z60">
    <cfRule type="cellIs" dxfId="113" priority="52" operator="equal">
      <formula>1</formula>
    </cfRule>
  </conditionalFormatting>
  <conditionalFormatting sqref="Z10">
    <cfRule type="cellIs" dxfId="112" priority="49" operator="equal">
      <formula>0</formula>
    </cfRule>
  </conditionalFormatting>
  <conditionalFormatting sqref="Z11:Z60">
    <cfRule type="cellIs" dxfId="111" priority="48" operator="equal">
      <formula>0</formula>
    </cfRule>
  </conditionalFormatting>
  <conditionalFormatting sqref="AA10:AB60">
    <cfRule type="cellIs" dxfId="110" priority="46" operator="equal">
      <formula>1</formula>
    </cfRule>
  </conditionalFormatting>
  <conditionalFormatting sqref="AA10:AB60">
    <cfRule type="cellIs" dxfId="109" priority="45" operator="equal">
      <formula>0</formula>
    </cfRule>
  </conditionalFormatting>
  <conditionalFormatting sqref="AC10:AC60">
    <cfRule type="cellIs" dxfId="108" priority="44" operator="equal">
      <formula>1</formula>
    </cfRule>
  </conditionalFormatting>
  <conditionalFormatting sqref="AC10:AC60">
    <cfRule type="cellIs" dxfId="107" priority="43" operator="equal">
      <formula>0</formula>
    </cfRule>
  </conditionalFormatting>
  <conditionalFormatting sqref="AD10:AD60">
    <cfRule type="cellIs" dxfId="106" priority="42" operator="equal">
      <formula>1</formula>
    </cfRule>
  </conditionalFormatting>
  <conditionalFormatting sqref="AD10:AD60">
    <cfRule type="cellIs" dxfId="105" priority="41" operator="equal">
      <formula>0</formula>
    </cfRule>
  </conditionalFormatting>
  <conditionalFormatting sqref="AE10:AE12 AE15:AE24 AE27 AE30 AE33 AE36:AE60">
    <cfRule type="cellIs" dxfId="104" priority="40" operator="equal">
      <formula>1</formula>
    </cfRule>
  </conditionalFormatting>
  <conditionalFormatting sqref="AE10:AE12 AE15:AE24 AE27 AE30 AE33 AE36:AE60">
    <cfRule type="cellIs" dxfId="103" priority="39" operator="equal">
      <formula>0</formula>
    </cfRule>
  </conditionalFormatting>
  <conditionalFormatting sqref="AE13:AE14">
    <cfRule type="cellIs" dxfId="102" priority="38" operator="equal">
      <formula>1</formula>
    </cfRule>
  </conditionalFormatting>
  <conditionalFormatting sqref="AE13:AE14">
    <cfRule type="cellIs" dxfId="101" priority="37" operator="equal">
      <formula>0</formula>
    </cfRule>
  </conditionalFormatting>
  <conditionalFormatting sqref="AE25:AE26">
    <cfRule type="cellIs" dxfId="100" priority="36" operator="equal">
      <formula>1</formula>
    </cfRule>
  </conditionalFormatting>
  <conditionalFormatting sqref="AE25:AE26">
    <cfRule type="cellIs" dxfId="99" priority="35" operator="equal">
      <formula>0</formula>
    </cfRule>
  </conditionalFormatting>
  <conditionalFormatting sqref="AE28:AE29">
    <cfRule type="cellIs" dxfId="98" priority="34" operator="equal">
      <formula>1</formula>
    </cfRule>
  </conditionalFormatting>
  <conditionalFormatting sqref="AE28:AE29">
    <cfRule type="cellIs" dxfId="97" priority="33" operator="equal">
      <formula>0</formula>
    </cfRule>
  </conditionalFormatting>
  <conditionalFormatting sqref="AE31:AE32">
    <cfRule type="cellIs" dxfId="96" priority="32" operator="equal">
      <formula>1</formula>
    </cfRule>
  </conditionalFormatting>
  <conditionalFormatting sqref="AE31:AE32">
    <cfRule type="cellIs" dxfId="95" priority="31" operator="equal">
      <formula>0</formula>
    </cfRule>
  </conditionalFormatting>
  <conditionalFormatting sqref="AE34">
    <cfRule type="cellIs" dxfId="94" priority="30" operator="equal">
      <formula>1</formula>
    </cfRule>
  </conditionalFormatting>
  <conditionalFormatting sqref="AE34">
    <cfRule type="cellIs" dxfId="93" priority="29" operator="equal">
      <formula>0</formula>
    </cfRule>
  </conditionalFormatting>
  <conditionalFormatting sqref="AE35">
    <cfRule type="cellIs" dxfId="92" priority="28" operator="equal">
      <formula>1</formula>
    </cfRule>
  </conditionalFormatting>
  <conditionalFormatting sqref="AE35">
    <cfRule type="cellIs" dxfId="91" priority="27" operator="equal">
      <formula>0</formula>
    </cfRule>
  </conditionalFormatting>
  <conditionalFormatting sqref="AF10:AF60">
    <cfRule type="cellIs" dxfId="90" priority="26" operator="equal">
      <formula>1</formula>
    </cfRule>
  </conditionalFormatting>
  <conditionalFormatting sqref="AF10:AF60">
    <cfRule type="cellIs" dxfId="89" priority="25" operator="equal">
      <formula>0</formula>
    </cfRule>
  </conditionalFormatting>
  <conditionalFormatting sqref="AG10:AG60">
    <cfRule type="cellIs" dxfId="88" priority="24" operator="equal">
      <formula>1</formula>
    </cfRule>
  </conditionalFormatting>
  <conditionalFormatting sqref="AG10:AG60">
    <cfRule type="cellIs" dxfId="87" priority="23" operator="equal">
      <formula>0</formula>
    </cfRule>
  </conditionalFormatting>
  <conditionalFormatting sqref="AH10:AH47 AH50:AH60">
    <cfRule type="cellIs" dxfId="86" priority="22" operator="equal">
      <formula>1</formula>
    </cfRule>
  </conditionalFormatting>
  <conditionalFormatting sqref="AH10:AH47 AH50:AH60">
    <cfRule type="cellIs" dxfId="85" priority="21" operator="equal">
      <formula>0</formula>
    </cfRule>
  </conditionalFormatting>
  <conditionalFormatting sqref="AH48:AH49">
    <cfRule type="cellIs" dxfId="84" priority="20" operator="equal">
      <formula>1</formula>
    </cfRule>
  </conditionalFormatting>
  <conditionalFormatting sqref="AH48:AH49">
    <cfRule type="cellIs" dxfId="83" priority="19" operator="equal">
      <formula>0</formula>
    </cfRule>
  </conditionalFormatting>
  <conditionalFormatting sqref="AI10:AI15 AI19:AI60">
    <cfRule type="cellIs" dxfId="82" priority="18" operator="equal">
      <formula>1</formula>
    </cfRule>
  </conditionalFormatting>
  <conditionalFormatting sqref="AI10:AI15 AI19:AI60">
    <cfRule type="cellIs" dxfId="81" priority="17" operator="equal">
      <formula>0</formula>
    </cfRule>
  </conditionalFormatting>
  <conditionalFormatting sqref="AI16:AI18">
    <cfRule type="cellIs" dxfId="80" priority="16" operator="equal">
      <formula>1</formula>
    </cfRule>
  </conditionalFormatting>
  <conditionalFormatting sqref="AI16:AI18">
    <cfRule type="cellIs" dxfId="79" priority="15" operator="equal">
      <formula>0</formula>
    </cfRule>
  </conditionalFormatting>
  <conditionalFormatting sqref="AJ10:AJ60">
    <cfRule type="cellIs" dxfId="78" priority="14" operator="equal">
      <formula>1</formula>
    </cfRule>
  </conditionalFormatting>
  <conditionalFormatting sqref="AJ10:AJ60">
    <cfRule type="cellIs" dxfId="77" priority="13" operator="equal">
      <formula>0</formula>
    </cfRule>
  </conditionalFormatting>
  <conditionalFormatting sqref="AJ65">
    <cfRule type="cellIs" dxfId="76" priority="10" operator="equal">
      <formula>1</formula>
    </cfRule>
  </conditionalFormatting>
  <conditionalFormatting sqref="AJ65">
    <cfRule type="cellIs" dxfId="75" priority="9" operator="equal">
      <formula>0</formula>
    </cfRule>
  </conditionalFormatting>
  <conditionalFormatting sqref="AM65">
    <cfRule type="cellIs" dxfId="74" priority="8" operator="equal">
      <formula>1</formula>
    </cfRule>
  </conditionalFormatting>
  <conditionalFormatting sqref="AM65">
    <cfRule type="cellIs" dxfId="73" priority="7" operator="equal">
      <formula>0</formula>
    </cfRule>
  </conditionalFormatting>
  <conditionalFormatting sqref="AH65">
    <cfRule type="cellIs" dxfId="72" priority="6" operator="equal">
      <formula>1</formula>
    </cfRule>
  </conditionalFormatting>
  <conditionalFormatting sqref="AH65">
    <cfRule type="cellIs" dxfId="71" priority="5" operator="equal">
      <formula>0</formula>
    </cfRule>
  </conditionalFormatting>
  <conditionalFormatting sqref="AF65">
    <cfRule type="cellIs" dxfId="70" priority="4" operator="equal">
      <formula>1</formula>
    </cfRule>
  </conditionalFormatting>
  <conditionalFormatting sqref="AF65">
    <cfRule type="cellIs" dxfId="69" priority="3" operator="equal">
      <formula>0</formula>
    </cfRule>
  </conditionalFormatting>
  <conditionalFormatting sqref="P65:Y65">
    <cfRule type="cellIs" dxfId="68" priority="1" operator="equal">
      <formula>"""NO HABILITADO"""</formula>
    </cfRule>
    <cfRule type="cellIs" dxfId="67" priority="2" operator="equal">
      <formula>"OK"</formula>
    </cfRule>
  </conditionalFormatting>
  <printOptions horizontalCentered="1" verticalCentered="1"/>
  <pageMargins left="0.59055118110236227" right="0.23622047244094491" top="0.35433070866141736" bottom="0.35433070866141736" header="0.31496062992125984" footer="0.31496062992125984"/>
  <pageSetup scale="51"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X128"/>
  <sheetViews>
    <sheetView topLeftCell="G1" zoomScaleNormal="100" workbookViewId="0">
      <selection activeCell="G1" sqref="A1:XFD1048576"/>
    </sheetView>
  </sheetViews>
  <sheetFormatPr baseColWidth="10" defaultRowHeight="15" x14ac:dyDescent="0.25"/>
  <cols>
    <col min="1" max="4" width="11.42578125" style="525"/>
    <col min="5" max="5" width="11.42578125" style="525" customWidth="1"/>
    <col min="6" max="7" width="11.42578125" style="525"/>
    <col min="8" max="8" width="14.85546875" style="525" customWidth="1"/>
    <col min="9" max="9" width="16.28515625" style="525" customWidth="1"/>
    <col min="10" max="11" width="11.42578125" style="525"/>
    <col min="12" max="12" width="15.140625" style="525" customWidth="1"/>
    <col min="13" max="13" width="11.42578125" style="525"/>
    <col min="14" max="14" width="25.28515625" style="525" customWidth="1"/>
    <col min="15" max="15" width="11.42578125" style="525"/>
    <col min="16" max="16" width="17.42578125" style="525" customWidth="1"/>
    <col min="17" max="17" width="18.5703125" style="525" customWidth="1"/>
    <col min="18" max="18" width="16.28515625" style="525" customWidth="1"/>
    <col min="19" max="16384" width="11.42578125" style="525"/>
  </cols>
  <sheetData>
    <row r="1" spans="1:24" x14ac:dyDescent="0.25">
      <c r="S1" s="526" t="s">
        <v>155</v>
      </c>
      <c r="T1" s="526" t="s">
        <v>4</v>
      </c>
      <c r="U1" s="526" t="s">
        <v>154</v>
      </c>
      <c r="V1" s="526" t="s">
        <v>153</v>
      </c>
      <c r="W1" s="526" t="s">
        <v>152</v>
      </c>
      <c r="X1" s="526" t="s">
        <v>396</v>
      </c>
    </row>
    <row r="2" spans="1:24" x14ac:dyDescent="0.25">
      <c r="S2" s="527"/>
      <c r="T2" s="527"/>
      <c r="U2" s="527"/>
      <c r="V2" s="527"/>
      <c r="W2" s="527"/>
      <c r="X2" s="527"/>
    </row>
    <row r="3" spans="1:24" ht="15" customHeight="1" x14ac:dyDescent="0.25">
      <c r="K3" s="380" t="s">
        <v>248</v>
      </c>
      <c r="L3" s="381">
        <v>1</v>
      </c>
      <c r="M3" s="528" t="str">
        <f>+'1_ENTREGA'!B8</f>
        <v>Comercial y Servicios Larco S.A.S</v>
      </c>
      <c r="N3" s="529"/>
      <c r="O3" s="529"/>
      <c r="P3" s="529"/>
      <c r="Q3" s="529"/>
      <c r="R3" s="529"/>
      <c r="S3" s="527"/>
      <c r="T3" s="527"/>
      <c r="U3" s="527"/>
      <c r="V3" s="527"/>
      <c r="W3" s="527"/>
      <c r="X3" s="527"/>
    </row>
    <row r="4" spans="1:24" ht="15" customHeight="1" x14ac:dyDescent="0.25">
      <c r="K4" s="380"/>
      <c r="L4" s="381"/>
      <c r="M4" s="530"/>
      <c r="N4" s="531"/>
      <c r="O4" s="531"/>
      <c r="P4" s="531"/>
      <c r="Q4" s="531"/>
      <c r="R4" s="531"/>
      <c r="S4" s="527"/>
      <c r="T4" s="527"/>
      <c r="U4" s="527"/>
      <c r="V4" s="527"/>
      <c r="W4" s="527"/>
      <c r="X4" s="527"/>
    </row>
    <row r="5" spans="1:24" ht="15.75" customHeight="1" thickBot="1" x14ac:dyDescent="0.3">
      <c r="K5" s="380"/>
      <c r="L5" s="381"/>
      <c r="M5" s="532"/>
      <c r="N5" s="533"/>
      <c r="O5" s="533"/>
      <c r="P5" s="533"/>
      <c r="Q5" s="533"/>
      <c r="R5" s="533"/>
      <c r="S5" s="527"/>
      <c r="T5" s="527"/>
      <c r="U5" s="527"/>
      <c r="V5" s="527"/>
      <c r="W5" s="527"/>
      <c r="X5" s="527"/>
    </row>
    <row r="6" spans="1:24" ht="15.75" customHeight="1" thickBot="1" x14ac:dyDescent="0.3">
      <c r="A6" s="534"/>
      <c r="B6" s="535" t="s">
        <v>223</v>
      </c>
      <c r="C6" s="536"/>
      <c r="D6" s="536"/>
      <c r="E6" s="536"/>
      <c r="F6" s="536"/>
      <c r="G6" s="536"/>
      <c r="H6" s="536"/>
      <c r="I6" s="537"/>
      <c r="K6" s="535" t="s">
        <v>223</v>
      </c>
      <c r="L6" s="536"/>
      <c r="M6" s="536"/>
      <c r="N6" s="536"/>
      <c r="O6" s="536"/>
      <c r="P6" s="536"/>
      <c r="Q6" s="536"/>
      <c r="R6" s="536"/>
      <c r="S6" s="527"/>
      <c r="T6" s="527"/>
      <c r="U6" s="527"/>
      <c r="V6" s="527"/>
      <c r="W6" s="527"/>
      <c r="X6" s="527"/>
    </row>
    <row r="7" spans="1:24" ht="38.25" x14ac:dyDescent="0.25">
      <c r="A7" s="538" t="s">
        <v>225</v>
      </c>
      <c r="B7" s="539" t="s">
        <v>3</v>
      </c>
      <c r="C7" s="540" t="s">
        <v>155</v>
      </c>
      <c r="D7" s="540"/>
      <c r="E7" s="540"/>
      <c r="F7" s="541" t="s">
        <v>4</v>
      </c>
      <c r="G7" s="542" t="s">
        <v>154</v>
      </c>
      <c r="H7" s="542" t="s">
        <v>153</v>
      </c>
      <c r="I7" s="543" t="s">
        <v>152</v>
      </c>
      <c r="K7" s="539" t="s">
        <v>3</v>
      </c>
      <c r="L7" s="540" t="s">
        <v>155</v>
      </c>
      <c r="M7" s="540"/>
      <c r="N7" s="540"/>
      <c r="O7" s="541" t="s">
        <v>4</v>
      </c>
      <c r="P7" s="542" t="s">
        <v>154</v>
      </c>
      <c r="Q7" s="542" t="s">
        <v>153</v>
      </c>
      <c r="R7" s="544" t="s">
        <v>152</v>
      </c>
      <c r="S7" s="545">
        <f t="shared" ref="S7:S38" si="0">IFERROR(IF(EXACT(L7,VLOOKUP(K7,FORMATO_REM,2,FALSE)),1,0),"")</f>
        <v>1</v>
      </c>
      <c r="T7" s="545">
        <f t="shared" ref="T7:T38" si="1">IFERROR(IF(EXACT(O7,VLOOKUP(K7,FORMATO_REM,5,FALSE)),1,0),"")</f>
        <v>1</v>
      </c>
      <c r="U7" s="545">
        <f t="shared" ref="U7:U38" si="2">IFERROR(IF(EXACT(P7,VLOOKUP(K7,FORMATO_REM,6,FALSE)),1,0),"")</f>
        <v>1</v>
      </c>
      <c r="V7" s="545">
        <f>IFERROR(IF(EXACT(Q7,VLOOKUP(K7,FORMATO_REM,7,FALSE)),1,0),"")</f>
        <v>1</v>
      </c>
      <c r="W7" s="545">
        <f>IFERROR(IF(EXACT(R7,VLOOKUP(K7,FORMATO_REM,8,FALSE)),1,0),"")</f>
        <v>1</v>
      </c>
      <c r="X7" s="545">
        <f>PRODUCT(S7:W7)</f>
        <v>1</v>
      </c>
    </row>
    <row r="8" spans="1:24" x14ac:dyDescent="0.25">
      <c r="A8" s="546"/>
      <c r="B8" s="547"/>
      <c r="C8" s="548" t="s">
        <v>151</v>
      </c>
      <c r="D8" s="548"/>
      <c r="E8" s="548"/>
      <c r="F8" s="549"/>
      <c r="G8" s="549"/>
      <c r="H8" s="550"/>
      <c r="I8" s="551"/>
      <c r="K8" s="547"/>
      <c r="L8" s="548" t="s">
        <v>151</v>
      </c>
      <c r="M8" s="548"/>
      <c r="N8" s="548"/>
      <c r="O8" s="549"/>
      <c r="P8" s="549"/>
      <c r="Q8" s="550"/>
      <c r="R8" s="551"/>
      <c r="S8" s="552" t="str">
        <f t="shared" si="0"/>
        <v/>
      </c>
      <c r="T8" s="552" t="str">
        <f t="shared" si="1"/>
        <v/>
      </c>
      <c r="U8" s="552" t="str">
        <f t="shared" si="2"/>
        <v/>
      </c>
      <c r="V8" s="552" t="str">
        <f>IFERROR(IF(EXACT(Q8,VLOOKUP(K8,FORMATO_REM,7,FALSE)),1,0),"")</f>
        <v/>
      </c>
      <c r="W8" s="552" t="str">
        <f>IFERROR(IF(EXACT(R8,VLOOKUP(K8,FORMATO_REM,8,FALSE)),1,0),"")</f>
        <v/>
      </c>
    </row>
    <row r="9" spans="1:24" x14ac:dyDescent="0.25">
      <c r="A9" s="553" t="s">
        <v>226</v>
      </c>
      <c r="B9" s="554">
        <v>1</v>
      </c>
      <c r="C9" s="555" t="s">
        <v>150</v>
      </c>
      <c r="D9" s="555"/>
      <c r="E9" s="555"/>
      <c r="F9" s="556" t="s">
        <v>53</v>
      </c>
      <c r="G9" s="556">
        <v>24</v>
      </c>
      <c r="H9" s="557"/>
      <c r="I9" s="558">
        <f t="shared" ref="I9:I40" si="3">G9*H9</f>
        <v>0</v>
      </c>
      <c r="K9" s="554">
        <v>1</v>
      </c>
      <c r="L9" s="555" t="s">
        <v>150</v>
      </c>
      <c r="M9" s="555"/>
      <c r="N9" s="555"/>
      <c r="O9" s="556" t="s">
        <v>53</v>
      </c>
      <c r="P9" s="556">
        <v>24</v>
      </c>
      <c r="Q9" s="557">
        <v>42750</v>
      </c>
      <c r="R9" s="559">
        <f>P9*Q9</f>
        <v>1026000</v>
      </c>
      <c r="S9" s="545">
        <f t="shared" si="0"/>
        <v>1</v>
      </c>
      <c r="T9" s="545">
        <f t="shared" si="1"/>
        <v>1</v>
      </c>
      <c r="U9" s="545">
        <f t="shared" si="2"/>
        <v>1</v>
      </c>
      <c r="V9" s="545">
        <f>IFERROR(IF(Q9&gt;0,1,0),"")</f>
        <v>1</v>
      </c>
      <c r="W9" s="545">
        <f>IFERROR(IF(R9=P9*Q9,1,0),"")</f>
        <v>1</v>
      </c>
      <c r="X9" s="545">
        <f>PRODUCT(S9:W9)</f>
        <v>1</v>
      </c>
    </row>
    <row r="10" spans="1:24" x14ac:dyDescent="0.25">
      <c r="A10" s="553" t="s">
        <v>226</v>
      </c>
      <c r="B10" s="554">
        <v>2</v>
      </c>
      <c r="C10" s="555" t="s">
        <v>149</v>
      </c>
      <c r="D10" s="555"/>
      <c r="E10" s="555"/>
      <c r="F10" s="556" t="s">
        <v>53</v>
      </c>
      <c r="G10" s="556">
        <v>24</v>
      </c>
      <c r="H10" s="557"/>
      <c r="I10" s="558">
        <f t="shared" si="3"/>
        <v>0</v>
      </c>
      <c r="K10" s="554">
        <v>2</v>
      </c>
      <c r="L10" s="555" t="s">
        <v>149</v>
      </c>
      <c r="M10" s="555"/>
      <c r="N10" s="555"/>
      <c r="O10" s="556" t="s">
        <v>53</v>
      </c>
      <c r="P10" s="556">
        <v>24</v>
      </c>
      <c r="Q10" s="557">
        <v>44250</v>
      </c>
      <c r="R10" s="559">
        <f t="shared" ref="R10:R73" si="4">P10*Q10</f>
        <v>1062000</v>
      </c>
      <c r="S10" s="545">
        <f t="shared" si="0"/>
        <v>1</v>
      </c>
      <c r="T10" s="545">
        <f t="shared" si="1"/>
        <v>1</v>
      </c>
      <c r="U10" s="545">
        <f t="shared" si="2"/>
        <v>1</v>
      </c>
      <c r="V10" s="545">
        <f t="shared" ref="V10:V73" si="5">IFERROR(IF(Q10&gt;0,1,0),"")</f>
        <v>1</v>
      </c>
      <c r="W10" s="545">
        <f t="shared" ref="W10:W73" si="6">IFERROR(IF(R10=P10*Q10,1,0),"")</f>
        <v>1</v>
      </c>
      <c r="X10" s="545">
        <f t="shared" ref="X10:X73" si="7">PRODUCT(S10:W10)</f>
        <v>1</v>
      </c>
    </row>
    <row r="11" spans="1:24" x14ac:dyDescent="0.25">
      <c r="A11" s="553" t="s">
        <v>226</v>
      </c>
      <c r="B11" s="554">
        <v>3</v>
      </c>
      <c r="C11" s="555" t="s">
        <v>148</v>
      </c>
      <c r="D11" s="555"/>
      <c r="E11" s="555"/>
      <c r="F11" s="556" t="s">
        <v>53</v>
      </c>
      <c r="G11" s="556">
        <v>24</v>
      </c>
      <c r="H11" s="557"/>
      <c r="I11" s="558">
        <f t="shared" si="3"/>
        <v>0</v>
      </c>
      <c r="K11" s="554">
        <v>3</v>
      </c>
      <c r="L11" s="555" t="s">
        <v>148</v>
      </c>
      <c r="M11" s="555"/>
      <c r="N11" s="555"/>
      <c r="O11" s="556" t="s">
        <v>53</v>
      </c>
      <c r="P11" s="556">
        <v>24</v>
      </c>
      <c r="Q11" s="557">
        <v>58875</v>
      </c>
      <c r="R11" s="559">
        <f t="shared" si="4"/>
        <v>1413000</v>
      </c>
      <c r="S11" s="545">
        <f t="shared" si="0"/>
        <v>1</v>
      </c>
      <c r="T11" s="545">
        <f t="shared" si="1"/>
        <v>1</v>
      </c>
      <c r="U11" s="545">
        <f t="shared" si="2"/>
        <v>1</v>
      </c>
      <c r="V11" s="545">
        <f t="shared" si="5"/>
        <v>1</v>
      </c>
      <c r="W11" s="545">
        <f t="shared" si="6"/>
        <v>1</v>
      </c>
      <c r="X11" s="545">
        <f t="shared" si="7"/>
        <v>1</v>
      </c>
    </row>
    <row r="12" spans="1:24" x14ac:dyDescent="0.25">
      <c r="A12" s="553" t="s">
        <v>226</v>
      </c>
      <c r="B12" s="554">
        <v>4</v>
      </c>
      <c r="C12" s="555" t="s">
        <v>147</v>
      </c>
      <c r="D12" s="555"/>
      <c r="E12" s="555"/>
      <c r="F12" s="556" t="s">
        <v>53</v>
      </c>
      <c r="G12" s="556">
        <v>20</v>
      </c>
      <c r="H12" s="557"/>
      <c r="I12" s="558">
        <f t="shared" si="3"/>
        <v>0</v>
      </c>
      <c r="K12" s="554">
        <v>4</v>
      </c>
      <c r="L12" s="555" t="s">
        <v>147</v>
      </c>
      <c r="M12" s="555"/>
      <c r="N12" s="555"/>
      <c r="O12" s="556" t="s">
        <v>53</v>
      </c>
      <c r="P12" s="556">
        <v>20</v>
      </c>
      <c r="Q12" s="557">
        <v>5253</v>
      </c>
      <c r="R12" s="559">
        <f t="shared" si="4"/>
        <v>105060</v>
      </c>
      <c r="S12" s="545">
        <f t="shared" si="0"/>
        <v>1</v>
      </c>
      <c r="T12" s="545">
        <f t="shared" si="1"/>
        <v>1</v>
      </c>
      <c r="U12" s="545">
        <f t="shared" si="2"/>
        <v>1</v>
      </c>
      <c r="V12" s="545">
        <f t="shared" si="5"/>
        <v>1</v>
      </c>
      <c r="W12" s="545">
        <f t="shared" si="6"/>
        <v>1</v>
      </c>
      <c r="X12" s="545">
        <f t="shared" si="7"/>
        <v>1</v>
      </c>
    </row>
    <row r="13" spans="1:24" x14ac:dyDescent="0.25">
      <c r="A13" s="553" t="s">
        <v>226</v>
      </c>
      <c r="B13" s="554">
        <v>5</v>
      </c>
      <c r="C13" s="555" t="s">
        <v>146</v>
      </c>
      <c r="D13" s="555"/>
      <c r="E13" s="555"/>
      <c r="F13" s="556" t="s">
        <v>53</v>
      </c>
      <c r="G13" s="556">
        <v>20</v>
      </c>
      <c r="H13" s="557"/>
      <c r="I13" s="558">
        <f t="shared" si="3"/>
        <v>0</v>
      </c>
      <c r="K13" s="554">
        <v>5</v>
      </c>
      <c r="L13" s="555" t="s">
        <v>146</v>
      </c>
      <c r="M13" s="555"/>
      <c r="N13" s="555"/>
      <c r="O13" s="556" t="s">
        <v>53</v>
      </c>
      <c r="P13" s="556">
        <v>20</v>
      </c>
      <c r="Q13" s="557">
        <v>5463</v>
      </c>
      <c r="R13" s="559">
        <f t="shared" si="4"/>
        <v>109260</v>
      </c>
      <c r="S13" s="545">
        <f t="shared" si="0"/>
        <v>1</v>
      </c>
      <c r="T13" s="545">
        <f t="shared" si="1"/>
        <v>1</v>
      </c>
      <c r="U13" s="545">
        <f t="shared" si="2"/>
        <v>1</v>
      </c>
      <c r="V13" s="545">
        <f t="shared" si="5"/>
        <v>1</v>
      </c>
      <c r="W13" s="545">
        <f t="shared" si="6"/>
        <v>1</v>
      </c>
      <c r="X13" s="545">
        <f t="shared" si="7"/>
        <v>1</v>
      </c>
    </row>
    <row r="14" spans="1:24" x14ac:dyDescent="0.25">
      <c r="A14" s="553" t="s">
        <v>226</v>
      </c>
      <c r="B14" s="554">
        <v>6</v>
      </c>
      <c r="C14" s="555" t="s">
        <v>145</v>
      </c>
      <c r="D14" s="555"/>
      <c r="E14" s="555"/>
      <c r="F14" s="556" t="s">
        <v>53</v>
      </c>
      <c r="G14" s="556">
        <v>20</v>
      </c>
      <c r="H14" s="557"/>
      <c r="I14" s="558">
        <f t="shared" si="3"/>
        <v>0</v>
      </c>
      <c r="K14" s="554">
        <v>6</v>
      </c>
      <c r="L14" s="555" t="s">
        <v>145</v>
      </c>
      <c r="M14" s="555"/>
      <c r="N14" s="555"/>
      <c r="O14" s="556" t="s">
        <v>53</v>
      </c>
      <c r="P14" s="556">
        <v>20</v>
      </c>
      <c r="Q14" s="557">
        <v>4625</v>
      </c>
      <c r="R14" s="559">
        <f t="shared" si="4"/>
        <v>92500</v>
      </c>
      <c r="S14" s="545">
        <f t="shared" si="0"/>
        <v>1</v>
      </c>
      <c r="T14" s="545">
        <f t="shared" si="1"/>
        <v>1</v>
      </c>
      <c r="U14" s="545">
        <f t="shared" si="2"/>
        <v>1</v>
      </c>
      <c r="V14" s="545">
        <f t="shared" si="5"/>
        <v>1</v>
      </c>
      <c r="W14" s="545">
        <f t="shared" si="6"/>
        <v>1</v>
      </c>
      <c r="X14" s="545">
        <f t="shared" si="7"/>
        <v>1</v>
      </c>
    </row>
    <row r="15" spans="1:24" x14ac:dyDescent="0.25">
      <c r="A15" s="553" t="s">
        <v>226</v>
      </c>
      <c r="B15" s="554">
        <v>7</v>
      </c>
      <c r="C15" s="555" t="s">
        <v>144</v>
      </c>
      <c r="D15" s="555"/>
      <c r="E15" s="555"/>
      <c r="F15" s="556" t="s">
        <v>4</v>
      </c>
      <c r="G15" s="556">
        <v>20</v>
      </c>
      <c r="H15" s="557"/>
      <c r="I15" s="558">
        <f t="shared" si="3"/>
        <v>0</v>
      </c>
      <c r="K15" s="554">
        <v>7</v>
      </c>
      <c r="L15" s="555" t="s">
        <v>144</v>
      </c>
      <c r="M15" s="555"/>
      <c r="N15" s="555"/>
      <c r="O15" s="556" t="s">
        <v>4</v>
      </c>
      <c r="P15" s="556">
        <v>20</v>
      </c>
      <c r="Q15" s="557">
        <v>8510</v>
      </c>
      <c r="R15" s="559">
        <f t="shared" si="4"/>
        <v>170200</v>
      </c>
      <c r="S15" s="545">
        <f t="shared" si="0"/>
        <v>1</v>
      </c>
      <c r="T15" s="545">
        <f t="shared" si="1"/>
        <v>1</v>
      </c>
      <c r="U15" s="545">
        <f t="shared" si="2"/>
        <v>1</v>
      </c>
      <c r="V15" s="545">
        <f t="shared" si="5"/>
        <v>1</v>
      </c>
      <c r="W15" s="545">
        <f t="shared" si="6"/>
        <v>1</v>
      </c>
      <c r="X15" s="545">
        <f t="shared" si="7"/>
        <v>1</v>
      </c>
    </row>
    <row r="16" spans="1:24" x14ac:dyDescent="0.25">
      <c r="A16" s="553" t="s">
        <v>226</v>
      </c>
      <c r="B16" s="554">
        <v>8</v>
      </c>
      <c r="C16" s="555" t="s">
        <v>143</v>
      </c>
      <c r="D16" s="555"/>
      <c r="E16" s="555"/>
      <c r="F16" s="556" t="s">
        <v>4</v>
      </c>
      <c r="G16" s="556">
        <v>20</v>
      </c>
      <c r="H16" s="557"/>
      <c r="I16" s="558">
        <f t="shared" si="3"/>
        <v>0</v>
      </c>
      <c r="K16" s="554">
        <v>8</v>
      </c>
      <c r="L16" s="555" t="s">
        <v>143</v>
      </c>
      <c r="M16" s="555"/>
      <c r="N16" s="555"/>
      <c r="O16" s="556" t="s">
        <v>4</v>
      </c>
      <c r="P16" s="556">
        <v>20</v>
      </c>
      <c r="Q16" s="557">
        <v>10510</v>
      </c>
      <c r="R16" s="559">
        <f t="shared" si="4"/>
        <v>210200</v>
      </c>
      <c r="S16" s="545">
        <f t="shared" si="0"/>
        <v>1</v>
      </c>
      <c r="T16" s="545">
        <f t="shared" si="1"/>
        <v>1</v>
      </c>
      <c r="U16" s="545">
        <f t="shared" si="2"/>
        <v>1</v>
      </c>
      <c r="V16" s="545">
        <f t="shared" si="5"/>
        <v>1</v>
      </c>
      <c r="W16" s="545">
        <f t="shared" si="6"/>
        <v>1</v>
      </c>
      <c r="X16" s="545">
        <f t="shared" si="7"/>
        <v>1</v>
      </c>
    </row>
    <row r="17" spans="1:24" x14ac:dyDescent="0.25">
      <c r="A17" s="553" t="s">
        <v>226</v>
      </c>
      <c r="B17" s="554">
        <v>9</v>
      </c>
      <c r="C17" s="555" t="s">
        <v>142</v>
      </c>
      <c r="D17" s="555"/>
      <c r="E17" s="555"/>
      <c r="F17" s="556" t="s">
        <v>53</v>
      </c>
      <c r="G17" s="556">
        <v>12</v>
      </c>
      <c r="H17" s="557"/>
      <c r="I17" s="558">
        <f t="shared" si="3"/>
        <v>0</v>
      </c>
      <c r="K17" s="554">
        <v>9</v>
      </c>
      <c r="L17" s="555" t="s">
        <v>142</v>
      </c>
      <c r="M17" s="555"/>
      <c r="N17" s="555"/>
      <c r="O17" s="556" t="s">
        <v>53</v>
      </c>
      <c r="P17" s="556">
        <v>12</v>
      </c>
      <c r="Q17" s="557">
        <v>122050</v>
      </c>
      <c r="R17" s="559">
        <f t="shared" si="4"/>
        <v>1464600</v>
      </c>
      <c r="S17" s="545">
        <f t="shared" si="0"/>
        <v>1</v>
      </c>
      <c r="T17" s="545">
        <f t="shared" si="1"/>
        <v>1</v>
      </c>
      <c r="U17" s="545">
        <f t="shared" si="2"/>
        <v>1</v>
      </c>
      <c r="V17" s="545">
        <f t="shared" si="5"/>
        <v>1</v>
      </c>
      <c r="W17" s="545">
        <f t="shared" si="6"/>
        <v>1</v>
      </c>
      <c r="X17" s="545">
        <f t="shared" si="7"/>
        <v>1</v>
      </c>
    </row>
    <row r="18" spans="1:24" x14ac:dyDescent="0.25">
      <c r="A18" s="553" t="s">
        <v>226</v>
      </c>
      <c r="B18" s="554">
        <v>10</v>
      </c>
      <c r="C18" s="555" t="s">
        <v>141</v>
      </c>
      <c r="D18" s="555"/>
      <c r="E18" s="555"/>
      <c r="F18" s="556" t="s">
        <v>53</v>
      </c>
      <c r="G18" s="556">
        <v>24</v>
      </c>
      <c r="H18" s="557"/>
      <c r="I18" s="558">
        <f t="shared" si="3"/>
        <v>0</v>
      </c>
      <c r="K18" s="554">
        <v>10</v>
      </c>
      <c r="L18" s="555" t="s">
        <v>141</v>
      </c>
      <c r="M18" s="555"/>
      <c r="N18" s="555"/>
      <c r="O18" s="556" t="s">
        <v>53</v>
      </c>
      <c r="P18" s="556">
        <v>24</v>
      </c>
      <c r="Q18" s="557">
        <v>17800</v>
      </c>
      <c r="R18" s="559">
        <f t="shared" si="4"/>
        <v>427200</v>
      </c>
      <c r="S18" s="545">
        <f t="shared" si="0"/>
        <v>1</v>
      </c>
      <c r="T18" s="545">
        <f t="shared" si="1"/>
        <v>1</v>
      </c>
      <c r="U18" s="545">
        <f t="shared" si="2"/>
        <v>1</v>
      </c>
      <c r="V18" s="545">
        <f t="shared" si="5"/>
        <v>1</v>
      </c>
      <c r="W18" s="545">
        <f t="shared" si="6"/>
        <v>1</v>
      </c>
      <c r="X18" s="545">
        <f t="shared" si="7"/>
        <v>1</v>
      </c>
    </row>
    <row r="19" spans="1:24" ht="26.25" customHeight="1" x14ac:dyDescent="0.25">
      <c r="A19" s="553" t="s">
        <v>226</v>
      </c>
      <c r="B19" s="554">
        <v>11</v>
      </c>
      <c r="C19" s="555" t="s">
        <v>140</v>
      </c>
      <c r="D19" s="555" t="s">
        <v>140</v>
      </c>
      <c r="E19" s="555" t="s">
        <v>140</v>
      </c>
      <c r="F19" s="556" t="s">
        <v>53</v>
      </c>
      <c r="G19" s="556">
        <v>8</v>
      </c>
      <c r="H19" s="557"/>
      <c r="I19" s="558">
        <f t="shared" si="3"/>
        <v>0</v>
      </c>
      <c r="K19" s="554">
        <v>11</v>
      </c>
      <c r="L19" s="555" t="s">
        <v>140</v>
      </c>
      <c r="M19" s="555" t="s">
        <v>140</v>
      </c>
      <c r="N19" s="555" t="s">
        <v>140</v>
      </c>
      <c r="O19" s="556" t="s">
        <v>53</v>
      </c>
      <c r="P19" s="556">
        <v>8</v>
      </c>
      <c r="Q19" s="557">
        <v>228050</v>
      </c>
      <c r="R19" s="559">
        <f t="shared" si="4"/>
        <v>1824400</v>
      </c>
      <c r="S19" s="545">
        <f t="shared" si="0"/>
        <v>1</v>
      </c>
      <c r="T19" s="545">
        <f t="shared" si="1"/>
        <v>1</v>
      </c>
      <c r="U19" s="545">
        <f t="shared" si="2"/>
        <v>1</v>
      </c>
      <c r="V19" s="545">
        <f t="shared" si="5"/>
        <v>1</v>
      </c>
      <c r="W19" s="545">
        <f t="shared" si="6"/>
        <v>1</v>
      </c>
      <c r="X19" s="545">
        <f t="shared" si="7"/>
        <v>1</v>
      </c>
    </row>
    <row r="20" spans="1:24" ht="33.75" customHeight="1" x14ac:dyDescent="0.25">
      <c r="A20" s="553" t="s">
        <v>226</v>
      </c>
      <c r="B20" s="554">
        <v>12</v>
      </c>
      <c r="C20" s="555" t="s">
        <v>139</v>
      </c>
      <c r="D20" s="555" t="s">
        <v>139</v>
      </c>
      <c r="E20" s="555" t="s">
        <v>139</v>
      </c>
      <c r="F20" s="556" t="s">
        <v>53</v>
      </c>
      <c r="G20" s="556">
        <v>8</v>
      </c>
      <c r="H20" s="557"/>
      <c r="I20" s="558">
        <f t="shared" si="3"/>
        <v>0</v>
      </c>
      <c r="K20" s="554">
        <v>12</v>
      </c>
      <c r="L20" s="555" t="s">
        <v>139</v>
      </c>
      <c r="M20" s="555" t="s">
        <v>139</v>
      </c>
      <c r="N20" s="555" t="s">
        <v>139</v>
      </c>
      <c r="O20" s="556" t="s">
        <v>53</v>
      </c>
      <c r="P20" s="556">
        <v>8</v>
      </c>
      <c r="Q20" s="557">
        <v>116569</v>
      </c>
      <c r="R20" s="559">
        <f t="shared" si="4"/>
        <v>932552</v>
      </c>
      <c r="S20" s="545">
        <f t="shared" si="0"/>
        <v>1</v>
      </c>
      <c r="T20" s="545">
        <f t="shared" si="1"/>
        <v>1</v>
      </c>
      <c r="U20" s="545">
        <f t="shared" si="2"/>
        <v>1</v>
      </c>
      <c r="V20" s="545">
        <f t="shared" si="5"/>
        <v>1</v>
      </c>
      <c r="W20" s="545">
        <f t="shared" si="6"/>
        <v>1</v>
      </c>
      <c r="X20" s="545">
        <f t="shared" si="7"/>
        <v>1</v>
      </c>
    </row>
    <row r="21" spans="1:24" ht="24.75" customHeight="1" x14ac:dyDescent="0.25">
      <c r="A21" s="553" t="s">
        <v>226</v>
      </c>
      <c r="B21" s="554">
        <v>13</v>
      </c>
      <c r="C21" s="555" t="s">
        <v>138</v>
      </c>
      <c r="D21" s="555" t="s">
        <v>138</v>
      </c>
      <c r="E21" s="555" t="s">
        <v>138</v>
      </c>
      <c r="F21" s="556" t="s">
        <v>53</v>
      </c>
      <c r="G21" s="556">
        <v>8</v>
      </c>
      <c r="H21" s="557"/>
      <c r="I21" s="558">
        <f t="shared" si="3"/>
        <v>0</v>
      </c>
      <c r="K21" s="554">
        <v>13</v>
      </c>
      <c r="L21" s="555" t="s">
        <v>138</v>
      </c>
      <c r="M21" s="555" t="s">
        <v>138</v>
      </c>
      <c r="N21" s="555" t="s">
        <v>138</v>
      </c>
      <c r="O21" s="556" t="s">
        <v>53</v>
      </c>
      <c r="P21" s="556">
        <v>8</v>
      </c>
      <c r="Q21" s="557">
        <v>97625</v>
      </c>
      <c r="R21" s="559">
        <f t="shared" si="4"/>
        <v>781000</v>
      </c>
      <c r="S21" s="545">
        <f t="shared" si="0"/>
        <v>1</v>
      </c>
      <c r="T21" s="545">
        <f t="shared" si="1"/>
        <v>1</v>
      </c>
      <c r="U21" s="545">
        <f t="shared" si="2"/>
        <v>1</v>
      </c>
      <c r="V21" s="545">
        <f t="shared" si="5"/>
        <v>1</v>
      </c>
      <c r="W21" s="545">
        <f t="shared" si="6"/>
        <v>1</v>
      </c>
      <c r="X21" s="545">
        <f t="shared" si="7"/>
        <v>1</v>
      </c>
    </row>
    <row r="22" spans="1:24" x14ac:dyDescent="0.25">
      <c r="A22" s="553" t="s">
        <v>226</v>
      </c>
      <c r="B22" s="554">
        <v>14</v>
      </c>
      <c r="C22" s="555" t="s">
        <v>137</v>
      </c>
      <c r="D22" s="555" t="s">
        <v>137</v>
      </c>
      <c r="E22" s="555" t="s">
        <v>137</v>
      </c>
      <c r="F22" s="556" t="s">
        <v>53</v>
      </c>
      <c r="G22" s="556">
        <v>8</v>
      </c>
      <c r="H22" s="557"/>
      <c r="I22" s="558">
        <f t="shared" si="3"/>
        <v>0</v>
      </c>
      <c r="K22" s="554">
        <v>14</v>
      </c>
      <c r="L22" s="555" t="s">
        <v>137</v>
      </c>
      <c r="M22" s="555" t="s">
        <v>137</v>
      </c>
      <c r="N22" s="555" t="s">
        <v>137</v>
      </c>
      <c r="O22" s="556" t="s">
        <v>53</v>
      </c>
      <c r="P22" s="556">
        <v>8</v>
      </c>
      <c r="Q22" s="557">
        <v>85694</v>
      </c>
      <c r="R22" s="559">
        <f t="shared" si="4"/>
        <v>685552</v>
      </c>
      <c r="S22" s="545">
        <f t="shared" si="0"/>
        <v>1</v>
      </c>
      <c r="T22" s="545">
        <f t="shared" si="1"/>
        <v>1</v>
      </c>
      <c r="U22" s="545">
        <f t="shared" si="2"/>
        <v>1</v>
      </c>
      <c r="V22" s="545">
        <f t="shared" si="5"/>
        <v>1</v>
      </c>
      <c r="W22" s="545">
        <f t="shared" si="6"/>
        <v>1</v>
      </c>
      <c r="X22" s="545">
        <f t="shared" si="7"/>
        <v>1</v>
      </c>
    </row>
    <row r="23" spans="1:24" x14ac:dyDescent="0.25">
      <c r="A23" s="553" t="s">
        <v>226</v>
      </c>
      <c r="B23" s="554">
        <v>15</v>
      </c>
      <c r="C23" s="555" t="s">
        <v>136</v>
      </c>
      <c r="D23" s="555" t="s">
        <v>136</v>
      </c>
      <c r="E23" s="555" t="s">
        <v>136</v>
      </c>
      <c r="F23" s="556" t="s">
        <v>53</v>
      </c>
      <c r="G23" s="556">
        <v>8</v>
      </c>
      <c r="H23" s="557"/>
      <c r="I23" s="558">
        <f t="shared" si="3"/>
        <v>0</v>
      </c>
      <c r="K23" s="554">
        <v>15</v>
      </c>
      <c r="L23" s="555" t="s">
        <v>136</v>
      </c>
      <c r="M23" s="555" t="s">
        <v>136</v>
      </c>
      <c r="N23" s="555" t="s">
        <v>136</v>
      </c>
      <c r="O23" s="556" t="s">
        <v>53</v>
      </c>
      <c r="P23" s="556">
        <v>8</v>
      </c>
      <c r="Q23" s="557">
        <v>80800</v>
      </c>
      <c r="R23" s="559">
        <f t="shared" si="4"/>
        <v>646400</v>
      </c>
      <c r="S23" s="545">
        <f t="shared" si="0"/>
        <v>1</v>
      </c>
      <c r="T23" s="545">
        <f t="shared" si="1"/>
        <v>1</v>
      </c>
      <c r="U23" s="545">
        <f t="shared" si="2"/>
        <v>1</v>
      </c>
      <c r="V23" s="545">
        <f t="shared" si="5"/>
        <v>1</v>
      </c>
      <c r="W23" s="545">
        <f t="shared" si="6"/>
        <v>1</v>
      </c>
      <c r="X23" s="545">
        <f t="shared" si="7"/>
        <v>1</v>
      </c>
    </row>
    <row r="24" spans="1:24" x14ac:dyDescent="0.25">
      <c r="A24" s="553" t="s">
        <v>226</v>
      </c>
      <c r="B24" s="554">
        <v>16</v>
      </c>
      <c r="C24" s="555" t="s">
        <v>135</v>
      </c>
      <c r="D24" s="555" t="s">
        <v>135</v>
      </c>
      <c r="E24" s="555" t="s">
        <v>135</v>
      </c>
      <c r="F24" s="556" t="s">
        <v>53</v>
      </c>
      <c r="G24" s="556">
        <v>60</v>
      </c>
      <c r="H24" s="557"/>
      <c r="I24" s="558">
        <f t="shared" si="3"/>
        <v>0</v>
      </c>
      <c r="K24" s="554">
        <v>16</v>
      </c>
      <c r="L24" s="555" t="s">
        <v>135</v>
      </c>
      <c r="M24" s="555" t="s">
        <v>135</v>
      </c>
      <c r="N24" s="555" t="s">
        <v>135</v>
      </c>
      <c r="O24" s="556" t="s">
        <v>53</v>
      </c>
      <c r="P24" s="556">
        <v>60</v>
      </c>
      <c r="Q24" s="557">
        <v>15906</v>
      </c>
      <c r="R24" s="559">
        <f t="shared" si="4"/>
        <v>954360</v>
      </c>
      <c r="S24" s="545">
        <f t="shared" si="0"/>
        <v>1</v>
      </c>
      <c r="T24" s="545">
        <f t="shared" si="1"/>
        <v>1</v>
      </c>
      <c r="U24" s="545">
        <f t="shared" si="2"/>
        <v>1</v>
      </c>
      <c r="V24" s="545">
        <f t="shared" si="5"/>
        <v>1</v>
      </c>
      <c r="W24" s="545">
        <f t="shared" si="6"/>
        <v>1</v>
      </c>
      <c r="X24" s="545">
        <f t="shared" si="7"/>
        <v>1</v>
      </c>
    </row>
    <row r="25" spans="1:24" x14ac:dyDescent="0.25">
      <c r="A25" s="553" t="s">
        <v>226</v>
      </c>
      <c r="B25" s="554">
        <v>17</v>
      </c>
      <c r="C25" s="555" t="s">
        <v>134</v>
      </c>
      <c r="D25" s="555" t="s">
        <v>134</v>
      </c>
      <c r="E25" s="555" t="s">
        <v>134</v>
      </c>
      <c r="F25" s="556" t="s">
        <v>53</v>
      </c>
      <c r="G25" s="556">
        <v>60</v>
      </c>
      <c r="H25" s="557"/>
      <c r="I25" s="558">
        <f t="shared" si="3"/>
        <v>0</v>
      </c>
      <c r="K25" s="554">
        <v>17</v>
      </c>
      <c r="L25" s="555" t="s">
        <v>134</v>
      </c>
      <c r="M25" s="555" t="s">
        <v>134</v>
      </c>
      <c r="N25" s="555" t="s">
        <v>134</v>
      </c>
      <c r="O25" s="556" t="s">
        <v>53</v>
      </c>
      <c r="P25" s="556">
        <v>60</v>
      </c>
      <c r="Q25" s="557">
        <v>10181</v>
      </c>
      <c r="R25" s="559">
        <f t="shared" si="4"/>
        <v>610860</v>
      </c>
      <c r="S25" s="545">
        <f t="shared" si="0"/>
        <v>1</v>
      </c>
      <c r="T25" s="545">
        <f t="shared" si="1"/>
        <v>1</v>
      </c>
      <c r="U25" s="545">
        <f t="shared" si="2"/>
        <v>1</v>
      </c>
      <c r="V25" s="545">
        <f t="shared" si="5"/>
        <v>1</v>
      </c>
      <c r="W25" s="545">
        <f t="shared" si="6"/>
        <v>1</v>
      </c>
      <c r="X25" s="545">
        <f t="shared" si="7"/>
        <v>1</v>
      </c>
    </row>
    <row r="26" spans="1:24" x14ac:dyDescent="0.25">
      <c r="A26" s="553" t="s">
        <v>226</v>
      </c>
      <c r="B26" s="554">
        <v>18</v>
      </c>
      <c r="C26" s="555" t="s">
        <v>131</v>
      </c>
      <c r="D26" s="555" t="s">
        <v>131</v>
      </c>
      <c r="E26" s="555" t="s">
        <v>131</v>
      </c>
      <c r="F26" s="556" t="s">
        <v>53</v>
      </c>
      <c r="G26" s="556">
        <v>60</v>
      </c>
      <c r="H26" s="557"/>
      <c r="I26" s="558">
        <f t="shared" si="3"/>
        <v>0</v>
      </c>
      <c r="K26" s="554">
        <v>18</v>
      </c>
      <c r="L26" s="555" t="s">
        <v>131</v>
      </c>
      <c r="M26" s="555" t="s">
        <v>131</v>
      </c>
      <c r="N26" s="555" t="s">
        <v>131</v>
      </c>
      <c r="O26" s="556" t="s">
        <v>53</v>
      </c>
      <c r="P26" s="556">
        <v>60</v>
      </c>
      <c r="Q26" s="557">
        <v>6550</v>
      </c>
      <c r="R26" s="559">
        <f t="shared" si="4"/>
        <v>393000</v>
      </c>
      <c r="S26" s="545">
        <f t="shared" si="0"/>
        <v>1</v>
      </c>
      <c r="T26" s="545">
        <f t="shared" si="1"/>
        <v>1</v>
      </c>
      <c r="U26" s="545">
        <f t="shared" si="2"/>
        <v>1</v>
      </c>
      <c r="V26" s="545">
        <f t="shared" si="5"/>
        <v>1</v>
      </c>
      <c r="W26" s="545">
        <f t="shared" si="6"/>
        <v>1</v>
      </c>
      <c r="X26" s="545">
        <f t="shared" si="7"/>
        <v>1</v>
      </c>
    </row>
    <row r="27" spans="1:24" x14ac:dyDescent="0.25">
      <c r="A27" s="553" t="s">
        <v>226</v>
      </c>
      <c r="B27" s="554">
        <v>19</v>
      </c>
      <c r="C27" s="555" t="s">
        <v>133</v>
      </c>
      <c r="D27" s="555" t="s">
        <v>131</v>
      </c>
      <c r="E27" s="555" t="s">
        <v>131</v>
      </c>
      <c r="F27" s="560" t="s">
        <v>71</v>
      </c>
      <c r="G27" s="556">
        <v>60</v>
      </c>
      <c r="H27" s="557"/>
      <c r="I27" s="558">
        <f t="shared" si="3"/>
        <v>0</v>
      </c>
      <c r="K27" s="554">
        <v>19</v>
      </c>
      <c r="L27" s="555" t="s">
        <v>133</v>
      </c>
      <c r="M27" s="555" t="s">
        <v>131</v>
      </c>
      <c r="N27" s="555" t="s">
        <v>131</v>
      </c>
      <c r="O27" s="560" t="s">
        <v>71</v>
      </c>
      <c r="P27" s="556">
        <v>60</v>
      </c>
      <c r="Q27" s="557">
        <v>4500</v>
      </c>
      <c r="R27" s="559">
        <f t="shared" si="4"/>
        <v>270000</v>
      </c>
      <c r="S27" s="545">
        <f t="shared" si="0"/>
        <v>1</v>
      </c>
      <c r="T27" s="545">
        <f t="shared" si="1"/>
        <v>1</v>
      </c>
      <c r="U27" s="545">
        <f t="shared" si="2"/>
        <v>1</v>
      </c>
      <c r="V27" s="545">
        <f t="shared" si="5"/>
        <v>1</v>
      </c>
      <c r="W27" s="545">
        <f t="shared" si="6"/>
        <v>1</v>
      </c>
      <c r="X27" s="545">
        <f t="shared" si="7"/>
        <v>1</v>
      </c>
    </row>
    <row r="28" spans="1:24" x14ac:dyDescent="0.25">
      <c r="A28" s="553" t="s">
        <v>226</v>
      </c>
      <c r="B28" s="554">
        <v>20</v>
      </c>
      <c r="C28" s="555" t="s">
        <v>132</v>
      </c>
      <c r="D28" s="555" t="s">
        <v>131</v>
      </c>
      <c r="E28" s="555" t="s">
        <v>131</v>
      </c>
      <c r="F28" s="560" t="s">
        <v>71</v>
      </c>
      <c r="G28" s="556">
        <v>60</v>
      </c>
      <c r="H28" s="557"/>
      <c r="I28" s="558">
        <f t="shared" si="3"/>
        <v>0</v>
      </c>
      <c r="K28" s="554">
        <v>20</v>
      </c>
      <c r="L28" s="555" t="s">
        <v>132</v>
      </c>
      <c r="M28" s="555" t="s">
        <v>131</v>
      </c>
      <c r="N28" s="555" t="s">
        <v>131</v>
      </c>
      <c r="O28" s="560" t="s">
        <v>71</v>
      </c>
      <c r="P28" s="556">
        <v>60</v>
      </c>
      <c r="Q28" s="557">
        <v>3520</v>
      </c>
      <c r="R28" s="559">
        <f t="shared" si="4"/>
        <v>211200</v>
      </c>
      <c r="S28" s="545">
        <f t="shared" si="0"/>
        <v>1</v>
      </c>
      <c r="T28" s="545">
        <f t="shared" si="1"/>
        <v>1</v>
      </c>
      <c r="U28" s="545">
        <f t="shared" si="2"/>
        <v>1</v>
      </c>
      <c r="V28" s="545">
        <f t="shared" si="5"/>
        <v>1</v>
      </c>
      <c r="W28" s="545">
        <f t="shared" si="6"/>
        <v>1</v>
      </c>
      <c r="X28" s="545">
        <f t="shared" si="7"/>
        <v>1</v>
      </c>
    </row>
    <row r="29" spans="1:24" x14ac:dyDescent="0.25">
      <c r="A29" s="553" t="s">
        <v>226</v>
      </c>
      <c r="B29" s="554">
        <v>21</v>
      </c>
      <c r="C29" s="555" t="s">
        <v>130</v>
      </c>
      <c r="D29" s="555" t="s">
        <v>130</v>
      </c>
      <c r="E29" s="555" t="s">
        <v>130</v>
      </c>
      <c r="F29" s="556" t="s">
        <v>6</v>
      </c>
      <c r="G29" s="556">
        <v>24</v>
      </c>
      <c r="H29" s="557"/>
      <c r="I29" s="558">
        <f t="shared" si="3"/>
        <v>0</v>
      </c>
      <c r="K29" s="554">
        <v>21</v>
      </c>
      <c r="L29" s="555" t="s">
        <v>130</v>
      </c>
      <c r="M29" s="555" t="s">
        <v>130</v>
      </c>
      <c r="N29" s="555" t="s">
        <v>130</v>
      </c>
      <c r="O29" s="556" t="s">
        <v>6</v>
      </c>
      <c r="P29" s="556">
        <v>24</v>
      </c>
      <c r="Q29" s="557">
        <v>53900</v>
      </c>
      <c r="R29" s="559">
        <f t="shared" si="4"/>
        <v>1293600</v>
      </c>
      <c r="S29" s="545">
        <f t="shared" si="0"/>
        <v>1</v>
      </c>
      <c r="T29" s="545">
        <f t="shared" si="1"/>
        <v>1</v>
      </c>
      <c r="U29" s="545">
        <f t="shared" si="2"/>
        <v>1</v>
      </c>
      <c r="V29" s="545">
        <f t="shared" si="5"/>
        <v>1</v>
      </c>
      <c r="W29" s="545">
        <f t="shared" si="6"/>
        <v>1</v>
      </c>
      <c r="X29" s="545">
        <f t="shared" si="7"/>
        <v>1</v>
      </c>
    </row>
    <row r="30" spans="1:24" x14ac:dyDescent="0.25">
      <c r="A30" s="553" t="s">
        <v>226</v>
      </c>
      <c r="B30" s="554">
        <v>22</v>
      </c>
      <c r="C30" s="555" t="s">
        <v>129</v>
      </c>
      <c r="D30" s="555" t="s">
        <v>129</v>
      </c>
      <c r="E30" s="555" t="s">
        <v>129</v>
      </c>
      <c r="F30" s="556" t="s">
        <v>6</v>
      </c>
      <c r="G30" s="556">
        <v>12</v>
      </c>
      <c r="H30" s="557"/>
      <c r="I30" s="558">
        <f t="shared" si="3"/>
        <v>0</v>
      </c>
      <c r="K30" s="554">
        <v>22</v>
      </c>
      <c r="L30" s="555" t="s">
        <v>129</v>
      </c>
      <c r="M30" s="555" t="s">
        <v>129</v>
      </c>
      <c r="N30" s="555" t="s">
        <v>129</v>
      </c>
      <c r="O30" s="556" t="s">
        <v>6</v>
      </c>
      <c r="P30" s="556">
        <v>12</v>
      </c>
      <c r="Q30" s="557">
        <v>93000</v>
      </c>
      <c r="R30" s="559">
        <f t="shared" si="4"/>
        <v>1116000</v>
      </c>
      <c r="S30" s="545">
        <f t="shared" si="0"/>
        <v>1</v>
      </c>
      <c r="T30" s="545">
        <f t="shared" si="1"/>
        <v>1</v>
      </c>
      <c r="U30" s="545">
        <f t="shared" si="2"/>
        <v>1</v>
      </c>
      <c r="V30" s="545">
        <f t="shared" si="5"/>
        <v>1</v>
      </c>
      <c r="W30" s="545">
        <f t="shared" si="6"/>
        <v>1</v>
      </c>
      <c r="X30" s="545">
        <f t="shared" si="7"/>
        <v>1</v>
      </c>
    </row>
    <row r="31" spans="1:24" x14ac:dyDescent="0.25">
      <c r="A31" s="553" t="s">
        <v>226</v>
      </c>
      <c r="B31" s="554">
        <v>23</v>
      </c>
      <c r="C31" s="555" t="s">
        <v>128</v>
      </c>
      <c r="D31" s="555" t="s">
        <v>128</v>
      </c>
      <c r="E31" s="555" t="s">
        <v>128</v>
      </c>
      <c r="F31" s="556" t="s">
        <v>6</v>
      </c>
      <c r="G31" s="556">
        <v>12</v>
      </c>
      <c r="H31" s="557"/>
      <c r="I31" s="558">
        <f t="shared" si="3"/>
        <v>0</v>
      </c>
      <c r="K31" s="554">
        <v>23</v>
      </c>
      <c r="L31" s="555" t="s">
        <v>128</v>
      </c>
      <c r="M31" s="555" t="s">
        <v>128</v>
      </c>
      <c r="N31" s="555" t="s">
        <v>128</v>
      </c>
      <c r="O31" s="556" t="s">
        <v>6</v>
      </c>
      <c r="P31" s="556">
        <v>12</v>
      </c>
      <c r="Q31" s="557">
        <v>93000</v>
      </c>
      <c r="R31" s="559">
        <f t="shared" si="4"/>
        <v>1116000</v>
      </c>
      <c r="S31" s="545">
        <f t="shared" si="0"/>
        <v>1</v>
      </c>
      <c r="T31" s="545">
        <f t="shared" si="1"/>
        <v>1</v>
      </c>
      <c r="U31" s="545">
        <f t="shared" si="2"/>
        <v>1</v>
      </c>
      <c r="V31" s="545">
        <f t="shared" si="5"/>
        <v>1</v>
      </c>
      <c r="W31" s="545">
        <f t="shared" si="6"/>
        <v>1</v>
      </c>
      <c r="X31" s="545">
        <f t="shared" si="7"/>
        <v>1</v>
      </c>
    </row>
    <row r="32" spans="1:24" x14ac:dyDescent="0.25">
      <c r="A32" s="553" t="s">
        <v>226</v>
      </c>
      <c r="B32" s="554">
        <v>24</v>
      </c>
      <c r="C32" s="555" t="s">
        <v>127</v>
      </c>
      <c r="D32" s="555" t="s">
        <v>127</v>
      </c>
      <c r="E32" s="555" t="s">
        <v>127</v>
      </c>
      <c r="F32" s="556" t="s">
        <v>53</v>
      </c>
      <c r="G32" s="556">
        <v>5</v>
      </c>
      <c r="H32" s="557"/>
      <c r="I32" s="558">
        <f t="shared" si="3"/>
        <v>0</v>
      </c>
      <c r="K32" s="554">
        <v>24</v>
      </c>
      <c r="L32" s="555" t="s">
        <v>127</v>
      </c>
      <c r="M32" s="555" t="s">
        <v>127</v>
      </c>
      <c r="N32" s="555" t="s">
        <v>127</v>
      </c>
      <c r="O32" s="556" t="s">
        <v>53</v>
      </c>
      <c r="P32" s="556">
        <v>5</v>
      </c>
      <c r="Q32" s="557">
        <v>423750</v>
      </c>
      <c r="R32" s="559">
        <f t="shared" si="4"/>
        <v>2118750</v>
      </c>
      <c r="S32" s="545">
        <f t="shared" si="0"/>
        <v>1</v>
      </c>
      <c r="T32" s="545">
        <f t="shared" si="1"/>
        <v>1</v>
      </c>
      <c r="U32" s="545">
        <f t="shared" si="2"/>
        <v>1</v>
      </c>
      <c r="V32" s="545">
        <f t="shared" si="5"/>
        <v>1</v>
      </c>
      <c r="W32" s="545">
        <f t="shared" si="6"/>
        <v>1</v>
      </c>
      <c r="X32" s="545">
        <f t="shared" si="7"/>
        <v>1</v>
      </c>
    </row>
    <row r="33" spans="1:24" x14ac:dyDescent="0.25">
      <c r="A33" s="553" t="s">
        <v>226</v>
      </c>
      <c r="B33" s="554">
        <v>25</v>
      </c>
      <c r="C33" s="555" t="s">
        <v>126</v>
      </c>
      <c r="D33" s="555" t="s">
        <v>126</v>
      </c>
      <c r="E33" s="555" t="s">
        <v>126</v>
      </c>
      <c r="F33" s="556" t="s">
        <v>53</v>
      </c>
      <c r="G33" s="556">
        <v>12</v>
      </c>
      <c r="H33" s="557"/>
      <c r="I33" s="558">
        <f t="shared" si="3"/>
        <v>0</v>
      </c>
      <c r="K33" s="554">
        <v>25</v>
      </c>
      <c r="L33" s="555" t="s">
        <v>126</v>
      </c>
      <c r="M33" s="555" t="s">
        <v>126</v>
      </c>
      <c r="N33" s="555" t="s">
        <v>126</v>
      </c>
      <c r="O33" s="556" t="s">
        <v>53</v>
      </c>
      <c r="P33" s="556">
        <v>12</v>
      </c>
      <c r="Q33" s="557">
        <v>52500</v>
      </c>
      <c r="R33" s="559">
        <f t="shared" si="4"/>
        <v>630000</v>
      </c>
      <c r="S33" s="545">
        <f t="shared" si="0"/>
        <v>1</v>
      </c>
      <c r="T33" s="545">
        <f t="shared" si="1"/>
        <v>1</v>
      </c>
      <c r="U33" s="545">
        <f t="shared" si="2"/>
        <v>1</v>
      </c>
      <c r="V33" s="545">
        <f t="shared" si="5"/>
        <v>1</v>
      </c>
      <c r="W33" s="545">
        <f t="shared" si="6"/>
        <v>1</v>
      </c>
      <c r="X33" s="545">
        <f t="shared" si="7"/>
        <v>1</v>
      </c>
    </row>
    <row r="34" spans="1:24" x14ac:dyDescent="0.25">
      <c r="A34" s="553" t="s">
        <v>227</v>
      </c>
      <c r="B34" s="554">
        <v>26</v>
      </c>
      <c r="C34" s="555" t="s">
        <v>125</v>
      </c>
      <c r="D34" s="555" t="s">
        <v>125</v>
      </c>
      <c r="E34" s="555" t="s">
        <v>125</v>
      </c>
      <c r="F34" s="556" t="s">
        <v>6</v>
      </c>
      <c r="G34" s="556">
        <v>20</v>
      </c>
      <c r="H34" s="557"/>
      <c r="I34" s="558">
        <f t="shared" si="3"/>
        <v>0</v>
      </c>
      <c r="K34" s="554">
        <v>26</v>
      </c>
      <c r="L34" s="555" t="s">
        <v>125</v>
      </c>
      <c r="M34" s="555" t="s">
        <v>125</v>
      </c>
      <c r="N34" s="555" t="s">
        <v>125</v>
      </c>
      <c r="O34" s="556" t="s">
        <v>6</v>
      </c>
      <c r="P34" s="556">
        <v>20</v>
      </c>
      <c r="Q34" s="557">
        <v>715000</v>
      </c>
      <c r="R34" s="559">
        <f t="shared" si="4"/>
        <v>14300000</v>
      </c>
      <c r="S34" s="545">
        <f t="shared" si="0"/>
        <v>1</v>
      </c>
      <c r="T34" s="545">
        <f t="shared" si="1"/>
        <v>1</v>
      </c>
      <c r="U34" s="545">
        <f t="shared" si="2"/>
        <v>1</v>
      </c>
      <c r="V34" s="545">
        <f t="shared" si="5"/>
        <v>1</v>
      </c>
      <c r="W34" s="545">
        <f t="shared" si="6"/>
        <v>1</v>
      </c>
      <c r="X34" s="545">
        <f t="shared" si="7"/>
        <v>1</v>
      </c>
    </row>
    <row r="35" spans="1:24" ht="24" customHeight="1" x14ac:dyDescent="0.25">
      <c r="A35" s="553" t="s">
        <v>228</v>
      </c>
      <c r="B35" s="554">
        <v>27</v>
      </c>
      <c r="C35" s="555" t="s">
        <v>124</v>
      </c>
      <c r="D35" s="555" t="s">
        <v>123</v>
      </c>
      <c r="E35" s="555" t="s">
        <v>123</v>
      </c>
      <c r="F35" s="556" t="s">
        <v>122</v>
      </c>
      <c r="G35" s="556">
        <v>48</v>
      </c>
      <c r="H35" s="557"/>
      <c r="I35" s="558">
        <f t="shared" si="3"/>
        <v>0</v>
      </c>
      <c r="K35" s="554">
        <v>27</v>
      </c>
      <c r="L35" s="555" t="s">
        <v>124</v>
      </c>
      <c r="M35" s="555" t="s">
        <v>123</v>
      </c>
      <c r="N35" s="555" t="s">
        <v>123</v>
      </c>
      <c r="O35" s="556" t="s">
        <v>122</v>
      </c>
      <c r="P35" s="556">
        <v>48</v>
      </c>
      <c r="Q35" s="557">
        <v>207990</v>
      </c>
      <c r="R35" s="559">
        <f t="shared" si="4"/>
        <v>9983520</v>
      </c>
      <c r="S35" s="545">
        <f t="shared" si="0"/>
        <v>1</v>
      </c>
      <c r="T35" s="545">
        <f t="shared" si="1"/>
        <v>1</v>
      </c>
      <c r="U35" s="545">
        <f t="shared" si="2"/>
        <v>1</v>
      </c>
      <c r="V35" s="545">
        <f t="shared" si="5"/>
        <v>1</v>
      </c>
      <c r="W35" s="545">
        <f t="shared" si="6"/>
        <v>1</v>
      </c>
      <c r="X35" s="545">
        <f t="shared" si="7"/>
        <v>1</v>
      </c>
    </row>
    <row r="36" spans="1:24" ht="30" customHeight="1" x14ac:dyDescent="0.25">
      <c r="A36" s="553" t="s">
        <v>226</v>
      </c>
      <c r="B36" s="554">
        <v>28</v>
      </c>
      <c r="C36" s="555" t="s">
        <v>121</v>
      </c>
      <c r="D36" s="555" t="s">
        <v>120</v>
      </c>
      <c r="E36" s="555" t="s">
        <v>120</v>
      </c>
      <c r="F36" s="556" t="s">
        <v>71</v>
      </c>
      <c r="G36" s="556">
        <v>48</v>
      </c>
      <c r="H36" s="557"/>
      <c r="I36" s="558">
        <f t="shared" si="3"/>
        <v>0</v>
      </c>
      <c r="K36" s="554">
        <v>28</v>
      </c>
      <c r="L36" s="555" t="s">
        <v>121</v>
      </c>
      <c r="M36" s="555" t="s">
        <v>120</v>
      </c>
      <c r="N36" s="555" t="s">
        <v>120</v>
      </c>
      <c r="O36" s="556" t="s">
        <v>71</v>
      </c>
      <c r="P36" s="556">
        <v>48</v>
      </c>
      <c r="Q36" s="557">
        <v>132420</v>
      </c>
      <c r="R36" s="559">
        <f t="shared" si="4"/>
        <v>6356160</v>
      </c>
      <c r="S36" s="545">
        <f t="shared" si="0"/>
        <v>1</v>
      </c>
      <c r="T36" s="545">
        <f t="shared" si="1"/>
        <v>1</v>
      </c>
      <c r="U36" s="545">
        <f t="shared" si="2"/>
        <v>1</v>
      </c>
      <c r="V36" s="545">
        <f t="shared" si="5"/>
        <v>1</v>
      </c>
      <c r="W36" s="545">
        <f t="shared" si="6"/>
        <v>1</v>
      </c>
      <c r="X36" s="545">
        <f t="shared" si="7"/>
        <v>1</v>
      </c>
    </row>
    <row r="37" spans="1:24" x14ac:dyDescent="0.25">
      <c r="A37" s="553" t="s">
        <v>228</v>
      </c>
      <c r="B37" s="554">
        <v>29</v>
      </c>
      <c r="C37" s="555" t="s">
        <v>119</v>
      </c>
      <c r="D37" s="555" t="s">
        <v>116</v>
      </c>
      <c r="E37" s="555" t="s">
        <v>116</v>
      </c>
      <c r="F37" s="556" t="s">
        <v>53</v>
      </c>
      <c r="G37" s="556">
        <v>20</v>
      </c>
      <c r="H37" s="557"/>
      <c r="I37" s="558">
        <f t="shared" si="3"/>
        <v>0</v>
      </c>
      <c r="K37" s="554">
        <v>29</v>
      </c>
      <c r="L37" s="555" t="s">
        <v>119</v>
      </c>
      <c r="M37" s="555" t="s">
        <v>116</v>
      </c>
      <c r="N37" s="555" t="s">
        <v>116</v>
      </c>
      <c r="O37" s="556" t="s">
        <v>53</v>
      </c>
      <c r="P37" s="556">
        <v>20</v>
      </c>
      <c r="Q37" s="557">
        <v>188750</v>
      </c>
      <c r="R37" s="559">
        <f t="shared" si="4"/>
        <v>3775000</v>
      </c>
      <c r="S37" s="545">
        <f t="shared" si="0"/>
        <v>1</v>
      </c>
      <c r="T37" s="545">
        <f t="shared" si="1"/>
        <v>1</v>
      </c>
      <c r="U37" s="545">
        <f t="shared" si="2"/>
        <v>1</v>
      </c>
      <c r="V37" s="545">
        <f t="shared" si="5"/>
        <v>1</v>
      </c>
      <c r="W37" s="545">
        <f t="shared" si="6"/>
        <v>1</v>
      </c>
      <c r="X37" s="545">
        <f t="shared" si="7"/>
        <v>1</v>
      </c>
    </row>
    <row r="38" spans="1:24" x14ac:dyDescent="0.25">
      <c r="A38" s="553" t="s">
        <v>226</v>
      </c>
      <c r="B38" s="554">
        <v>30</v>
      </c>
      <c r="C38" s="555" t="s">
        <v>118</v>
      </c>
      <c r="D38" s="555" t="s">
        <v>116</v>
      </c>
      <c r="E38" s="555" t="s">
        <v>116</v>
      </c>
      <c r="F38" s="556" t="s">
        <v>53</v>
      </c>
      <c r="G38" s="556">
        <v>20</v>
      </c>
      <c r="H38" s="557"/>
      <c r="I38" s="558">
        <f t="shared" si="3"/>
        <v>0</v>
      </c>
      <c r="K38" s="554">
        <v>30</v>
      </c>
      <c r="L38" s="555" t="s">
        <v>118</v>
      </c>
      <c r="M38" s="555" t="s">
        <v>116</v>
      </c>
      <c r="N38" s="555" t="s">
        <v>116</v>
      </c>
      <c r="O38" s="556" t="s">
        <v>53</v>
      </c>
      <c r="P38" s="556">
        <v>20</v>
      </c>
      <c r="Q38" s="557">
        <v>143750</v>
      </c>
      <c r="R38" s="559">
        <f t="shared" si="4"/>
        <v>2875000</v>
      </c>
      <c r="S38" s="545">
        <f t="shared" si="0"/>
        <v>1</v>
      </c>
      <c r="T38" s="545">
        <f t="shared" si="1"/>
        <v>1</v>
      </c>
      <c r="U38" s="545">
        <f t="shared" si="2"/>
        <v>1</v>
      </c>
      <c r="V38" s="545">
        <f t="shared" si="5"/>
        <v>1</v>
      </c>
      <c r="W38" s="545">
        <f t="shared" si="6"/>
        <v>1</v>
      </c>
      <c r="X38" s="545">
        <f t="shared" si="7"/>
        <v>1</v>
      </c>
    </row>
    <row r="39" spans="1:24" ht="29.25" customHeight="1" x14ac:dyDescent="0.25">
      <c r="A39" s="553" t="s">
        <v>228</v>
      </c>
      <c r="B39" s="554">
        <v>31</v>
      </c>
      <c r="C39" s="555" t="s">
        <v>117</v>
      </c>
      <c r="D39" s="555" t="s">
        <v>116</v>
      </c>
      <c r="E39" s="555" t="s">
        <v>116</v>
      </c>
      <c r="F39" s="556" t="s">
        <v>53</v>
      </c>
      <c r="G39" s="556">
        <v>12</v>
      </c>
      <c r="H39" s="557"/>
      <c r="I39" s="558">
        <f t="shared" si="3"/>
        <v>0</v>
      </c>
      <c r="K39" s="554">
        <v>31</v>
      </c>
      <c r="L39" s="555" t="s">
        <v>117</v>
      </c>
      <c r="M39" s="555" t="s">
        <v>116</v>
      </c>
      <c r="N39" s="555" t="s">
        <v>116</v>
      </c>
      <c r="O39" s="556" t="s">
        <v>53</v>
      </c>
      <c r="P39" s="556">
        <v>12</v>
      </c>
      <c r="Q39" s="557">
        <v>269000</v>
      </c>
      <c r="R39" s="559">
        <f t="shared" si="4"/>
        <v>3228000</v>
      </c>
      <c r="S39" s="545">
        <f t="shared" ref="S39:S70" si="8">IFERROR(IF(EXACT(L39,VLOOKUP(K39,FORMATO_REM,2,FALSE)),1,0),"")</f>
        <v>1</v>
      </c>
      <c r="T39" s="545">
        <f t="shared" ref="T39:T70" si="9">IFERROR(IF(EXACT(O39,VLOOKUP(K39,FORMATO_REM,5,FALSE)),1,0),"")</f>
        <v>1</v>
      </c>
      <c r="U39" s="545">
        <f t="shared" ref="U39:U70" si="10">IFERROR(IF(EXACT(P39,VLOOKUP(K39,FORMATO_REM,6,FALSE)),1,0),"")</f>
        <v>1</v>
      </c>
      <c r="V39" s="545">
        <f t="shared" si="5"/>
        <v>1</v>
      </c>
      <c r="W39" s="545">
        <f t="shared" si="6"/>
        <v>1</v>
      </c>
      <c r="X39" s="545">
        <f t="shared" si="7"/>
        <v>1</v>
      </c>
    </row>
    <row r="40" spans="1:24" x14ac:dyDescent="0.25">
      <c r="A40" s="553" t="s">
        <v>226</v>
      </c>
      <c r="B40" s="554">
        <v>32</v>
      </c>
      <c r="C40" s="555" t="s">
        <v>115</v>
      </c>
      <c r="D40" s="555" t="s">
        <v>115</v>
      </c>
      <c r="E40" s="555" t="s">
        <v>115</v>
      </c>
      <c r="F40" s="556" t="s">
        <v>53</v>
      </c>
      <c r="G40" s="556">
        <v>35</v>
      </c>
      <c r="H40" s="557"/>
      <c r="I40" s="558">
        <f t="shared" si="3"/>
        <v>0</v>
      </c>
      <c r="K40" s="554">
        <v>32</v>
      </c>
      <c r="L40" s="555" t="s">
        <v>115</v>
      </c>
      <c r="M40" s="555" t="s">
        <v>115</v>
      </c>
      <c r="N40" s="555" t="s">
        <v>115</v>
      </c>
      <c r="O40" s="556" t="s">
        <v>53</v>
      </c>
      <c r="P40" s="556">
        <v>35</v>
      </c>
      <c r="Q40" s="557">
        <v>19230</v>
      </c>
      <c r="R40" s="559">
        <f t="shared" si="4"/>
        <v>673050</v>
      </c>
      <c r="S40" s="545">
        <f t="shared" si="8"/>
        <v>1</v>
      </c>
      <c r="T40" s="545">
        <f t="shared" si="9"/>
        <v>1</v>
      </c>
      <c r="U40" s="545">
        <f t="shared" si="10"/>
        <v>1</v>
      </c>
      <c r="V40" s="545">
        <f t="shared" si="5"/>
        <v>1</v>
      </c>
      <c r="W40" s="545">
        <f t="shared" si="6"/>
        <v>1</v>
      </c>
      <c r="X40" s="545">
        <f t="shared" si="7"/>
        <v>1</v>
      </c>
    </row>
    <row r="41" spans="1:24" x14ac:dyDescent="0.25">
      <c r="A41" s="553" t="s">
        <v>226</v>
      </c>
      <c r="B41" s="554">
        <v>33</v>
      </c>
      <c r="C41" s="555" t="s">
        <v>114</v>
      </c>
      <c r="D41" s="555" t="s">
        <v>114</v>
      </c>
      <c r="E41" s="555" t="s">
        <v>114</v>
      </c>
      <c r="F41" s="556" t="s">
        <v>53</v>
      </c>
      <c r="G41" s="556">
        <v>35</v>
      </c>
      <c r="H41" s="557"/>
      <c r="I41" s="558">
        <f t="shared" ref="I41:I72" si="11">G41*H41</f>
        <v>0</v>
      </c>
      <c r="K41" s="554">
        <v>33</v>
      </c>
      <c r="L41" s="555" t="s">
        <v>114</v>
      </c>
      <c r="M41" s="555" t="s">
        <v>114</v>
      </c>
      <c r="N41" s="555" t="s">
        <v>114</v>
      </c>
      <c r="O41" s="556" t="s">
        <v>53</v>
      </c>
      <c r="P41" s="556">
        <v>35</v>
      </c>
      <c r="Q41" s="557">
        <v>19230</v>
      </c>
      <c r="R41" s="559">
        <f t="shared" si="4"/>
        <v>673050</v>
      </c>
      <c r="S41" s="545">
        <f t="shared" si="8"/>
        <v>1</v>
      </c>
      <c r="T41" s="545">
        <f t="shared" si="9"/>
        <v>1</v>
      </c>
      <c r="U41" s="545">
        <f t="shared" si="10"/>
        <v>1</v>
      </c>
      <c r="V41" s="545">
        <f t="shared" si="5"/>
        <v>1</v>
      </c>
      <c r="W41" s="545">
        <f t="shared" si="6"/>
        <v>1</v>
      </c>
      <c r="X41" s="545">
        <f t="shared" si="7"/>
        <v>1</v>
      </c>
    </row>
    <row r="42" spans="1:24" ht="30.75" customHeight="1" x14ac:dyDescent="0.25">
      <c r="A42" s="553" t="s">
        <v>226</v>
      </c>
      <c r="B42" s="554">
        <v>34</v>
      </c>
      <c r="C42" s="561" t="s">
        <v>113</v>
      </c>
      <c r="D42" s="561"/>
      <c r="E42" s="561"/>
      <c r="F42" s="562" t="s">
        <v>6</v>
      </c>
      <c r="G42" s="556">
        <v>8</v>
      </c>
      <c r="H42" s="557"/>
      <c r="I42" s="558">
        <f t="shared" si="11"/>
        <v>0</v>
      </c>
      <c r="K42" s="554">
        <v>34</v>
      </c>
      <c r="L42" s="561" t="s">
        <v>113</v>
      </c>
      <c r="M42" s="561"/>
      <c r="N42" s="561"/>
      <c r="O42" s="562" t="s">
        <v>6</v>
      </c>
      <c r="P42" s="556">
        <v>8</v>
      </c>
      <c r="Q42" s="557">
        <v>133237</v>
      </c>
      <c r="R42" s="559">
        <f t="shared" si="4"/>
        <v>1065896</v>
      </c>
      <c r="S42" s="545">
        <f t="shared" si="8"/>
        <v>1</v>
      </c>
      <c r="T42" s="545">
        <f t="shared" si="9"/>
        <v>1</v>
      </c>
      <c r="U42" s="545">
        <f t="shared" si="10"/>
        <v>1</v>
      </c>
      <c r="V42" s="545">
        <f t="shared" si="5"/>
        <v>1</v>
      </c>
      <c r="W42" s="545">
        <f t="shared" si="6"/>
        <v>1</v>
      </c>
      <c r="X42" s="545">
        <f t="shared" si="7"/>
        <v>1</v>
      </c>
    </row>
    <row r="43" spans="1:24" ht="23.25" customHeight="1" x14ac:dyDescent="0.25">
      <c r="A43" s="553" t="s">
        <v>226</v>
      </c>
      <c r="B43" s="554">
        <v>35</v>
      </c>
      <c r="C43" s="561" t="s">
        <v>112</v>
      </c>
      <c r="D43" s="561"/>
      <c r="E43" s="561"/>
      <c r="F43" s="562" t="s">
        <v>6</v>
      </c>
      <c r="G43" s="556">
        <v>8</v>
      </c>
      <c r="H43" s="557"/>
      <c r="I43" s="558">
        <f t="shared" si="11"/>
        <v>0</v>
      </c>
      <c r="K43" s="554">
        <v>35</v>
      </c>
      <c r="L43" s="561" t="s">
        <v>112</v>
      </c>
      <c r="M43" s="561"/>
      <c r="N43" s="561"/>
      <c r="O43" s="562" t="s">
        <v>6</v>
      </c>
      <c r="P43" s="556">
        <v>8</v>
      </c>
      <c r="Q43" s="557">
        <v>133237</v>
      </c>
      <c r="R43" s="559">
        <f t="shared" si="4"/>
        <v>1065896</v>
      </c>
      <c r="S43" s="545">
        <f t="shared" si="8"/>
        <v>1</v>
      </c>
      <c r="T43" s="545">
        <f t="shared" si="9"/>
        <v>1</v>
      </c>
      <c r="U43" s="545">
        <f t="shared" si="10"/>
        <v>1</v>
      </c>
      <c r="V43" s="545">
        <f t="shared" si="5"/>
        <v>1</v>
      </c>
      <c r="W43" s="545">
        <f t="shared" si="6"/>
        <v>1</v>
      </c>
      <c r="X43" s="545">
        <f t="shared" si="7"/>
        <v>1</v>
      </c>
    </row>
    <row r="44" spans="1:24" ht="27.75" customHeight="1" x14ac:dyDescent="0.25">
      <c r="A44" s="553" t="s">
        <v>226</v>
      </c>
      <c r="B44" s="554">
        <v>36</v>
      </c>
      <c r="C44" s="561" t="s">
        <v>111</v>
      </c>
      <c r="D44" s="561"/>
      <c r="E44" s="561"/>
      <c r="F44" s="562" t="s">
        <v>6</v>
      </c>
      <c r="G44" s="556">
        <v>8</v>
      </c>
      <c r="H44" s="557"/>
      <c r="I44" s="558">
        <f t="shared" si="11"/>
        <v>0</v>
      </c>
      <c r="K44" s="554">
        <v>36</v>
      </c>
      <c r="L44" s="561" t="s">
        <v>111</v>
      </c>
      <c r="M44" s="561"/>
      <c r="N44" s="561"/>
      <c r="O44" s="562" t="s">
        <v>6</v>
      </c>
      <c r="P44" s="556">
        <v>8</v>
      </c>
      <c r="Q44" s="557">
        <v>236000</v>
      </c>
      <c r="R44" s="559">
        <f t="shared" si="4"/>
        <v>1888000</v>
      </c>
      <c r="S44" s="545">
        <f t="shared" si="8"/>
        <v>1</v>
      </c>
      <c r="T44" s="545">
        <f t="shared" si="9"/>
        <v>1</v>
      </c>
      <c r="U44" s="545">
        <f t="shared" si="10"/>
        <v>1</v>
      </c>
      <c r="V44" s="545">
        <f t="shared" si="5"/>
        <v>1</v>
      </c>
      <c r="W44" s="545">
        <f t="shared" si="6"/>
        <v>1</v>
      </c>
      <c r="X44" s="545">
        <f t="shared" si="7"/>
        <v>1</v>
      </c>
    </row>
    <row r="45" spans="1:24" x14ac:dyDescent="0.25">
      <c r="A45" s="553" t="s">
        <v>226</v>
      </c>
      <c r="B45" s="554">
        <v>37</v>
      </c>
      <c r="C45" s="555" t="s">
        <v>110</v>
      </c>
      <c r="D45" s="555" t="s">
        <v>110</v>
      </c>
      <c r="E45" s="555" t="s">
        <v>110</v>
      </c>
      <c r="F45" s="556" t="s">
        <v>5</v>
      </c>
      <c r="G45" s="556">
        <v>100</v>
      </c>
      <c r="H45" s="557"/>
      <c r="I45" s="558">
        <f t="shared" si="11"/>
        <v>0</v>
      </c>
      <c r="K45" s="554">
        <v>37</v>
      </c>
      <c r="L45" s="555" t="s">
        <v>110</v>
      </c>
      <c r="M45" s="555" t="s">
        <v>110</v>
      </c>
      <c r="N45" s="555" t="s">
        <v>110</v>
      </c>
      <c r="O45" s="556" t="s">
        <v>5</v>
      </c>
      <c r="P45" s="556">
        <v>100</v>
      </c>
      <c r="Q45" s="557">
        <v>4771</v>
      </c>
      <c r="R45" s="559">
        <f t="shared" si="4"/>
        <v>477100</v>
      </c>
      <c r="S45" s="545">
        <f t="shared" si="8"/>
        <v>1</v>
      </c>
      <c r="T45" s="545">
        <f t="shared" si="9"/>
        <v>1</v>
      </c>
      <c r="U45" s="545">
        <f t="shared" si="10"/>
        <v>1</v>
      </c>
      <c r="V45" s="545">
        <f t="shared" si="5"/>
        <v>1</v>
      </c>
      <c r="W45" s="545">
        <f t="shared" si="6"/>
        <v>1</v>
      </c>
      <c r="X45" s="545">
        <f t="shared" si="7"/>
        <v>1</v>
      </c>
    </row>
    <row r="46" spans="1:24" x14ac:dyDescent="0.25">
      <c r="A46" s="553" t="s">
        <v>226</v>
      </c>
      <c r="B46" s="554">
        <v>38</v>
      </c>
      <c r="C46" s="555" t="s">
        <v>109</v>
      </c>
      <c r="D46" s="555" t="s">
        <v>109</v>
      </c>
      <c r="E46" s="555" t="s">
        <v>109</v>
      </c>
      <c r="F46" s="556" t="s">
        <v>5</v>
      </c>
      <c r="G46" s="556">
        <v>100</v>
      </c>
      <c r="H46" s="557"/>
      <c r="I46" s="558">
        <f t="shared" si="11"/>
        <v>0</v>
      </c>
      <c r="K46" s="554">
        <v>38</v>
      </c>
      <c r="L46" s="555" t="s">
        <v>109</v>
      </c>
      <c r="M46" s="555" t="s">
        <v>109</v>
      </c>
      <c r="N46" s="555" t="s">
        <v>109</v>
      </c>
      <c r="O46" s="556" t="s">
        <v>5</v>
      </c>
      <c r="P46" s="556">
        <v>100</v>
      </c>
      <c r="Q46" s="557">
        <v>6854</v>
      </c>
      <c r="R46" s="559">
        <f t="shared" si="4"/>
        <v>685400</v>
      </c>
      <c r="S46" s="545">
        <f t="shared" si="8"/>
        <v>1</v>
      </c>
      <c r="T46" s="545">
        <f t="shared" si="9"/>
        <v>1</v>
      </c>
      <c r="U46" s="545">
        <f t="shared" si="10"/>
        <v>1</v>
      </c>
      <c r="V46" s="545">
        <f t="shared" si="5"/>
        <v>1</v>
      </c>
      <c r="W46" s="545">
        <f t="shared" si="6"/>
        <v>1</v>
      </c>
      <c r="X46" s="545">
        <f t="shared" si="7"/>
        <v>1</v>
      </c>
    </row>
    <row r="47" spans="1:24" x14ac:dyDescent="0.25">
      <c r="A47" s="553" t="s">
        <v>226</v>
      </c>
      <c r="B47" s="554">
        <v>39</v>
      </c>
      <c r="C47" s="555" t="s">
        <v>108</v>
      </c>
      <c r="D47" s="555" t="s">
        <v>108</v>
      </c>
      <c r="E47" s="555" t="s">
        <v>108</v>
      </c>
      <c r="F47" s="556" t="s">
        <v>5</v>
      </c>
      <c r="G47" s="556">
        <v>100</v>
      </c>
      <c r="H47" s="557"/>
      <c r="I47" s="558">
        <f t="shared" si="11"/>
        <v>0</v>
      </c>
      <c r="K47" s="554">
        <v>39</v>
      </c>
      <c r="L47" s="555" t="s">
        <v>108</v>
      </c>
      <c r="M47" s="555" t="s">
        <v>108</v>
      </c>
      <c r="N47" s="555" t="s">
        <v>108</v>
      </c>
      <c r="O47" s="556" t="s">
        <v>5</v>
      </c>
      <c r="P47" s="556">
        <v>100</v>
      </c>
      <c r="Q47" s="557">
        <v>8875</v>
      </c>
      <c r="R47" s="559">
        <f t="shared" si="4"/>
        <v>887500</v>
      </c>
      <c r="S47" s="545">
        <f t="shared" si="8"/>
        <v>1</v>
      </c>
      <c r="T47" s="545">
        <f t="shared" si="9"/>
        <v>1</v>
      </c>
      <c r="U47" s="545">
        <f t="shared" si="10"/>
        <v>1</v>
      </c>
      <c r="V47" s="545">
        <f t="shared" si="5"/>
        <v>1</v>
      </c>
      <c r="W47" s="545">
        <f t="shared" si="6"/>
        <v>1</v>
      </c>
      <c r="X47" s="545">
        <f t="shared" si="7"/>
        <v>1</v>
      </c>
    </row>
    <row r="48" spans="1:24" ht="36.75" customHeight="1" x14ac:dyDescent="0.25">
      <c r="A48" s="553" t="s">
        <v>226</v>
      </c>
      <c r="B48" s="554">
        <v>40</v>
      </c>
      <c r="C48" s="561" t="s">
        <v>107</v>
      </c>
      <c r="D48" s="561"/>
      <c r="E48" s="561"/>
      <c r="F48" s="556" t="s">
        <v>5</v>
      </c>
      <c r="G48" s="556">
        <v>20</v>
      </c>
      <c r="H48" s="557"/>
      <c r="I48" s="558">
        <f t="shared" si="11"/>
        <v>0</v>
      </c>
      <c r="K48" s="554">
        <v>40</v>
      </c>
      <c r="L48" s="561" t="s">
        <v>107</v>
      </c>
      <c r="M48" s="561"/>
      <c r="N48" s="561"/>
      <c r="O48" s="556" t="s">
        <v>5</v>
      </c>
      <c r="P48" s="556">
        <v>20</v>
      </c>
      <c r="Q48" s="557">
        <v>20700</v>
      </c>
      <c r="R48" s="559">
        <f t="shared" si="4"/>
        <v>414000</v>
      </c>
      <c r="S48" s="545">
        <f t="shared" si="8"/>
        <v>1</v>
      </c>
      <c r="T48" s="545">
        <f t="shared" si="9"/>
        <v>1</v>
      </c>
      <c r="U48" s="545">
        <f t="shared" si="10"/>
        <v>1</v>
      </c>
      <c r="V48" s="545">
        <f t="shared" si="5"/>
        <v>1</v>
      </c>
      <c r="W48" s="545">
        <f t="shared" si="6"/>
        <v>1</v>
      </c>
      <c r="X48" s="545">
        <f t="shared" si="7"/>
        <v>1</v>
      </c>
    </row>
    <row r="49" spans="1:24" ht="26.25" customHeight="1" x14ac:dyDescent="0.25">
      <c r="A49" s="553" t="s">
        <v>226</v>
      </c>
      <c r="B49" s="554">
        <v>41</v>
      </c>
      <c r="C49" s="561" t="s">
        <v>106</v>
      </c>
      <c r="D49" s="561"/>
      <c r="E49" s="561"/>
      <c r="F49" s="556" t="s">
        <v>5</v>
      </c>
      <c r="G49" s="556">
        <v>20</v>
      </c>
      <c r="H49" s="557"/>
      <c r="I49" s="558">
        <f t="shared" si="11"/>
        <v>0</v>
      </c>
      <c r="K49" s="554">
        <v>41</v>
      </c>
      <c r="L49" s="561" t="s">
        <v>106</v>
      </c>
      <c r="M49" s="561"/>
      <c r="N49" s="561"/>
      <c r="O49" s="556" t="s">
        <v>5</v>
      </c>
      <c r="P49" s="556">
        <v>20</v>
      </c>
      <c r="Q49" s="557">
        <v>31941</v>
      </c>
      <c r="R49" s="559">
        <f t="shared" si="4"/>
        <v>638820</v>
      </c>
      <c r="S49" s="545">
        <f t="shared" si="8"/>
        <v>1</v>
      </c>
      <c r="T49" s="545">
        <f t="shared" si="9"/>
        <v>1</v>
      </c>
      <c r="U49" s="545">
        <f t="shared" si="10"/>
        <v>1</v>
      </c>
      <c r="V49" s="545">
        <f t="shared" si="5"/>
        <v>1</v>
      </c>
      <c r="W49" s="545">
        <f t="shared" si="6"/>
        <v>1</v>
      </c>
      <c r="X49" s="545">
        <f t="shared" si="7"/>
        <v>1</v>
      </c>
    </row>
    <row r="50" spans="1:24" x14ac:dyDescent="0.25">
      <c r="A50" s="553" t="s">
        <v>226</v>
      </c>
      <c r="B50" s="554">
        <v>42</v>
      </c>
      <c r="C50" s="555" t="s">
        <v>105</v>
      </c>
      <c r="D50" s="555" t="s">
        <v>105</v>
      </c>
      <c r="E50" s="555" t="s">
        <v>105</v>
      </c>
      <c r="F50" s="556" t="s">
        <v>53</v>
      </c>
      <c r="G50" s="556">
        <v>120</v>
      </c>
      <c r="H50" s="557"/>
      <c r="I50" s="558">
        <f t="shared" si="11"/>
        <v>0</v>
      </c>
      <c r="K50" s="554">
        <v>42</v>
      </c>
      <c r="L50" s="555" t="s">
        <v>105</v>
      </c>
      <c r="M50" s="555" t="s">
        <v>105</v>
      </c>
      <c r="N50" s="555" t="s">
        <v>105</v>
      </c>
      <c r="O50" s="556" t="s">
        <v>53</v>
      </c>
      <c r="P50" s="556">
        <v>120</v>
      </c>
      <c r="Q50" s="557">
        <v>750</v>
      </c>
      <c r="R50" s="559">
        <f t="shared" si="4"/>
        <v>90000</v>
      </c>
      <c r="S50" s="545">
        <f t="shared" si="8"/>
        <v>1</v>
      </c>
      <c r="T50" s="545">
        <f t="shared" si="9"/>
        <v>1</v>
      </c>
      <c r="U50" s="545">
        <f t="shared" si="10"/>
        <v>1</v>
      </c>
      <c r="V50" s="545">
        <f t="shared" si="5"/>
        <v>1</v>
      </c>
      <c r="W50" s="545">
        <f t="shared" si="6"/>
        <v>1</v>
      </c>
      <c r="X50" s="545">
        <f t="shared" si="7"/>
        <v>1</v>
      </c>
    </row>
    <row r="51" spans="1:24" x14ac:dyDescent="0.25">
      <c r="A51" s="553" t="s">
        <v>226</v>
      </c>
      <c r="B51" s="554">
        <v>43</v>
      </c>
      <c r="C51" s="555" t="s">
        <v>104</v>
      </c>
      <c r="D51" s="555" t="s">
        <v>104</v>
      </c>
      <c r="E51" s="555" t="s">
        <v>104</v>
      </c>
      <c r="F51" s="556" t="s">
        <v>53</v>
      </c>
      <c r="G51" s="556">
        <v>120</v>
      </c>
      <c r="H51" s="557"/>
      <c r="I51" s="558">
        <f t="shared" si="11"/>
        <v>0</v>
      </c>
      <c r="K51" s="554">
        <v>43</v>
      </c>
      <c r="L51" s="555" t="s">
        <v>104</v>
      </c>
      <c r="M51" s="555" t="s">
        <v>104</v>
      </c>
      <c r="N51" s="555" t="s">
        <v>104</v>
      </c>
      <c r="O51" s="556" t="s">
        <v>53</v>
      </c>
      <c r="P51" s="556">
        <v>120</v>
      </c>
      <c r="Q51" s="557">
        <v>1350</v>
      </c>
      <c r="R51" s="559">
        <f t="shared" si="4"/>
        <v>162000</v>
      </c>
      <c r="S51" s="545">
        <f t="shared" si="8"/>
        <v>1</v>
      </c>
      <c r="T51" s="545">
        <f t="shared" si="9"/>
        <v>1</v>
      </c>
      <c r="U51" s="545">
        <f t="shared" si="10"/>
        <v>1</v>
      </c>
      <c r="V51" s="545">
        <f t="shared" si="5"/>
        <v>1</v>
      </c>
      <c r="W51" s="545">
        <f t="shared" si="6"/>
        <v>1</v>
      </c>
      <c r="X51" s="545">
        <f t="shared" si="7"/>
        <v>1</v>
      </c>
    </row>
    <row r="52" spans="1:24" x14ac:dyDescent="0.25">
      <c r="A52" s="553" t="s">
        <v>226</v>
      </c>
      <c r="B52" s="554">
        <v>44</v>
      </c>
      <c r="C52" s="555" t="s">
        <v>103</v>
      </c>
      <c r="D52" s="555" t="s">
        <v>103</v>
      </c>
      <c r="E52" s="555" t="s">
        <v>103</v>
      </c>
      <c r="F52" s="556" t="s">
        <v>53</v>
      </c>
      <c r="G52" s="556">
        <v>120</v>
      </c>
      <c r="H52" s="557"/>
      <c r="I52" s="558">
        <f t="shared" si="11"/>
        <v>0</v>
      </c>
      <c r="K52" s="554">
        <v>44</v>
      </c>
      <c r="L52" s="555" t="s">
        <v>103</v>
      </c>
      <c r="M52" s="555" t="s">
        <v>103</v>
      </c>
      <c r="N52" s="555" t="s">
        <v>103</v>
      </c>
      <c r="O52" s="556" t="s">
        <v>53</v>
      </c>
      <c r="P52" s="556">
        <v>120</v>
      </c>
      <c r="Q52" s="557">
        <v>3000</v>
      </c>
      <c r="R52" s="559">
        <f t="shared" si="4"/>
        <v>360000</v>
      </c>
      <c r="S52" s="545">
        <f t="shared" si="8"/>
        <v>1</v>
      </c>
      <c r="T52" s="545">
        <f t="shared" si="9"/>
        <v>1</v>
      </c>
      <c r="U52" s="545">
        <f t="shared" si="10"/>
        <v>1</v>
      </c>
      <c r="V52" s="545">
        <f t="shared" si="5"/>
        <v>1</v>
      </c>
      <c r="W52" s="545">
        <f t="shared" si="6"/>
        <v>1</v>
      </c>
      <c r="X52" s="545">
        <f t="shared" si="7"/>
        <v>1</v>
      </c>
    </row>
    <row r="53" spans="1:24" x14ac:dyDescent="0.25">
      <c r="A53" s="553" t="s">
        <v>226</v>
      </c>
      <c r="B53" s="554">
        <v>45</v>
      </c>
      <c r="C53" s="555" t="s">
        <v>102</v>
      </c>
      <c r="D53" s="555" t="s">
        <v>102</v>
      </c>
      <c r="E53" s="555" t="s">
        <v>102</v>
      </c>
      <c r="F53" s="556" t="s">
        <v>53</v>
      </c>
      <c r="G53" s="556">
        <v>120</v>
      </c>
      <c r="H53" s="557"/>
      <c r="I53" s="558">
        <f t="shared" si="11"/>
        <v>0</v>
      </c>
      <c r="K53" s="554">
        <v>45</v>
      </c>
      <c r="L53" s="555" t="s">
        <v>102</v>
      </c>
      <c r="M53" s="555" t="s">
        <v>102</v>
      </c>
      <c r="N53" s="555" t="s">
        <v>102</v>
      </c>
      <c r="O53" s="556" t="s">
        <v>53</v>
      </c>
      <c r="P53" s="556">
        <v>120</v>
      </c>
      <c r="Q53" s="557">
        <v>600</v>
      </c>
      <c r="R53" s="559">
        <f t="shared" si="4"/>
        <v>72000</v>
      </c>
      <c r="S53" s="545">
        <f t="shared" si="8"/>
        <v>1</v>
      </c>
      <c r="T53" s="545">
        <f t="shared" si="9"/>
        <v>1</v>
      </c>
      <c r="U53" s="545">
        <f t="shared" si="10"/>
        <v>1</v>
      </c>
      <c r="V53" s="545">
        <f t="shared" si="5"/>
        <v>1</v>
      </c>
      <c r="W53" s="545">
        <f t="shared" si="6"/>
        <v>1</v>
      </c>
      <c r="X53" s="545">
        <f t="shared" si="7"/>
        <v>1</v>
      </c>
    </row>
    <row r="54" spans="1:24" x14ac:dyDescent="0.25">
      <c r="A54" s="553" t="s">
        <v>226</v>
      </c>
      <c r="B54" s="554">
        <v>46</v>
      </c>
      <c r="C54" s="555" t="s">
        <v>101</v>
      </c>
      <c r="D54" s="555" t="s">
        <v>101</v>
      </c>
      <c r="E54" s="555" t="s">
        <v>101</v>
      </c>
      <c r="F54" s="556" t="s">
        <v>53</v>
      </c>
      <c r="G54" s="556">
        <v>120</v>
      </c>
      <c r="H54" s="557"/>
      <c r="I54" s="558">
        <f t="shared" si="11"/>
        <v>0</v>
      </c>
      <c r="K54" s="554">
        <v>46</v>
      </c>
      <c r="L54" s="555" t="s">
        <v>101</v>
      </c>
      <c r="M54" s="555" t="s">
        <v>101</v>
      </c>
      <c r="N54" s="555" t="s">
        <v>101</v>
      </c>
      <c r="O54" s="556" t="s">
        <v>53</v>
      </c>
      <c r="P54" s="556">
        <v>120</v>
      </c>
      <c r="Q54" s="557">
        <v>850</v>
      </c>
      <c r="R54" s="559">
        <f t="shared" si="4"/>
        <v>102000</v>
      </c>
      <c r="S54" s="545">
        <f t="shared" si="8"/>
        <v>1</v>
      </c>
      <c r="T54" s="545">
        <f t="shared" si="9"/>
        <v>1</v>
      </c>
      <c r="U54" s="545">
        <f t="shared" si="10"/>
        <v>1</v>
      </c>
      <c r="V54" s="545">
        <f t="shared" si="5"/>
        <v>1</v>
      </c>
      <c r="W54" s="545">
        <f t="shared" si="6"/>
        <v>1</v>
      </c>
      <c r="X54" s="545">
        <f t="shared" si="7"/>
        <v>1</v>
      </c>
    </row>
    <row r="55" spans="1:24" x14ac:dyDescent="0.25">
      <c r="A55" s="553" t="s">
        <v>226</v>
      </c>
      <c r="B55" s="554">
        <v>47</v>
      </c>
      <c r="C55" s="555" t="s">
        <v>100</v>
      </c>
      <c r="D55" s="555" t="s">
        <v>100</v>
      </c>
      <c r="E55" s="555" t="s">
        <v>100</v>
      </c>
      <c r="F55" s="556" t="s">
        <v>53</v>
      </c>
      <c r="G55" s="556">
        <v>120</v>
      </c>
      <c r="H55" s="557"/>
      <c r="I55" s="558">
        <f t="shared" si="11"/>
        <v>0</v>
      </c>
      <c r="K55" s="554">
        <v>47</v>
      </c>
      <c r="L55" s="555" t="s">
        <v>100</v>
      </c>
      <c r="M55" s="555" t="s">
        <v>100</v>
      </c>
      <c r="N55" s="555" t="s">
        <v>100</v>
      </c>
      <c r="O55" s="556" t="s">
        <v>53</v>
      </c>
      <c r="P55" s="556">
        <v>120</v>
      </c>
      <c r="Q55" s="557">
        <v>1400</v>
      </c>
      <c r="R55" s="559">
        <f t="shared" si="4"/>
        <v>168000</v>
      </c>
      <c r="S55" s="545">
        <f t="shared" si="8"/>
        <v>1</v>
      </c>
      <c r="T55" s="545">
        <f t="shared" si="9"/>
        <v>1</v>
      </c>
      <c r="U55" s="545">
        <f t="shared" si="10"/>
        <v>1</v>
      </c>
      <c r="V55" s="545">
        <f t="shared" si="5"/>
        <v>1</v>
      </c>
      <c r="W55" s="545">
        <f t="shared" si="6"/>
        <v>1</v>
      </c>
      <c r="X55" s="545">
        <f t="shared" si="7"/>
        <v>1</v>
      </c>
    </row>
    <row r="56" spans="1:24" ht="28.5" customHeight="1" x14ac:dyDescent="0.25">
      <c r="A56" s="553" t="s">
        <v>226</v>
      </c>
      <c r="B56" s="554">
        <v>48</v>
      </c>
      <c r="C56" s="555" t="s">
        <v>99</v>
      </c>
      <c r="D56" s="555" t="s">
        <v>99</v>
      </c>
      <c r="E56" s="555" t="s">
        <v>99</v>
      </c>
      <c r="F56" s="556" t="s">
        <v>53</v>
      </c>
      <c r="G56" s="556">
        <v>5</v>
      </c>
      <c r="H56" s="557"/>
      <c r="I56" s="558">
        <f t="shared" si="11"/>
        <v>0</v>
      </c>
      <c r="K56" s="554">
        <v>48</v>
      </c>
      <c r="L56" s="555" t="s">
        <v>99</v>
      </c>
      <c r="M56" s="555" t="s">
        <v>99</v>
      </c>
      <c r="N56" s="555" t="s">
        <v>99</v>
      </c>
      <c r="O56" s="556" t="s">
        <v>53</v>
      </c>
      <c r="P56" s="556">
        <v>5</v>
      </c>
      <c r="Q56" s="557">
        <v>38000</v>
      </c>
      <c r="R56" s="559">
        <f t="shared" si="4"/>
        <v>190000</v>
      </c>
      <c r="S56" s="545">
        <f t="shared" si="8"/>
        <v>1</v>
      </c>
      <c r="T56" s="545">
        <f t="shared" si="9"/>
        <v>1</v>
      </c>
      <c r="U56" s="545">
        <f t="shared" si="10"/>
        <v>1</v>
      </c>
      <c r="V56" s="545">
        <f t="shared" si="5"/>
        <v>1</v>
      </c>
      <c r="W56" s="545">
        <f t="shared" si="6"/>
        <v>1</v>
      </c>
      <c r="X56" s="545">
        <f t="shared" si="7"/>
        <v>1</v>
      </c>
    </row>
    <row r="57" spans="1:24" ht="26.25" customHeight="1" x14ac:dyDescent="0.25">
      <c r="A57" s="553" t="s">
        <v>226</v>
      </c>
      <c r="B57" s="554">
        <v>49</v>
      </c>
      <c r="C57" s="555" t="s">
        <v>98</v>
      </c>
      <c r="D57" s="555" t="s">
        <v>98</v>
      </c>
      <c r="E57" s="555" t="s">
        <v>98</v>
      </c>
      <c r="F57" s="556" t="s">
        <v>53</v>
      </c>
      <c r="G57" s="556">
        <v>5</v>
      </c>
      <c r="H57" s="557"/>
      <c r="I57" s="558">
        <f t="shared" si="11"/>
        <v>0</v>
      </c>
      <c r="K57" s="554">
        <v>49</v>
      </c>
      <c r="L57" s="555" t="s">
        <v>98</v>
      </c>
      <c r="M57" s="555" t="s">
        <v>98</v>
      </c>
      <c r="N57" s="555" t="s">
        <v>98</v>
      </c>
      <c r="O57" s="556" t="s">
        <v>53</v>
      </c>
      <c r="P57" s="556">
        <v>5</v>
      </c>
      <c r="Q57" s="557">
        <v>102000</v>
      </c>
      <c r="R57" s="559">
        <f t="shared" si="4"/>
        <v>510000</v>
      </c>
      <c r="S57" s="545">
        <f t="shared" si="8"/>
        <v>1</v>
      </c>
      <c r="T57" s="545">
        <f t="shared" si="9"/>
        <v>1</v>
      </c>
      <c r="U57" s="545">
        <f t="shared" si="10"/>
        <v>1</v>
      </c>
      <c r="V57" s="545">
        <f t="shared" si="5"/>
        <v>1</v>
      </c>
      <c r="W57" s="545">
        <f t="shared" si="6"/>
        <v>1</v>
      </c>
      <c r="X57" s="545">
        <f t="shared" si="7"/>
        <v>1</v>
      </c>
    </row>
    <row r="58" spans="1:24" x14ac:dyDescent="0.25">
      <c r="A58" s="553" t="s">
        <v>226</v>
      </c>
      <c r="B58" s="554">
        <v>50</v>
      </c>
      <c r="C58" s="555" t="s">
        <v>97</v>
      </c>
      <c r="D58" s="555" t="s">
        <v>97</v>
      </c>
      <c r="E58" s="555" t="s">
        <v>97</v>
      </c>
      <c r="F58" s="556" t="s">
        <v>53</v>
      </c>
      <c r="G58" s="556">
        <v>8</v>
      </c>
      <c r="H58" s="557"/>
      <c r="I58" s="558">
        <f t="shared" si="11"/>
        <v>0</v>
      </c>
      <c r="K58" s="554">
        <v>50</v>
      </c>
      <c r="L58" s="555" t="s">
        <v>97</v>
      </c>
      <c r="M58" s="555" t="s">
        <v>97</v>
      </c>
      <c r="N58" s="555" t="s">
        <v>97</v>
      </c>
      <c r="O58" s="556" t="s">
        <v>53</v>
      </c>
      <c r="P58" s="556">
        <v>8</v>
      </c>
      <c r="Q58" s="557">
        <v>450</v>
      </c>
      <c r="R58" s="559">
        <f t="shared" si="4"/>
        <v>3600</v>
      </c>
      <c r="S58" s="545">
        <f t="shared" si="8"/>
        <v>1</v>
      </c>
      <c r="T58" s="545">
        <f t="shared" si="9"/>
        <v>1</v>
      </c>
      <c r="U58" s="545">
        <f t="shared" si="10"/>
        <v>1</v>
      </c>
      <c r="V58" s="545">
        <f t="shared" si="5"/>
        <v>1</v>
      </c>
      <c r="W58" s="545">
        <f t="shared" si="6"/>
        <v>1</v>
      </c>
      <c r="X58" s="545">
        <f t="shared" si="7"/>
        <v>1</v>
      </c>
    </row>
    <row r="59" spans="1:24" x14ac:dyDescent="0.25">
      <c r="A59" s="553" t="s">
        <v>226</v>
      </c>
      <c r="B59" s="554">
        <v>51</v>
      </c>
      <c r="C59" s="555" t="s">
        <v>96</v>
      </c>
      <c r="D59" s="555" t="s">
        <v>96</v>
      </c>
      <c r="E59" s="555" t="s">
        <v>96</v>
      </c>
      <c r="F59" s="556" t="s">
        <v>53</v>
      </c>
      <c r="G59" s="556">
        <v>8</v>
      </c>
      <c r="H59" s="557"/>
      <c r="I59" s="558">
        <f t="shared" si="11"/>
        <v>0</v>
      </c>
      <c r="K59" s="554">
        <v>51</v>
      </c>
      <c r="L59" s="555" t="s">
        <v>96</v>
      </c>
      <c r="M59" s="555" t="s">
        <v>96</v>
      </c>
      <c r="N59" s="555" t="s">
        <v>96</v>
      </c>
      <c r="O59" s="556" t="s">
        <v>53</v>
      </c>
      <c r="P59" s="556">
        <v>8</v>
      </c>
      <c r="Q59" s="557">
        <v>1350</v>
      </c>
      <c r="R59" s="559">
        <f t="shared" si="4"/>
        <v>10800</v>
      </c>
      <c r="S59" s="545">
        <f t="shared" si="8"/>
        <v>1</v>
      </c>
      <c r="T59" s="545">
        <f t="shared" si="9"/>
        <v>1</v>
      </c>
      <c r="U59" s="545">
        <f t="shared" si="10"/>
        <v>1</v>
      </c>
      <c r="V59" s="545">
        <f t="shared" si="5"/>
        <v>1</v>
      </c>
      <c r="W59" s="545">
        <f t="shared" si="6"/>
        <v>1</v>
      </c>
      <c r="X59" s="545">
        <f t="shared" si="7"/>
        <v>1</v>
      </c>
    </row>
    <row r="60" spans="1:24" x14ac:dyDescent="0.25">
      <c r="A60" s="553" t="s">
        <v>226</v>
      </c>
      <c r="B60" s="554">
        <v>52</v>
      </c>
      <c r="C60" s="555" t="s">
        <v>95</v>
      </c>
      <c r="D60" s="555" t="s">
        <v>95</v>
      </c>
      <c r="E60" s="555" t="s">
        <v>95</v>
      </c>
      <c r="F60" s="556" t="s">
        <v>53</v>
      </c>
      <c r="G60" s="556">
        <v>8</v>
      </c>
      <c r="H60" s="557"/>
      <c r="I60" s="558">
        <f t="shared" si="11"/>
        <v>0</v>
      </c>
      <c r="K60" s="554">
        <v>52</v>
      </c>
      <c r="L60" s="555" t="s">
        <v>95</v>
      </c>
      <c r="M60" s="555" t="s">
        <v>95</v>
      </c>
      <c r="N60" s="555" t="s">
        <v>95</v>
      </c>
      <c r="O60" s="556" t="s">
        <v>53</v>
      </c>
      <c r="P60" s="556">
        <v>8</v>
      </c>
      <c r="Q60" s="557">
        <v>2350</v>
      </c>
      <c r="R60" s="559">
        <f t="shared" si="4"/>
        <v>18800</v>
      </c>
      <c r="S60" s="545">
        <f t="shared" si="8"/>
        <v>1</v>
      </c>
      <c r="T60" s="545">
        <f t="shared" si="9"/>
        <v>1</v>
      </c>
      <c r="U60" s="545">
        <f t="shared" si="10"/>
        <v>1</v>
      </c>
      <c r="V60" s="545">
        <f t="shared" si="5"/>
        <v>1</v>
      </c>
      <c r="W60" s="545">
        <f t="shared" si="6"/>
        <v>1</v>
      </c>
      <c r="X60" s="545">
        <f t="shared" si="7"/>
        <v>1</v>
      </c>
    </row>
    <row r="61" spans="1:24" x14ac:dyDescent="0.25">
      <c r="A61" s="553" t="s">
        <v>226</v>
      </c>
      <c r="B61" s="554">
        <v>53</v>
      </c>
      <c r="C61" s="555" t="s">
        <v>94</v>
      </c>
      <c r="D61" s="555" t="s">
        <v>94</v>
      </c>
      <c r="E61" s="555" t="s">
        <v>94</v>
      </c>
      <c r="F61" s="556" t="s">
        <v>53</v>
      </c>
      <c r="G61" s="556">
        <v>8</v>
      </c>
      <c r="H61" s="557"/>
      <c r="I61" s="558">
        <f t="shared" si="11"/>
        <v>0</v>
      </c>
      <c r="K61" s="554">
        <v>53</v>
      </c>
      <c r="L61" s="555" t="s">
        <v>94</v>
      </c>
      <c r="M61" s="555" t="s">
        <v>94</v>
      </c>
      <c r="N61" s="555" t="s">
        <v>94</v>
      </c>
      <c r="O61" s="556" t="s">
        <v>53</v>
      </c>
      <c r="P61" s="556">
        <v>8</v>
      </c>
      <c r="Q61" s="557">
        <v>650</v>
      </c>
      <c r="R61" s="559">
        <f t="shared" si="4"/>
        <v>5200</v>
      </c>
      <c r="S61" s="545">
        <f t="shared" si="8"/>
        <v>1</v>
      </c>
      <c r="T61" s="545">
        <f t="shared" si="9"/>
        <v>1</v>
      </c>
      <c r="U61" s="545">
        <f t="shared" si="10"/>
        <v>1</v>
      </c>
      <c r="V61" s="545">
        <f t="shared" si="5"/>
        <v>1</v>
      </c>
      <c r="W61" s="545">
        <f t="shared" si="6"/>
        <v>1</v>
      </c>
      <c r="X61" s="545">
        <f t="shared" si="7"/>
        <v>1</v>
      </c>
    </row>
    <row r="62" spans="1:24" x14ac:dyDescent="0.25">
      <c r="A62" s="553" t="s">
        <v>226</v>
      </c>
      <c r="B62" s="554">
        <v>54</v>
      </c>
      <c r="C62" s="555" t="s">
        <v>93</v>
      </c>
      <c r="D62" s="555" t="s">
        <v>93</v>
      </c>
      <c r="E62" s="555" t="s">
        <v>93</v>
      </c>
      <c r="F62" s="556" t="s">
        <v>53</v>
      </c>
      <c r="G62" s="556">
        <v>8</v>
      </c>
      <c r="H62" s="557"/>
      <c r="I62" s="558">
        <f t="shared" si="11"/>
        <v>0</v>
      </c>
      <c r="K62" s="554">
        <v>54</v>
      </c>
      <c r="L62" s="555" t="s">
        <v>93</v>
      </c>
      <c r="M62" s="555" t="s">
        <v>93</v>
      </c>
      <c r="N62" s="555" t="s">
        <v>93</v>
      </c>
      <c r="O62" s="556" t="s">
        <v>53</v>
      </c>
      <c r="P62" s="556">
        <v>8</v>
      </c>
      <c r="Q62" s="557">
        <v>1350</v>
      </c>
      <c r="R62" s="559">
        <f t="shared" si="4"/>
        <v>10800</v>
      </c>
      <c r="S62" s="545">
        <f t="shared" si="8"/>
        <v>1</v>
      </c>
      <c r="T62" s="545">
        <f t="shared" si="9"/>
        <v>1</v>
      </c>
      <c r="U62" s="545">
        <f t="shared" si="10"/>
        <v>1</v>
      </c>
      <c r="V62" s="545">
        <f t="shared" si="5"/>
        <v>1</v>
      </c>
      <c r="W62" s="545">
        <f t="shared" si="6"/>
        <v>1</v>
      </c>
      <c r="X62" s="545">
        <f t="shared" si="7"/>
        <v>1</v>
      </c>
    </row>
    <row r="63" spans="1:24" x14ac:dyDescent="0.25">
      <c r="A63" s="553" t="s">
        <v>226</v>
      </c>
      <c r="B63" s="554">
        <v>55</v>
      </c>
      <c r="C63" s="555" t="s">
        <v>92</v>
      </c>
      <c r="D63" s="555" t="s">
        <v>92</v>
      </c>
      <c r="E63" s="555" t="s">
        <v>92</v>
      </c>
      <c r="F63" s="556" t="s">
        <v>53</v>
      </c>
      <c r="G63" s="556">
        <v>8</v>
      </c>
      <c r="H63" s="557"/>
      <c r="I63" s="558">
        <f t="shared" si="11"/>
        <v>0</v>
      </c>
      <c r="K63" s="554">
        <v>55</v>
      </c>
      <c r="L63" s="555" t="s">
        <v>92</v>
      </c>
      <c r="M63" s="555" t="s">
        <v>92</v>
      </c>
      <c r="N63" s="555" t="s">
        <v>92</v>
      </c>
      <c r="O63" s="556" t="s">
        <v>53</v>
      </c>
      <c r="P63" s="556">
        <v>8</v>
      </c>
      <c r="Q63" s="557">
        <v>2500</v>
      </c>
      <c r="R63" s="559">
        <f t="shared" si="4"/>
        <v>20000</v>
      </c>
      <c r="S63" s="545">
        <f t="shared" si="8"/>
        <v>1</v>
      </c>
      <c r="T63" s="545">
        <f t="shared" si="9"/>
        <v>1</v>
      </c>
      <c r="U63" s="545">
        <f t="shared" si="10"/>
        <v>1</v>
      </c>
      <c r="V63" s="545">
        <f t="shared" si="5"/>
        <v>1</v>
      </c>
      <c r="W63" s="545">
        <f t="shared" si="6"/>
        <v>1</v>
      </c>
      <c r="X63" s="545">
        <f t="shared" si="7"/>
        <v>1</v>
      </c>
    </row>
    <row r="64" spans="1:24" x14ac:dyDescent="0.25">
      <c r="A64" s="553" t="s">
        <v>226</v>
      </c>
      <c r="B64" s="554">
        <v>56</v>
      </c>
      <c r="C64" s="555" t="s">
        <v>91</v>
      </c>
      <c r="D64" s="555" t="s">
        <v>91</v>
      </c>
      <c r="E64" s="555" t="s">
        <v>91</v>
      </c>
      <c r="F64" s="556" t="s">
        <v>53</v>
      </c>
      <c r="G64" s="556">
        <v>5</v>
      </c>
      <c r="H64" s="557"/>
      <c r="I64" s="558">
        <f t="shared" si="11"/>
        <v>0</v>
      </c>
      <c r="K64" s="554">
        <v>56</v>
      </c>
      <c r="L64" s="555" t="s">
        <v>91</v>
      </c>
      <c r="M64" s="555" t="s">
        <v>91</v>
      </c>
      <c r="N64" s="555" t="s">
        <v>91</v>
      </c>
      <c r="O64" s="556" t="s">
        <v>53</v>
      </c>
      <c r="P64" s="556">
        <v>5</v>
      </c>
      <c r="Q64" s="557">
        <v>76600</v>
      </c>
      <c r="R64" s="559">
        <f t="shared" si="4"/>
        <v>383000</v>
      </c>
      <c r="S64" s="545">
        <f t="shared" si="8"/>
        <v>1</v>
      </c>
      <c r="T64" s="545">
        <f t="shared" si="9"/>
        <v>1</v>
      </c>
      <c r="U64" s="545">
        <f t="shared" si="10"/>
        <v>1</v>
      </c>
      <c r="V64" s="545">
        <f t="shared" si="5"/>
        <v>1</v>
      </c>
      <c r="W64" s="545">
        <f t="shared" si="6"/>
        <v>1</v>
      </c>
      <c r="X64" s="545">
        <f t="shared" si="7"/>
        <v>1</v>
      </c>
    </row>
    <row r="65" spans="1:24" x14ac:dyDescent="0.25">
      <c r="A65" s="553" t="s">
        <v>226</v>
      </c>
      <c r="B65" s="554">
        <v>57</v>
      </c>
      <c r="C65" s="555" t="s">
        <v>90</v>
      </c>
      <c r="D65" s="555" t="s">
        <v>90</v>
      </c>
      <c r="E65" s="555" t="s">
        <v>90</v>
      </c>
      <c r="F65" s="556" t="s">
        <v>53</v>
      </c>
      <c r="G65" s="556">
        <v>5</v>
      </c>
      <c r="H65" s="557"/>
      <c r="I65" s="558">
        <f t="shared" si="11"/>
        <v>0</v>
      </c>
      <c r="K65" s="554">
        <v>57</v>
      </c>
      <c r="L65" s="555" t="s">
        <v>90</v>
      </c>
      <c r="M65" s="555" t="s">
        <v>90</v>
      </c>
      <c r="N65" s="555" t="s">
        <v>90</v>
      </c>
      <c r="O65" s="556" t="s">
        <v>53</v>
      </c>
      <c r="P65" s="556">
        <v>5</v>
      </c>
      <c r="Q65" s="557">
        <v>37000</v>
      </c>
      <c r="R65" s="559">
        <f t="shared" si="4"/>
        <v>185000</v>
      </c>
      <c r="S65" s="545">
        <f t="shared" si="8"/>
        <v>1</v>
      </c>
      <c r="T65" s="545">
        <f t="shared" si="9"/>
        <v>1</v>
      </c>
      <c r="U65" s="545">
        <f t="shared" si="10"/>
        <v>1</v>
      </c>
      <c r="V65" s="545">
        <f t="shared" si="5"/>
        <v>1</v>
      </c>
      <c r="W65" s="545">
        <f t="shared" si="6"/>
        <v>1</v>
      </c>
      <c r="X65" s="545">
        <f t="shared" si="7"/>
        <v>1</v>
      </c>
    </row>
    <row r="66" spans="1:24" x14ac:dyDescent="0.25">
      <c r="A66" s="553" t="s">
        <v>226</v>
      </c>
      <c r="B66" s="554">
        <v>58</v>
      </c>
      <c r="C66" s="555" t="s">
        <v>89</v>
      </c>
      <c r="D66" s="555" t="s">
        <v>89</v>
      </c>
      <c r="E66" s="555" t="s">
        <v>89</v>
      </c>
      <c r="F66" s="556" t="s">
        <v>53</v>
      </c>
      <c r="G66" s="556">
        <v>8</v>
      </c>
      <c r="H66" s="557"/>
      <c r="I66" s="558">
        <f t="shared" si="11"/>
        <v>0</v>
      </c>
      <c r="K66" s="554">
        <v>58</v>
      </c>
      <c r="L66" s="555" t="s">
        <v>89</v>
      </c>
      <c r="M66" s="555" t="s">
        <v>89</v>
      </c>
      <c r="N66" s="555" t="s">
        <v>89</v>
      </c>
      <c r="O66" s="556" t="s">
        <v>53</v>
      </c>
      <c r="P66" s="556">
        <v>8</v>
      </c>
      <c r="Q66" s="557">
        <v>34000</v>
      </c>
      <c r="R66" s="559">
        <f t="shared" si="4"/>
        <v>272000</v>
      </c>
      <c r="S66" s="545">
        <f t="shared" si="8"/>
        <v>1</v>
      </c>
      <c r="T66" s="545">
        <f t="shared" si="9"/>
        <v>1</v>
      </c>
      <c r="U66" s="545">
        <f t="shared" si="10"/>
        <v>1</v>
      </c>
      <c r="V66" s="545">
        <f t="shared" si="5"/>
        <v>1</v>
      </c>
      <c r="W66" s="545">
        <f t="shared" si="6"/>
        <v>1</v>
      </c>
      <c r="X66" s="545">
        <f t="shared" si="7"/>
        <v>1</v>
      </c>
    </row>
    <row r="67" spans="1:24" x14ac:dyDescent="0.25">
      <c r="A67" s="553" t="s">
        <v>226</v>
      </c>
      <c r="B67" s="554">
        <v>59</v>
      </c>
      <c r="C67" s="555" t="s">
        <v>88</v>
      </c>
      <c r="D67" s="555" t="s">
        <v>88</v>
      </c>
      <c r="E67" s="555" t="s">
        <v>88</v>
      </c>
      <c r="F67" s="556" t="s">
        <v>53</v>
      </c>
      <c r="G67" s="556">
        <v>8</v>
      </c>
      <c r="H67" s="557"/>
      <c r="I67" s="558">
        <f t="shared" si="11"/>
        <v>0</v>
      </c>
      <c r="K67" s="554">
        <v>59</v>
      </c>
      <c r="L67" s="555" t="s">
        <v>88</v>
      </c>
      <c r="M67" s="555" t="s">
        <v>88</v>
      </c>
      <c r="N67" s="555" t="s">
        <v>88</v>
      </c>
      <c r="O67" s="556" t="s">
        <v>53</v>
      </c>
      <c r="P67" s="556">
        <v>8</v>
      </c>
      <c r="Q67" s="557">
        <v>46800</v>
      </c>
      <c r="R67" s="559">
        <f t="shared" si="4"/>
        <v>374400</v>
      </c>
      <c r="S67" s="545">
        <f t="shared" si="8"/>
        <v>1</v>
      </c>
      <c r="T67" s="545">
        <f t="shared" si="9"/>
        <v>1</v>
      </c>
      <c r="U67" s="545">
        <f t="shared" si="10"/>
        <v>1</v>
      </c>
      <c r="V67" s="545">
        <f t="shared" si="5"/>
        <v>1</v>
      </c>
      <c r="W67" s="545">
        <f t="shared" si="6"/>
        <v>1</v>
      </c>
      <c r="X67" s="545">
        <f t="shared" si="7"/>
        <v>1</v>
      </c>
    </row>
    <row r="68" spans="1:24" x14ac:dyDescent="0.25">
      <c r="A68" s="553" t="s">
        <v>226</v>
      </c>
      <c r="B68" s="554">
        <v>60</v>
      </c>
      <c r="C68" s="555" t="s">
        <v>87</v>
      </c>
      <c r="D68" s="555" t="s">
        <v>87</v>
      </c>
      <c r="E68" s="555" t="s">
        <v>87</v>
      </c>
      <c r="F68" s="556" t="s">
        <v>53</v>
      </c>
      <c r="G68" s="556">
        <v>8</v>
      </c>
      <c r="H68" s="557"/>
      <c r="I68" s="558">
        <f t="shared" si="11"/>
        <v>0</v>
      </c>
      <c r="K68" s="554">
        <v>60</v>
      </c>
      <c r="L68" s="555" t="s">
        <v>87</v>
      </c>
      <c r="M68" s="555" t="s">
        <v>87</v>
      </c>
      <c r="N68" s="555" t="s">
        <v>87</v>
      </c>
      <c r="O68" s="556" t="s">
        <v>53</v>
      </c>
      <c r="P68" s="556">
        <v>8</v>
      </c>
      <c r="Q68" s="557">
        <v>81223</v>
      </c>
      <c r="R68" s="559">
        <f t="shared" si="4"/>
        <v>649784</v>
      </c>
      <c r="S68" s="545">
        <f t="shared" si="8"/>
        <v>1</v>
      </c>
      <c r="T68" s="545">
        <f t="shared" si="9"/>
        <v>1</v>
      </c>
      <c r="U68" s="545">
        <f t="shared" si="10"/>
        <v>1</v>
      </c>
      <c r="V68" s="545">
        <f t="shared" si="5"/>
        <v>1</v>
      </c>
      <c r="W68" s="545">
        <f t="shared" si="6"/>
        <v>1</v>
      </c>
      <c r="X68" s="545">
        <f t="shared" si="7"/>
        <v>1</v>
      </c>
    </row>
    <row r="69" spans="1:24" ht="30.75" customHeight="1" x14ac:dyDescent="0.25">
      <c r="A69" s="553" t="s">
        <v>226</v>
      </c>
      <c r="B69" s="554">
        <v>61</v>
      </c>
      <c r="C69" s="561" t="s">
        <v>86</v>
      </c>
      <c r="D69" s="561"/>
      <c r="E69" s="561"/>
      <c r="F69" s="562" t="s">
        <v>6</v>
      </c>
      <c r="G69" s="556">
        <v>3</v>
      </c>
      <c r="H69" s="557"/>
      <c r="I69" s="558">
        <f t="shared" si="11"/>
        <v>0</v>
      </c>
      <c r="K69" s="554">
        <v>61</v>
      </c>
      <c r="L69" s="561" t="s">
        <v>86</v>
      </c>
      <c r="M69" s="561"/>
      <c r="N69" s="561"/>
      <c r="O69" s="562" t="s">
        <v>6</v>
      </c>
      <c r="P69" s="556">
        <v>3</v>
      </c>
      <c r="Q69" s="557">
        <v>370000</v>
      </c>
      <c r="R69" s="559">
        <f t="shared" si="4"/>
        <v>1110000</v>
      </c>
      <c r="S69" s="545">
        <f t="shared" si="8"/>
        <v>1</v>
      </c>
      <c r="T69" s="545">
        <f t="shared" si="9"/>
        <v>1</v>
      </c>
      <c r="U69" s="545">
        <f t="shared" si="10"/>
        <v>1</v>
      </c>
      <c r="V69" s="545">
        <f t="shared" si="5"/>
        <v>1</v>
      </c>
      <c r="W69" s="545">
        <f t="shared" si="6"/>
        <v>1</v>
      </c>
      <c r="X69" s="545">
        <f t="shared" si="7"/>
        <v>1</v>
      </c>
    </row>
    <row r="70" spans="1:24" ht="27" customHeight="1" x14ac:dyDescent="0.25">
      <c r="A70" s="553" t="s">
        <v>226</v>
      </c>
      <c r="B70" s="554">
        <v>62</v>
      </c>
      <c r="C70" s="561" t="s">
        <v>85</v>
      </c>
      <c r="D70" s="561"/>
      <c r="E70" s="561"/>
      <c r="F70" s="562" t="s">
        <v>6</v>
      </c>
      <c r="G70" s="556">
        <v>3</v>
      </c>
      <c r="H70" s="557"/>
      <c r="I70" s="558">
        <f t="shared" si="11"/>
        <v>0</v>
      </c>
      <c r="K70" s="554">
        <v>62</v>
      </c>
      <c r="L70" s="561" t="s">
        <v>85</v>
      </c>
      <c r="M70" s="561"/>
      <c r="N70" s="561"/>
      <c r="O70" s="562" t="s">
        <v>6</v>
      </c>
      <c r="P70" s="556">
        <v>3</v>
      </c>
      <c r="Q70" s="557">
        <v>370000</v>
      </c>
      <c r="R70" s="559">
        <f t="shared" si="4"/>
        <v>1110000</v>
      </c>
      <c r="S70" s="545">
        <f t="shared" si="8"/>
        <v>1</v>
      </c>
      <c r="T70" s="545">
        <f t="shared" si="9"/>
        <v>1</v>
      </c>
      <c r="U70" s="545">
        <f t="shared" si="10"/>
        <v>1</v>
      </c>
      <c r="V70" s="545">
        <f t="shared" si="5"/>
        <v>1</v>
      </c>
      <c r="W70" s="545">
        <f t="shared" si="6"/>
        <v>1</v>
      </c>
      <c r="X70" s="545">
        <f t="shared" si="7"/>
        <v>1</v>
      </c>
    </row>
    <row r="71" spans="1:24" ht="29.25" customHeight="1" x14ac:dyDescent="0.25">
      <c r="A71" s="553" t="s">
        <v>226</v>
      </c>
      <c r="B71" s="554">
        <v>63</v>
      </c>
      <c r="C71" s="561" t="s">
        <v>84</v>
      </c>
      <c r="D71" s="561"/>
      <c r="E71" s="561"/>
      <c r="F71" s="562" t="s">
        <v>6</v>
      </c>
      <c r="G71" s="556">
        <v>3</v>
      </c>
      <c r="H71" s="557"/>
      <c r="I71" s="558">
        <f t="shared" si="11"/>
        <v>0</v>
      </c>
      <c r="K71" s="554">
        <v>63</v>
      </c>
      <c r="L71" s="561" t="s">
        <v>84</v>
      </c>
      <c r="M71" s="561"/>
      <c r="N71" s="561"/>
      <c r="O71" s="562" t="s">
        <v>6</v>
      </c>
      <c r="P71" s="556">
        <v>3</v>
      </c>
      <c r="Q71" s="557">
        <v>375000</v>
      </c>
      <c r="R71" s="559">
        <f t="shared" si="4"/>
        <v>1125000</v>
      </c>
      <c r="S71" s="545">
        <f t="shared" ref="S71:S102" si="12">IFERROR(IF(EXACT(L71,VLOOKUP(K71,FORMATO_REM,2,FALSE)),1,0),"")</f>
        <v>1</v>
      </c>
      <c r="T71" s="545">
        <f t="shared" ref="T71:T105" si="13">IFERROR(IF(EXACT(O71,VLOOKUP(K71,FORMATO_REM,5,FALSE)),1,0),"")</f>
        <v>1</v>
      </c>
      <c r="U71" s="545">
        <f t="shared" ref="U71:U105" si="14">IFERROR(IF(EXACT(P71,VLOOKUP(K71,FORMATO_REM,6,FALSE)),1,0),"")</f>
        <v>1</v>
      </c>
      <c r="V71" s="545">
        <f t="shared" si="5"/>
        <v>1</v>
      </c>
      <c r="W71" s="545">
        <f t="shared" si="6"/>
        <v>1</v>
      </c>
      <c r="X71" s="545">
        <f t="shared" si="7"/>
        <v>1</v>
      </c>
    </row>
    <row r="72" spans="1:24" ht="26.25" customHeight="1" x14ac:dyDescent="0.25">
      <c r="A72" s="553" t="s">
        <v>226</v>
      </c>
      <c r="B72" s="554">
        <v>64</v>
      </c>
      <c r="C72" s="561" t="s">
        <v>83</v>
      </c>
      <c r="D72" s="561"/>
      <c r="E72" s="561"/>
      <c r="F72" s="562" t="s">
        <v>6</v>
      </c>
      <c r="G72" s="556">
        <v>3</v>
      </c>
      <c r="H72" s="557"/>
      <c r="I72" s="558">
        <f t="shared" si="11"/>
        <v>0</v>
      </c>
      <c r="K72" s="554">
        <v>64</v>
      </c>
      <c r="L72" s="561" t="s">
        <v>83</v>
      </c>
      <c r="M72" s="561"/>
      <c r="N72" s="561"/>
      <c r="O72" s="562" t="s">
        <v>6</v>
      </c>
      <c r="P72" s="556">
        <v>3</v>
      </c>
      <c r="Q72" s="557">
        <v>375000</v>
      </c>
      <c r="R72" s="559">
        <f t="shared" si="4"/>
        <v>1125000</v>
      </c>
      <c r="S72" s="545">
        <f t="shared" si="12"/>
        <v>1</v>
      </c>
      <c r="T72" s="545">
        <f t="shared" si="13"/>
        <v>1</v>
      </c>
      <c r="U72" s="545">
        <f t="shared" si="14"/>
        <v>1</v>
      </c>
      <c r="V72" s="545">
        <f t="shared" si="5"/>
        <v>1</v>
      </c>
      <c r="W72" s="545">
        <f t="shared" si="6"/>
        <v>1</v>
      </c>
      <c r="X72" s="545">
        <f t="shared" si="7"/>
        <v>1</v>
      </c>
    </row>
    <row r="73" spans="1:24" ht="25.5" customHeight="1" x14ac:dyDescent="0.25">
      <c r="A73" s="553" t="s">
        <v>226</v>
      </c>
      <c r="B73" s="554">
        <v>65</v>
      </c>
      <c r="C73" s="561" t="s">
        <v>82</v>
      </c>
      <c r="D73" s="561"/>
      <c r="E73" s="561"/>
      <c r="F73" s="562" t="s">
        <v>6</v>
      </c>
      <c r="G73" s="556">
        <v>3</v>
      </c>
      <c r="H73" s="557"/>
      <c r="I73" s="558">
        <f t="shared" ref="I73:I102" si="15">G73*H73</f>
        <v>0</v>
      </c>
      <c r="K73" s="554">
        <v>65</v>
      </c>
      <c r="L73" s="561" t="s">
        <v>82</v>
      </c>
      <c r="M73" s="561"/>
      <c r="N73" s="561"/>
      <c r="O73" s="562" t="s">
        <v>6</v>
      </c>
      <c r="P73" s="556">
        <v>3</v>
      </c>
      <c r="Q73" s="557">
        <v>631250</v>
      </c>
      <c r="R73" s="559">
        <f t="shared" si="4"/>
        <v>1893750</v>
      </c>
      <c r="S73" s="545">
        <f t="shared" si="12"/>
        <v>1</v>
      </c>
      <c r="T73" s="545">
        <f t="shared" si="13"/>
        <v>1</v>
      </c>
      <c r="U73" s="545">
        <f t="shared" si="14"/>
        <v>1</v>
      </c>
      <c r="V73" s="545">
        <f t="shared" si="5"/>
        <v>1</v>
      </c>
      <c r="W73" s="545">
        <f t="shared" si="6"/>
        <v>1</v>
      </c>
      <c r="X73" s="545">
        <f t="shared" si="7"/>
        <v>1</v>
      </c>
    </row>
    <row r="74" spans="1:24" ht="19.5" customHeight="1" x14ac:dyDescent="0.25">
      <c r="A74" s="553" t="s">
        <v>226</v>
      </c>
      <c r="B74" s="554">
        <v>66</v>
      </c>
      <c r="C74" s="561" t="s">
        <v>81</v>
      </c>
      <c r="D74" s="561"/>
      <c r="E74" s="561"/>
      <c r="F74" s="562" t="s">
        <v>10</v>
      </c>
      <c r="G74" s="556">
        <v>24</v>
      </c>
      <c r="H74" s="557"/>
      <c r="I74" s="558">
        <f t="shared" si="15"/>
        <v>0</v>
      </c>
      <c r="K74" s="554">
        <v>66</v>
      </c>
      <c r="L74" s="561" t="s">
        <v>81</v>
      </c>
      <c r="M74" s="561"/>
      <c r="N74" s="561"/>
      <c r="O74" s="562" t="s">
        <v>10</v>
      </c>
      <c r="P74" s="556">
        <v>24</v>
      </c>
      <c r="Q74" s="557">
        <v>112500</v>
      </c>
      <c r="R74" s="559">
        <f t="shared" ref="R74:R102" si="16">P74*Q74</f>
        <v>2700000</v>
      </c>
      <c r="S74" s="545">
        <f t="shared" si="12"/>
        <v>1</v>
      </c>
      <c r="T74" s="545">
        <f t="shared" si="13"/>
        <v>1</v>
      </c>
      <c r="U74" s="545">
        <f t="shared" si="14"/>
        <v>1</v>
      </c>
      <c r="V74" s="545">
        <f t="shared" ref="V74:V102" si="17">IFERROR(IF(Q74&gt;0,1,0),"")</f>
        <v>1</v>
      </c>
      <c r="W74" s="545">
        <f t="shared" ref="W74:W102" si="18">IFERROR(IF(R74=P74*Q74,1,0),"")</f>
        <v>1</v>
      </c>
      <c r="X74" s="545">
        <f t="shared" ref="X74:X102" si="19">PRODUCT(S74:W74)</f>
        <v>1</v>
      </c>
    </row>
    <row r="75" spans="1:24" ht="36" customHeight="1" x14ac:dyDescent="0.25">
      <c r="A75" s="553" t="s">
        <v>226</v>
      </c>
      <c r="B75" s="554">
        <v>67</v>
      </c>
      <c r="C75" s="561" t="s">
        <v>80</v>
      </c>
      <c r="D75" s="561"/>
      <c r="E75" s="561"/>
      <c r="F75" s="560" t="s">
        <v>6</v>
      </c>
      <c r="G75" s="556">
        <v>12</v>
      </c>
      <c r="H75" s="557"/>
      <c r="I75" s="558">
        <f t="shared" si="15"/>
        <v>0</v>
      </c>
      <c r="K75" s="554">
        <v>67</v>
      </c>
      <c r="L75" s="561" t="s">
        <v>80</v>
      </c>
      <c r="M75" s="561"/>
      <c r="N75" s="561"/>
      <c r="O75" s="560" t="s">
        <v>6</v>
      </c>
      <c r="P75" s="556">
        <v>12</v>
      </c>
      <c r="Q75" s="557">
        <v>2800</v>
      </c>
      <c r="R75" s="559">
        <f t="shared" si="16"/>
        <v>33600</v>
      </c>
      <c r="S75" s="545">
        <f t="shared" si="12"/>
        <v>1</v>
      </c>
      <c r="T75" s="545">
        <f t="shared" si="13"/>
        <v>1</v>
      </c>
      <c r="U75" s="545">
        <f t="shared" si="14"/>
        <v>1</v>
      </c>
      <c r="V75" s="545">
        <f t="shared" si="17"/>
        <v>1</v>
      </c>
      <c r="W75" s="545">
        <f t="shared" si="18"/>
        <v>1</v>
      </c>
      <c r="X75" s="545">
        <f t="shared" si="19"/>
        <v>1</v>
      </c>
    </row>
    <row r="76" spans="1:24" ht="39.75" customHeight="1" x14ac:dyDescent="0.25">
      <c r="A76" s="553" t="s">
        <v>226</v>
      </c>
      <c r="B76" s="554">
        <v>68</v>
      </c>
      <c r="C76" s="561" t="s">
        <v>79</v>
      </c>
      <c r="D76" s="561"/>
      <c r="E76" s="561"/>
      <c r="F76" s="560" t="s">
        <v>6</v>
      </c>
      <c r="G76" s="556">
        <v>12</v>
      </c>
      <c r="H76" s="557"/>
      <c r="I76" s="558">
        <f t="shared" si="15"/>
        <v>0</v>
      </c>
      <c r="K76" s="554">
        <v>68</v>
      </c>
      <c r="L76" s="561" t="s">
        <v>79</v>
      </c>
      <c r="M76" s="561"/>
      <c r="N76" s="561"/>
      <c r="O76" s="560" t="s">
        <v>6</v>
      </c>
      <c r="P76" s="556">
        <v>12</v>
      </c>
      <c r="Q76" s="557">
        <v>5780</v>
      </c>
      <c r="R76" s="559">
        <f t="shared" si="16"/>
        <v>69360</v>
      </c>
      <c r="S76" s="545">
        <f t="shared" si="12"/>
        <v>1</v>
      </c>
      <c r="T76" s="545">
        <f t="shared" si="13"/>
        <v>1</v>
      </c>
      <c r="U76" s="545">
        <f t="shared" si="14"/>
        <v>1</v>
      </c>
      <c r="V76" s="545">
        <f t="shared" si="17"/>
        <v>1</v>
      </c>
      <c r="W76" s="545">
        <f t="shared" si="18"/>
        <v>1</v>
      </c>
      <c r="X76" s="545">
        <f t="shared" si="19"/>
        <v>1</v>
      </c>
    </row>
    <row r="77" spans="1:24" ht="44.25" customHeight="1" x14ac:dyDescent="0.25">
      <c r="A77" s="553" t="s">
        <v>226</v>
      </c>
      <c r="B77" s="554">
        <v>69</v>
      </c>
      <c r="C77" s="561" t="s">
        <v>78</v>
      </c>
      <c r="D77" s="561"/>
      <c r="E77" s="561"/>
      <c r="F77" s="560" t="s">
        <v>6</v>
      </c>
      <c r="G77" s="556">
        <v>12</v>
      </c>
      <c r="H77" s="557"/>
      <c r="I77" s="558">
        <f t="shared" si="15"/>
        <v>0</v>
      </c>
      <c r="K77" s="554">
        <v>69</v>
      </c>
      <c r="L77" s="561" t="s">
        <v>78</v>
      </c>
      <c r="M77" s="561"/>
      <c r="N77" s="561"/>
      <c r="O77" s="560" t="s">
        <v>6</v>
      </c>
      <c r="P77" s="556">
        <v>12</v>
      </c>
      <c r="Q77" s="557">
        <v>9500</v>
      </c>
      <c r="R77" s="559">
        <f t="shared" si="16"/>
        <v>114000</v>
      </c>
      <c r="S77" s="545">
        <f t="shared" si="12"/>
        <v>1</v>
      </c>
      <c r="T77" s="545">
        <f t="shared" si="13"/>
        <v>1</v>
      </c>
      <c r="U77" s="545">
        <f t="shared" si="14"/>
        <v>1</v>
      </c>
      <c r="V77" s="545">
        <f t="shared" si="17"/>
        <v>1</v>
      </c>
      <c r="W77" s="545">
        <f t="shared" si="18"/>
        <v>1</v>
      </c>
      <c r="X77" s="545">
        <f t="shared" si="19"/>
        <v>1</v>
      </c>
    </row>
    <row r="78" spans="1:24" ht="39.75" customHeight="1" x14ac:dyDescent="0.25">
      <c r="A78" s="553" t="s">
        <v>226</v>
      </c>
      <c r="B78" s="554">
        <v>70</v>
      </c>
      <c r="C78" s="561" t="s">
        <v>77</v>
      </c>
      <c r="D78" s="561"/>
      <c r="E78" s="561"/>
      <c r="F78" s="560" t="s">
        <v>6</v>
      </c>
      <c r="G78" s="556">
        <v>12</v>
      </c>
      <c r="H78" s="557"/>
      <c r="I78" s="558">
        <f t="shared" si="15"/>
        <v>0</v>
      </c>
      <c r="K78" s="554">
        <v>70</v>
      </c>
      <c r="L78" s="561" t="s">
        <v>77</v>
      </c>
      <c r="M78" s="561"/>
      <c r="N78" s="561"/>
      <c r="O78" s="560" t="s">
        <v>6</v>
      </c>
      <c r="P78" s="556">
        <v>12</v>
      </c>
      <c r="Q78" s="557">
        <v>9500</v>
      </c>
      <c r="R78" s="559">
        <f t="shared" si="16"/>
        <v>114000</v>
      </c>
      <c r="S78" s="545">
        <f t="shared" si="12"/>
        <v>1</v>
      </c>
      <c r="T78" s="545">
        <f t="shared" si="13"/>
        <v>1</v>
      </c>
      <c r="U78" s="545">
        <f t="shared" si="14"/>
        <v>1</v>
      </c>
      <c r="V78" s="545">
        <f t="shared" si="17"/>
        <v>1</v>
      </c>
      <c r="W78" s="545">
        <f t="shared" si="18"/>
        <v>1</v>
      </c>
      <c r="X78" s="545">
        <f t="shared" si="19"/>
        <v>1</v>
      </c>
    </row>
    <row r="79" spans="1:24" x14ac:dyDescent="0.25">
      <c r="A79" s="553" t="s">
        <v>226</v>
      </c>
      <c r="B79" s="554">
        <v>71</v>
      </c>
      <c r="C79" s="561" t="s">
        <v>76</v>
      </c>
      <c r="D79" s="561"/>
      <c r="E79" s="561"/>
      <c r="F79" s="560" t="s">
        <v>71</v>
      </c>
      <c r="G79" s="556">
        <v>84</v>
      </c>
      <c r="H79" s="557"/>
      <c r="I79" s="558">
        <f t="shared" si="15"/>
        <v>0</v>
      </c>
      <c r="K79" s="554">
        <v>71</v>
      </c>
      <c r="L79" s="561" t="s">
        <v>76</v>
      </c>
      <c r="M79" s="561"/>
      <c r="N79" s="561"/>
      <c r="O79" s="560" t="s">
        <v>71</v>
      </c>
      <c r="P79" s="556">
        <v>84</v>
      </c>
      <c r="Q79" s="557">
        <v>800</v>
      </c>
      <c r="R79" s="559">
        <f t="shared" si="16"/>
        <v>67200</v>
      </c>
      <c r="S79" s="545">
        <f t="shared" si="12"/>
        <v>1</v>
      </c>
      <c r="T79" s="545">
        <f t="shared" si="13"/>
        <v>1</v>
      </c>
      <c r="U79" s="545">
        <f t="shared" si="14"/>
        <v>1</v>
      </c>
      <c r="V79" s="545">
        <f t="shared" si="17"/>
        <v>1</v>
      </c>
      <c r="W79" s="545">
        <f t="shared" si="18"/>
        <v>1</v>
      </c>
      <c r="X79" s="545">
        <f t="shared" si="19"/>
        <v>1</v>
      </c>
    </row>
    <row r="80" spans="1:24" x14ac:dyDescent="0.25">
      <c r="A80" s="553" t="s">
        <v>226</v>
      </c>
      <c r="B80" s="554">
        <v>72</v>
      </c>
      <c r="C80" s="561" t="s">
        <v>75</v>
      </c>
      <c r="D80" s="561"/>
      <c r="E80" s="561"/>
      <c r="F80" s="560" t="s">
        <v>71</v>
      </c>
      <c r="G80" s="556">
        <v>84</v>
      </c>
      <c r="H80" s="557"/>
      <c r="I80" s="558">
        <f t="shared" si="15"/>
        <v>0</v>
      </c>
      <c r="K80" s="554">
        <v>72</v>
      </c>
      <c r="L80" s="561" t="s">
        <v>75</v>
      </c>
      <c r="M80" s="561"/>
      <c r="N80" s="561"/>
      <c r="O80" s="560" t="s">
        <v>71</v>
      </c>
      <c r="P80" s="556">
        <v>84</v>
      </c>
      <c r="Q80" s="557">
        <v>1200</v>
      </c>
      <c r="R80" s="559">
        <f t="shared" si="16"/>
        <v>100800</v>
      </c>
      <c r="S80" s="545">
        <f t="shared" si="12"/>
        <v>1</v>
      </c>
      <c r="T80" s="545">
        <f t="shared" si="13"/>
        <v>1</v>
      </c>
      <c r="U80" s="545">
        <f t="shared" si="14"/>
        <v>1</v>
      </c>
      <c r="V80" s="545">
        <f t="shared" si="17"/>
        <v>1</v>
      </c>
      <c r="W80" s="545">
        <f t="shared" si="18"/>
        <v>1</v>
      </c>
      <c r="X80" s="545">
        <f t="shared" si="19"/>
        <v>1</v>
      </c>
    </row>
    <row r="81" spans="1:24" x14ac:dyDescent="0.25">
      <c r="A81" s="553" t="s">
        <v>226</v>
      </c>
      <c r="B81" s="554">
        <v>73</v>
      </c>
      <c r="C81" s="561" t="s">
        <v>74</v>
      </c>
      <c r="D81" s="561"/>
      <c r="E81" s="561"/>
      <c r="F81" s="560" t="s">
        <v>71</v>
      </c>
      <c r="G81" s="556">
        <v>84</v>
      </c>
      <c r="H81" s="557"/>
      <c r="I81" s="558">
        <f t="shared" si="15"/>
        <v>0</v>
      </c>
      <c r="K81" s="554">
        <v>73</v>
      </c>
      <c r="L81" s="561" t="s">
        <v>74</v>
      </c>
      <c r="M81" s="561"/>
      <c r="N81" s="561"/>
      <c r="O81" s="560" t="s">
        <v>71</v>
      </c>
      <c r="P81" s="556">
        <v>84</v>
      </c>
      <c r="Q81" s="557">
        <v>1900</v>
      </c>
      <c r="R81" s="559">
        <f t="shared" si="16"/>
        <v>159600</v>
      </c>
      <c r="S81" s="545">
        <f t="shared" si="12"/>
        <v>1</v>
      </c>
      <c r="T81" s="545">
        <f t="shared" si="13"/>
        <v>1</v>
      </c>
      <c r="U81" s="545">
        <f t="shared" si="14"/>
        <v>1</v>
      </c>
      <c r="V81" s="545">
        <f t="shared" si="17"/>
        <v>1</v>
      </c>
      <c r="W81" s="545">
        <f t="shared" si="18"/>
        <v>1</v>
      </c>
      <c r="X81" s="545">
        <f t="shared" si="19"/>
        <v>1</v>
      </c>
    </row>
    <row r="82" spans="1:24" x14ac:dyDescent="0.25">
      <c r="A82" s="553" t="s">
        <v>226</v>
      </c>
      <c r="B82" s="554">
        <v>74</v>
      </c>
      <c r="C82" s="561" t="s">
        <v>73</v>
      </c>
      <c r="D82" s="561"/>
      <c r="E82" s="561"/>
      <c r="F82" s="560" t="s">
        <v>71</v>
      </c>
      <c r="G82" s="556">
        <v>84</v>
      </c>
      <c r="H82" s="557"/>
      <c r="I82" s="558">
        <f t="shared" si="15"/>
        <v>0</v>
      </c>
      <c r="K82" s="554">
        <v>74</v>
      </c>
      <c r="L82" s="561" t="s">
        <v>73</v>
      </c>
      <c r="M82" s="561"/>
      <c r="N82" s="561"/>
      <c r="O82" s="560" t="s">
        <v>71</v>
      </c>
      <c r="P82" s="556">
        <v>84</v>
      </c>
      <c r="Q82" s="557">
        <v>2700</v>
      </c>
      <c r="R82" s="559">
        <f t="shared" si="16"/>
        <v>226800</v>
      </c>
      <c r="S82" s="545">
        <f t="shared" si="12"/>
        <v>1</v>
      </c>
      <c r="T82" s="545">
        <f t="shared" si="13"/>
        <v>1</v>
      </c>
      <c r="U82" s="545">
        <f t="shared" si="14"/>
        <v>1</v>
      </c>
      <c r="V82" s="545">
        <f t="shared" si="17"/>
        <v>1</v>
      </c>
      <c r="W82" s="545">
        <f t="shared" si="18"/>
        <v>1</v>
      </c>
      <c r="X82" s="545">
        <f t="shared" si="19"/>
        <v>1</v>
      </c>
    </row>
    <row r="83" spans="1:24" x14ac:dyDescent="0.25">
      <c r="A83" s="553" t="s">
        <v>226</v>
      </c>
      <c r="B83" s="554">
        <v>75</v>
      </c>
      <c r="C83" s="561" t="s">
        <v>72</v>
      </c>
      <c r="D83" s="561"/>
      <c r="E83" s="561"/>
      <c r="F83" s="560" t="s">
        <v>71</v>
      </c>
      <c r="G83" s="556">
        <v>84</v>
      </c>
      <c r="H83" s="557"/>
      <c r="I83" s="558">
        <f t="shared" si="15"/>
        <v>0</v>
      </c>
      <c r="K83" s="554">
        <v>75</v>
      </c>
      <c r="L83" s="561" t="s">
        <v>72</v>
      </c>
      <c r="M83" s="561"/>
      <c r="N83" s="561"/>
      <c r="O83" s="560" t="s">
        <v>71</v>
      </c>
      <c r="P83" s="556">
        <v>84</v>
      </c>
      <c r="Q83" s="557">
        <v>4100</v>
      </c>
      <c r="R83" s="559">
        <f t="shared" si="16"/>
        <v>344400</v>
      </c>
      <c r="S83" s="545">
        <f t="shared" si="12"/>
        <v>1</v>
      </c>
      <c r="T83" s="545">
        <f t="shared" si="13"/>
        <v>1</v>
      </c>
      <c r="U83" s="545">
        <f t="shared" si="14"/>
        <v>1</v>
      </c>
      <c r="V83" s="545">
        <f t="shared" si="17"/>
        <v>1</v>
      </c>
      <c r="W83" s="545">
        <f t="shared" si="18"/>
        <v>1</v>
      </c>
      <c r="X83" s="545">
        <f t="shared" si="19"/>
        <v>1</v>
      </c>
    </row>
    <row r="84" spans="1:24" ht="42" customHeight="1" x14ac:dyDescent="0.25">
      <c r="A84" s="553" t="s">
        <v>228</v>
      </c>
      <c r="B84" s="554">
        <v>76</v>
      </c>
      <c r="C84" s="561" t="s">
        <v>70</v>
      </c>
      <c r="D84" s="561"/>
      <c r="E84" s="561"/>
      <c r="F84" s="563" t="s">
        <v>53</v>
      </c>
      <c r="G84" s="556">
        <v>12</v>
      </c>
      <c r="H84" s="557"/>
      <c r="I84" s="558">
        <f t="shared" si="15"/>
        <v>0</v>
      </c>
      <c r="K84" s="554">
        <v>76</v>
      </c>
      <c r="L84" s="561" t="s">
        <v>70</v>
      </c>
      <c r="M84" s="561"/>
      <c r="N84" s="561"/>
      <c r="O84" s="563" t="s">
        <v>53</v>
      </c>
      <c r="P84" s="556">
        <v>12</v>
      </c>
      <c r="Q84" s="557">
        <v>176096</v>
      </c>
      <c r="R84" s="559">
        <f t="shared" si="16"/>
        <v>2113152</v>
      </c>
      <c r="S84" s="545">
        <f t="shared" si="12"/>
        <v>1</v>
      </c>
      <c r="T84" s="545">
        <f t="shared" si="13"/>
        <v>1</v>
      </c>
      <c r="U84" s="545">
        <f t="shared" si="14"/>
        <v>1</v>
      </c>
      <c r="V84" s="545">
        <f t="shared" si="17"/>
        <v>1</v>
      </c>
      <c r="W84" s="545">
        <f t="shared" si="18"/>
        <v>1</v>
      </c>
      <c r="X84" s="545">
        <f t="shared" si="19"/>
        <v>1</v>
      </c>
    </row>
    <row r="85" spans="1:24" ht="42" customHeight="1" x14ac:dyDescent="0.25">
      <c r="A85" s="553" t="s">
        <v>226</v>
      </c>
      <c r="B85" s="554">
        <v>77</v>
      </c>
      <c r="C85" s="561" t="s">
        <v>69</v>
      </c>
      <c r="D85" s="561"/>
      <c r="E85" s="561"/>
      <c r="F85" s="563" t="s">
        <v>53</v>
      </c>
      <c r="G85" s="556">
        <v>2</v>
      </c>
      <c r="H85" s="557"/>
      <c r="I85" s="558">
        <f t="shared" si="15"/>
        <v>0</v>
      </c>
      <c r="K85" s="554">
        <v>77</v>
      </c>
      <c r="L85" s="561" t="s">
        <v>69</v>
      </c>
      <c r="M85" s="561"/>
      <c r="N85" s="561"/>
      <c r="O85" s="563" t="s">
        <v>53</v>
      </c>
      <c r="P85" s="556">
        <v>2</v>
      </c>
      <c r="Q85" s="557">
        <v>91571</v>
      </c>
      <c r="R85" s="559">
        <f t="shared" si="16"/>
        <v>183142</v>
      </c>
      <c r="S85" s="545">
        <f t="shared" si="12"/>
        <v>1</v>
      </c>
      <c r="T85" s="545">
        <f t="shared" si="13"/>
        <v>1</v>
      </c>
      <c r="U85" s="545">
        <f t="shared" si="14"/>
        <v>1</v>
      </c>
      <c r="V85" s="545">
        <f t="shared" si="17"/>
        <v>1</v>
      </c>
      <c r="W85" s="545">
        <f t="shared" si="18"/>
        <v>1</v>
      </c>
      <c r="X85" s="545">
        <f t="shared" si="19"/>
        <v>1</v>
      </c>
    </row>
    <row r="86" spans="1:24" ht="33" customHeight="1" x14ac:dyDescent="0.25">
      <c r="A86" s="553" t="s">
        <v>228</v>
      </c>
      <c r="B86" s="554">
        <v>78</v>
      </c>
      <c r="C86" s="561" t="s">
        <v>68</v>
      </c>
      <c r="D86" s="561"/>
      <c r="E86" s="561"/>
      <c r="F86" s="563" t="s">
        <v>53</v>
      </c>
      <c r="G86" s="556">
        <v>5</v>
      </c>
      <c r="H86" s="557"/>
      <c r="I86" s="558">
        <f t="shared" si="15"/>
        <v>0</v>
      </c>
      <c r="K86" s="554">
        <v>78</v>
      </c>
      <c r="L86" s="561" t="s">
        <v>68</v>
      </c>
      <c r="M86" s="561"/>
      <c r="N86" s="561"/>
      <c r="O86" s="563" t="s">
        <v>53</v>
      </c>
      <c r="P86" s="556">
        <v>5</v>
      </c>
      <c r="Q86" s="557">
        <v>625000</v>
      </c>
      <c r="R86" s="559">
        <f t="shared" si="16"/>
        <v>3125000</v>
      </c>
      <c r="S86" s="545">
        <f t="shared" si="12"/>
        <v>1</v>
      </c>
      <c r="T86" s="545">
        <f t="shared" si="13"/>
        <v>1</v>
      </c>
      <c r="U86" s="545">
        <f t="shared" si="14"/>
        <v>1</v>
      </c>
      <c r="V86" s="545">
        <f t="shared" si="17"/>
        <v>1</v>
      </c>
      <c r="W86" s="545">
        <f t="shared" si="18"/>
        <v>1</v>
      </c>
      <c r="X86" s="545">
        <f t="shared" si="19"/>
        <v>1</v>
      </c>
    </row>
    <row r="87" spans="1:24" ht="34.5" customHeight="1" x14ac:dyDescent="0.25">
      <c r="A87" s="553" t="s">
        <v>228</v>
      </c>
      <c r="B87" s="554">
        <v>79</v>
      </c>
      <c r="C87" s="561" t="s">
        <v>67</v>
      </c>
      <c r="D87" s="561"/>
      <c r="E87" s="561"/>
      <c r="F87" s="563" t="s">
        <v>53</v>
      </c>
      <c r="G87" s="556">
        <v>3</v>
      </c>
      <c r="H87" s="557"/>
      <c r="I87" s="558">
        <f t="shared" si="15"/>
        <v>0</v>
      </c>
      <c r="K87" s="554">
        <v>79</v>
      </c>
      <c r="L87" s="561" t="s">
        <v>67</v>
      </c>
      <c r="M87" s="561"/>
      <c r="N87" s="561"/>
      <c r="O87" s="563" t="s">
        <v>53</v>
      </c>
      <c r="P87" s="556">
        <v>3</v>
      </c>
      <c r="Q87" s="557">
        <v>1648269</v>
      </c>
      <c r="R87" s="559">
        <f t="shared" si="16"/>
        <v>4944807</v>
      </c>
      <c r="S87" s="545">
        <f t="shared" si="12"/>
        <v>1</v>
      </c>
      <c r="T87" s="545">
        <f t="shared" si="13"/>
        <v>1</v>
      </c>
      <c r="U87" s="545">
        <f t="shared" si="14"/>
        <v>1</v>
      </c>
      <c r="V87" s="545">
        <f t="shared" si="17"/>
        <v>1</v>
      </c>
      <c r="W87" s="545">
        <f t="shared" si="18"/>
        <v>1</v>
      </c>
      <c r="X87" s="545">
        <f t="shared" si="19"/>
        <v>1</v>
      </c>
    </row>
    <row r="88" spans="1:24" ht="32.25" customHeight="1" x14ac:dyDescent="0.25">
      <c r="A88" s="553" t="s">
        <v>226</v>
      </c>
      <c r="B88" s="554">
        <v>80</v>
      </c>
      <c r="C88" s="561" t="s">
        <v>66</v>
      </c>
      <c r="D88" s="561"/>
      <c r="E88" s="561"/>
      <c r="F88" s="563" t="s">
        <v>53</v>
      </c>
      <c r="G88" s="556">
        <v>1</v>
      </c>
      <c r="H88" s="557"/>
      <c r="I88" s="558">
        <f t="shared" si="15"/>
        <v>0</v>
      </c>
      <c r="K88" s="554">
        <v>80</v>
      </c>
      <c r="L88" s="561" t="s">
        <v>66</v>
      </c>
      <c r="M88" s="561"/>
      <c r="N88" s="561"/>
      <c r="O88" s="563" t="s">
        <v>53</v>
      </c>
      <c r="P88" s="556">
        <v>1</v>
      </c>
      <c r="Q88" s="557">
        <v>340000</v>
      </c>
      <c r="R88" s="559">
        <f t="shared" si="16"/>
        <v>340000</v>
      </c>
      <c r="S88" s="545">
        <f t="shared" si="12"/>
        <v>1</v>
      </c>
      <c r="T88" s="545">
        <f t="shared" si="13"/>
        <v>1</v>
      </c>
      <c r="U88" s="545">
        <f t="shared" si="14"/>
        <v>1</v>
      </c>
      <c r="V88" s="545">
        <f t="shared" si="17"/>
        <v>1</v>
      </c>
      <c r="W88" s="545">
        <f t="shared" si="18"/>
        <v>1</v>
      </c>
      <c r="X88" s="545">
        <f t="shared" si="19"/>
        <v>1</v>
      </c>
    </row>
    <row r="89" spans="1:24" ht="35.25" customHeight="1" x14ac:dyDescent="0.25">
      <c r="A89" s="553" t="s">
        <v>228</v>
      </c>
      <c r="B89" s="554">
        <v>81</v>
      </c>
      <c r="C89" s="561" t="s">
        <v>65</v>
      </c>
      <c r="D89" s="561"/>
      <c r="E89" s="561"/>
      <c r="F89" s="563" t="s">
        <v>53</v>
      </c>
      <c r="G89" s="556">
        <v>1</v>
      </c>
      <c r="H89" s="557"/>
      <c r="I89" s="558">
        <f t="shared" si="15"/>
        <v>0</v>
      </c>
      <c r="K89" s="554">
        <v>81</v>
      </c>
      <c r="L89" s="561" t="s">
        <v>65</v>
      </c>
      <c r="M89" s="561"/>
      <c r="N89" s="561"/>
      <c r="O89" s="563" t="s">
        <v>53</v>
      </c>
      <c r="P89" s="556">
        <v>1</v>
      </c>
      <c r="Q89" s="557">
        <v>360000</v>
      </c>
      <c r="R89" s="559">
        <f t="shared" si="16"/>
        <v>360000</v>
      </c>
      <c r="S89" s="545">
        <f t="shared" si="12"/>
        <v>1</v>
      </c>
      <c r="T89" s="545">
        <f t="shared" si="13"/>
        <v>1</v>
      </c>
      <c r="U89" s="545">
        <f t="shared" si="14"/>
        <v>1</v>
      </c>
      <c r="V89" s="545">
        <f t="shared" si="17"/>
        <v>1</v>
      </c>
      <c r="W89" s="545">
        <f t="shared" si="18"/>
        <v>1</v>
      </c>
      <c r="X89" s="545">
        <f t="shared" si="19"/>
        <v>1</v>
      </c>
    </row>
    <row r="90" spans="1:24" x14ac:dyDescent="0.25">
      <c r="A90" s="553" t="s">
        <v>226</v>
      </c>
      <c r="B90" s="554">
        <v>82</v>
      </c>
      <c r="C90" s="564" t="s">
        <v>64</v>
      </c>
      <c r="D90" s="565"/>
      <c r="E90" s="566"/>
      <c r="F90" s="563" t="s">
        <v>53</v>
      </c>
      <c r="G90" s="556">
        <v>4</v>
      </c>
      <c r="H90" s="557"/>
      <c r="I90" s="558">
        <f t="shared" si="15"/>
        <v>0</v>
      </c>
      <c r="K90" s="554">
        <v>82</v>
      </c>
      <c r="L90" s="564" t="s">
        <v>64</v>
      </c>
      <c r="M90" s="565"/>
      <c r="N90" s="566"/>
      <c r="O90" s="563" t="s">
        <v>53</v>
      </c>
      <c r="P90" s="556">
        <v>4</v>
      </c>
      <c r="Q90" s="557">
        <v>550000</v>
      </c>
      <c r="R90" s="559">
        <f t="shared" si="16"/>
        <v>2200000</v>
      </c>
      <c r="S90" s="545">
        <f t="shared" si="12"/>
        <v>1</v>
      </c>
      <c r="T90" s="545">
        <f t="shared" si="13"/>
        <v>1</v>
      </c>
      <c r="U90" s="545">
        <f t="shared" si="14"/>
        <v>1</v>
      </c>
      <c r="V90" s="545">
        <f t="shared" si="17"/>
        <v>1</v>
      </c>
      <c r="W90" s="545">
        <f t="shared" si="18"/>
        <v>1</v>
      </c>
      <c r="X90" s="545">
        <f t="shared" si="19"/>
        <v>1</v>
      </c>
    </row>
    <row r="91" spans="1:24" x14ac:dyDescent="0.25">
      <c r="A91" s="553" t="s">
        <v>226</v>
      </c>
      <c r="B91" s="554">
        <v>83</v>
      </c>
      <c r="C91" s="564" t="s">
        <v>63</v>
      </c>
      <c r="D91" s="565"/>
      <c r="E91" s="566"/>
      <c r="F91" s="563" t="s">
        <v>53</v>
      </c>
      <c r="G91" s="556">
        <v>4</v>
      </c>
      <c r="H91" s="557"/>
      <c r="I91" s="558">
        <f t="shared" si="15"/>
        <v>0</v>
      </c>
      <c r="K91" s="554">
        <v>83</v>
      </c>
      <c r="L91" s="564" t="s">
        <v>63</v>
      </c>
      <c r="M91" s="565"/>
      <c r="N91" s="566"/>
      <c r="O91" s="563" t="s">
        <v>53</v>
      </c>
      <c r="P91" s="556">
        <v>4</v>
      </c>
      <c r="Q91" s="557">
        <v>640000</v>
      </c>
      <c r="R91" s="559">
        <f t="shared" si="16"/>
        <v>2560000</v>
      </c>
      <c r="S91" s="545">
        <f t="shared" si="12"/>
        <v>1</v>
      </c>
      <c r="T91" s="545">
        <f t="shared" si="13"/>
        <v>1</v>
      </c>
      <c r="U91" s="545">
        <f t="shared" si="14"/>
        <v>1</v>
      </c>
      <c r="V91" s="545">
        <f t="shared" si="17"/>
        <v>1</v>
      </c>
      <c r="W91" s="545">
        <f t="shared" si="18"/>
        <v>1</v>
      </c>
      <c r="X91" s="545">
        <f t="shared" si="19"/>
        <v>1</v>
      </c>
    </row>
    <row r="92" spans="1:24" x14ac:dyDescent="0.25">
      <c r="A92" s="553" t="s">
        <v>228</v>
      </c>
      <c r="B92" s="554">
        <v>84</v>
      </c>
      <c r="C92" s="564" t="s">
        <v>62</v>
      </c>
      <c r="D92" s="565"/>
      <c r="E92" s="566"/>
      <c r="F92" s="563" t="s">
        <v>53</v>
      </c>
      <c r="G92" s="556">
        <v>4</v>
      </c>
      <c r="H92" s="557"/>
      <c r="I92" s="558">
        <f t="shared" si="15"/>
        <v>0</v>
      </c>
      <c r="K92" s="554">
        <v>84</v>
      </c>
      <c r="L92" s="564" t="s">
        <v>62</v>
      </c>
      <c r="M92" s="565"/>
      <c r="N92" s="566"/>
      <c r="O92" s="563" t="s">
        <v>53</v>
      </c>
      <c r="P92" s="556">
        <v>4</v>
      </c>
      <c r="Q92" s="557">
        <v>3140000</v>
      </c>
      <c r="R92" s="559">
        <f t="shared" si="16"/>
        <v>12560000</v>
      </c>
      <c r="S92" s="545">
        <f t="shared" si="12"/>
        <v>1</v>
      </c>
      <c r="T92" s="545">
        <f t="shared" si="13"/>
        <v>1</v>
      </c>
      <c r="U92" s="545">
        <f t="shared" si="14"/>
        <v>1</v>
      </c>
      <c r="V92" s="545">
        <f t="shared" si="17"/>
        <v>1</v>
      </c>
      <c r="W92" s="545">
        <f t="shared" si="18"/>
        <v>1</v>
      </c>
      <c r="X92" s="545">
        <f t="shared" si="19"/>
        <v>1</v>
      </c>
    </row>
    <row r="93" spans="1:24" x14ac:dyDescent="0.25">
      <c r="A93" s="553" t="s">
        <v>228</v>
      </c>
      <c r="B93" s="554">
        <v>85</v>
      </c>
      <c r="C93" s="564" t="s">
        <v>61</v>
      </c>
      <c r="D93" s="565"/>
      <c r="E93" s="566"/>
      <c r="F93" s="563" t="s">
        <v>53</v>
      </c>
      <c r="G93" s="556">
        <v>4</v>
      </c>
      <c r="H93" s="557"/>
      <c r="I93" s="558">
        <f t="shared" si="15"/>
        <v>0</v>
      </c>
      <c r="K93" s="554">
        <v>85</v>
      </c>
      <c r="L93" s="564" t="s">
        <v>61</v>
      </c>
      <c r="M93" s="565"/>
      <c r="N93" s="566"/>
      <c r="O93" s="563" t="s">
        <v>53</v>
      </c>
      <c r="P93" s="556">
        <v>4</v>
      </c>
      <c r="Q93" s="557">
        <v>3982500</v>
      </c>
      <c r="R93" s="559">
        <f t="shared" si="16"/>
        <v>15930000</v>
      </c>
      <c r="S93" s="545">
        <f t="shared" si="12"/>
        <v>1</v>
      </c>
      <c r="T93" s="545">
        <f t="shared" si="13"/>
        <v>1</v>
      </c>
      <c r="U93" s="545">
        <f t="shared" si="14"/>
        <v>1</v>
      </c>
      <c r="V93" s="545">
        <f t="shared" si="17"/>
        <v>1</v>
      </c>
      <c r="W93" s="545">
        <f t="shared" si="18"/>
        <v>1</v>
      </c>
      <c r="X93" s="545">
        <f t="shared" si="19"/>
        <v>1</v>
      </c>
    </row>
    <row r="94" spans="1:24" x14ac:dyDescent="0.25">
      <c r="A94" s="553" t="s">
        <v>228</v>
      </c>
      <c r="B94" s="554">
        <v>86</v>
      </c>
      <c r="C94" s="564" t="s">
        <v>60</v>
      </c>
      <c r="D94" s="565"/>
      <c r="E94" s="566"/>
      <c r="F94" s="563" t="s">
        <v>53</v>
      </c>
      <c r="G94" s="556">
        <v>4</v>
      </c>
      <c r="H94" s="557"/>
      <c r="I94" s="558">
        <f t="shared" si="15"/>
        <v>0</v>
      </c>
      <c r="K94" s="554">
        <v>86</v>
      </c>
      <c r="L94" s="564" t="s">
        <v>60</v>
      </c>
      <c r="M94" s="565"/>
      <c r="N94" s="566"/>
      <c r="O94" s="563" t="s">
        <v>53</v>
      </c>
      <c r="P94" s="556">
        <v>4</v>
      </c>
      <c r="Q94" s="557">
        <v>4103000</v>
      </c>
      <c r="R94" s="559">
        <f t="shared" si="16"/>
        <v>16412000</v>
      </c>
      <c r="S94" s="545">
        <f t="shared" si="12"/>
        <v>1</v>
      </c>
      <c r="T94" s="545">
        <f t="shared" si="13"/>
        <v>1</v>
      </c>
      <c r="U94" s="545">
        <f t="shared" si="14"/>
        <v>1</v>
      </c>
      <c r="V94" s="545">
        <f t="shared" si="17"/>
        <v>1</v>
      </c>
      <c r="W94" s="545">
        <f t="shared" si="18"/>
        <v>1</v>
      </c>
      <c r="X94" s="545">
        <f t="shared" si="19"/>
        <v>1</v>
      </c>
    </row>
    <row r="95" spans="1:24" x14ac:dyDescent="0.25">
      <c r="A95" s="553" t="s">
        <v>228</v>
      </c>
      <c r="B95" s="554">
        <v>87</v>
      </c>
      <c r="C95" s="567" t="s">
        <v>59</v>
      </c>
      <c r="D95" s="568"/>
      <c r="E95" s="568"/>
      <c r="F95" s="569" t="s">
        <v>4</v>
      </c>
      <c r="G95" s="570">
        <v>10</v>
      </c>
      <c r="H95" s="557"/>
      <c r="I95" s="558">
        <f t="shared" si="15"/>
        <v>0</v>
      </c>
      <c r="K95" s="554">
        <v>87</v>
      </c>
      <c r="L95" s="567" t="s">
        <v>59</v>
      </c>
      <c r="M95" s="568"/>
      <c r="N95" s="568"/>
      <c r="O95" s="569" t="s">
        <v>4</v>
      </c>
      <c r="P95" s="570">
        <v>10</v>
      </c>
      <c r="Q95" s="557">
        <v>537500</v>
      </c>
      <c r="R95" s="559">
        <f t="shared" si="16"/>
        <v>5375000</v>
      </c>
      <c r="S95" s="545">
        <f t="shared" si="12"/>
        <v>1</v>
      </c>
      <c r="T95" s="545">
        <f t="shared" si="13"/>
        <v>1</v>
      </c>
      <c r="U95" s="545">
        <f t="shared" si="14"/>
        <v>1</v>
      </c>
      <c r="V95" s="545">
        <f t="shared" si="17"/>
        <v>1</v>
      </c>
      <c r="W95" s="545">
        <f t="shared" si="18"/>
        <v>1</v>
      </c>
      <c r="X95" s="545">
        <f t="shared" si="19"/>
        <v>1</v>
      </c>
    </row>
    <row r="96" spans="1:24" x14ac:dyDescent="0.25">
      <c r="A96" s="553" t="s">
        <v>228</v>
      </c>
      <c r="B96" s="554">
        <v>88</v>
      </c>
      <c r="C96" s="568" t="s">
        <v>58</v>
      </c>
      <c r="D96" s="568"/>
      <c r="E96" s="568"/>
      <c r="F96" s="569" t="s">
        <v>4</v>
      </c>
      <c r="G96" s="571">
        <v>10</v>
      </c>
      <c r="H96" s="557"/>
      <c r="I96" s="558">
        <f t="shared" si="15"/>
        <v>0</v>
      </c>
      <c r="K96" s="554">
        <v>88</v>
      </c>
      <c r="L96" s="568" t="s">
        <v>58</v>
      </c>
      <c r="M96" s="568"/>
      <c r="N96" s="568"/>
      <c r="O96" s="569" t="s">
        <v>4</v>
      </c>
      <c r="P96" s="571">
        <v>10</v>
      </c>
      <c r="Q96" s="557">
        <v>737500</v>
      </c>
      <c r="R96" s="559">
        <f t="shared" si="16"/>
        <v>7375000</v>
      </c>
      <c r="S96" s="545">
        <f t="shared" si="12"/>
        <v>1</v>
      </c>
      <c r="T96" s="545">
        <f t="shared" si="13"/>
        <v>1</v>
      </c>
      <c r="U96" s="545">
        <f t="shared" si="14"/>
        <v>1</v>
      </c>
      <c r="V96" s="545">
        <f t="shared" si="17"/>
        <v>1</v>
      </c>
      <c r="W96" s="545">
        <f t="shared" si="18"/>
        <v>1</v>
      </c>
      <c r="X96" s="545">
        <f t="shared" si="19"/>
        <v>1</v>
      </c>
    </row>
    <row r="97" spans="1:24" x14ac:dyDescent="0.25">
      <c r="A97" s="553" t="s">
        <v>226</v>
      </c>
      <c r="B97" s="554">
        <v>89</v>
      </c>
      <c r="C97" s="567" t="s">
        <v>221</v>
      </c>
      <c r="D97" s="568"/>
      <c r="E97" s="568"/>
      <c r="F97" s="569" t="s">
        <v>4</v>
      </c>
      <c r="G97" s="571">
        <v>3</v>
      </c>
      <c r="H97" s="557"/>
      <c r="I97" s="558">
        <f t="shared" si="15"/>
        <v>0</v>
      </c>
      <c r="K97" s="554">
        <v>89</v>
      </c>
      <c r="L97" s="567" t="s">
        <v>221</v>
      </c>
      <c r="M97" s="568"/>
      <c r="N97" s="568"/>
      <c r="O97" s="569" t="s">
        <v>4</v>
      </c>
      <c r="P97" s="571">
        <v>3</v>
      </c>
      <c r="Q97" s="557">
        <v>7625000</v>
      </c>
      <c r="R97" s="559">
        <f t="shared" si="16"/>
        <v>22875000</v>
      </c>
      <c r="S97" s="545">
        <f t="shared" si="12"/>
        <v>1</v>
      </c>
      <c r="T97" s="545">
        <f t="shared" si="13"/>
        <v>1</v>
      </c>
      <c r="U97" s="545">
        <f t="shared" si="14"/>
        <v>1</v>
      </c>
      <c r="V97" s="545">
        <f t="shared" si="17"/>
        <v>1</v>
      </c>
      <c r="W97" s="545">
        <f t="shared" si="18"/>
        <v>1</v>
      </c>
      <c r="X97" s="545">
        <f t="shared" si="19"/>
        <v>1</v>
      </c>
    </row>
    <row r="98" spans="1:24" x14ac:dyDescent="0.25">
      <c r="A98" s="553" t="s">
        <v>226</v>
      </c>
      <c r="B98" s="554">
        <v>90</v>
      </c>
      <c r="C98" s="572" t="s">
        <v>57</v>
      </c>
      <c r="D98" s="568"/>
      <c r="E98" s="573"/>
      <c r="F98" s="569" t="s">
        <v>10</v>
      </c>
      <c r="G98" s="571">
        <v>10</v>
      </c>
      <c r="H98" s="557"/>
      <c r="I98" s="558">
        <f t="shared" si="15"/>
        <v>0</v>
      </c>
      <c r="K98" s="554">
        <v>90</v>
      </c>
      <c r="L98" s="572" t="s">
        <v>57</v>
      </c>
      <c r="M98" s="568"/>
      <c r="N98" s="573"/>
      <c r="O98" s="569" t="s">
        <v>10</v>
      </c>
      <c r="P98" s="571">
        <v>10</v>
      </c>
      <c r="Q98" s="557">
        <v>75000</v>
      </c>
      <c r="R98" s="559">
        <f t="shared" si="16"/>
        <v>750000</v>
      </c>
      <c r="S98" s="545">
        <f t="shared" si="12"/>
        <v>1</v>
      </c>
      <c r="T98" s="545">
        <f t="shared" si="13"/>
        <v>1</v>
      </c>
      <c r="U98" s="545">
        <f t="shared" si="14"/>
        <v>1</v>
      </c>
      <c r="V98" s="545">
        <f t="shared" si="17"/>
        <v>1</v>
      </c>
      <c r="W98" s="545">
        <f t="shared" si="18"/>
        <v>1</v>
      </c>
      <c r="X98" s="545">
        <f t="shared" si="19"/>
        <v>1</v>
      </c>
    </row>
    <row r="99" spans="1:24" x14ac:dyDescent="0.25">
      <c r="A99" s="553" t="s">
        <v>226</v>
      </c>
      <c r="B99" s="554">
        <v>91</v>
      </c>
      <c r="C99" s="572" t="s">
        <v>56</v>
      </c>
      <c r="D99" s="568"/>
      <c r="E99" s="573"/>
      <c r="F99" s="569" t="s">
        <v>53</v>
      </c>
      <c r="G99" s="571">
        <v>10</v>
      </c>
      <c r="H99" s="557"/>
      <c r="I99" s="558">
        <f t="shared" si="15"/>
        <v>0</v>
      </c>
      <c r="K99" s="554">
        <v>91</v>
      </c>
      <c r="L99" s="572" t="s">
        <v>56</v>
      </c>
      <c r="M99" s="568"/>
      <c r="N99" s="573"/>
      <c r="O99" s="569" t="s">
        <v>53</v>
      </c>
      <c r="P99" s="571">
        <v>10</v>
      </c>
      <c r="Q99" s="557">
        <v>45000</v>
      </c>
      <c r="R99" s="559">
        <f t="shared" si="16"/>
        <v>450000</v>
      </c>
      <c r="S99" s="545">
        <f t="shared" si="12"/>
        <v>1</v>
      </c>
      <c r="T99" s="545">
        <f t="shared" si="13"/>
        <v>1</v>
      </c>
      <c r="U99" s="545">
        <f t="shared" si="14"/>
        <v>1</v>
      </c>
      <c r="V99" s="545">
        <f t="shared" si="17"/>
        <v>1</v>
      </c>
      <c r="W99" s="545">
        <f t="shared" si="18"/>
        <v>1</v>
      </c>
      <c r="X99" s="545">
        <f t="shared" si="19"/>
        <v>1</v>
      </c>
    </row>
    <row r="100" spans="1:24" x14ac:dyDescent="0.25">
      <c r="A100" s="553" t="s">
        <v>226</v>
      </c>
      <c r="B100" s="554">
        <v>92</v>
      </c>
      <c r="C100" s="572" t="s">
        <v>55</v>
      </c>
      <c r="D100" s="568"/>
      <c r="E100" s="573"/>
      <c r="F100" s="569" t="s">
        <v>4</v>
      </c>
      <c r="G100" s="571">
        <v>15</v>
      </c>
      <c r="H100" s="557"/>
      <c r="I100" s="558">
        <f t="shared" si="15"/>
        <v>0</v>
      </c>
      <c r="K100" s="554">
        <v>92</v>
      </c>
      <c r="L100" s="572" t="s">
        <v>55</v>
      </c>
      <c r="M100" s="568"/>
      <c r="N100" s="573"/>
      <c r="O100" s="569" t="s">
        <v>4</v>
      </c>
      <c r="P100" s="571">
        <v>15</v>
      </c>
      <c r="Q100" s="557">
        <v>24000</v>
      </c>
      <c r="R100" s="559">
        <f t="shared" si="16"/>
        <v>360000</v>
      </c>
      <c r="S100" s="545">
        <f t="shared" si="12"/>
        <v>1</v>
      </c>
      <c r="T100" s="545">
        <f t="shared" si="13"/>
        <v>1</v>
      </c>
      <c r="U100" s="545">
        <f t="shared" si="14"/>
        <v>1</v>
      </c>
      <c r="V100" s="545">
        <f t="shared" si="17"/>
        <v>1</v>
      </c>
      <c r="W100" s="545">
        <f t="shared" si="18"/>
        <v>1</v>
      </c>
      <c r="X100" s="545">
        <f t="shared" si="19"/>
        <v>1</v>
      </c>
    </row>
    <row r="101" spans="1:24" x14ac:dyDescent="0.25">
      <c r="A101" s="553" t="s">
        <v>226</v>
      </c>
      <c r="B101" s="554">
        <v>93</v>
      </c>
      <c r="C101" s="572" t="s">
        <v>54</v>
      </c>
      <c r="D101" s="568"/>
      <c r="E101" s="573"/>
      <c r="F101" s="569" t="s">
        <v>53</v>
      </c>
      <c r="G101" s="571">
        <v>100</v>
      </c>
      <c r="H101" s="557"/>
      <c r="I101" s="558">
        <f t="shared" ref="I101" si="20">G101*H101</f>
        <v>0</v>
      </c>
      <c r="K101" s="554">
        <v>93</v>
      </c>
      <c r="L101" s="572" t="s">
        <v>54</v>
      </c>
      <c r="M101" s="568"/>
      <c r="N101" s="573"/>
      <c r="O101" s="569" t="s">
        <v>53</v>
      </c>
      <c r="P101" s="571">
        <v>100</v>
      </c>
      <c r="Q101" s="557">
        <v>22000</v>
      </c>
      <c r="R101" s="559">
        <f t="shared" si="16"/>
        <v>2200000</v>
      </c>
      <c r="S101" s="545">
        <f t="shared" si="12"/>
        <v>1</v>
      </c>
      <c r="T101" s="545">
        <f t="shared" si="13"/>
        <v>1</v>
      </c>
      <c r="U101" s="545">
        <f t="shared" si="14"/>
        <v>1</v>
      </c>
      <c r="V101" s="545">
        <f t="shared" si="17"/>
        <v>1</v>
      </c>
      <c r="W101" s="545">
        <f t="shared" si="18"/>
        <v>1</v>
      </c>
      <c r="X101" s="545">
        <f t="shared" si="19"/>
        <v>1</v>
      </c>
    </row>
    <row r="102" spans="1:24" x14ac:dyDescent="0.25">
      <c r="A102" s="553" t="s">
        <v>228</v>
      </c>
      <c r="B102" s="554">
        <v>94</v>
      </c>
      <c r="C102" s="574" t="s">
        <v>236</v>
      </c>
      <c r="D102" s="568"/>
      <c r="E102" s="573"/>
      <c r="F102" s="569" t="s">
        <v>6</v>
      </c>
      <c r="G102" s="571">
        <v>1</v>
      </c>
      <c r="H102" s="557"/>
      <c r="I102" s="558">
        <f t="shared" si="15"/>
        <v>0</v>
      </c>
      <c r="K102" s="554">
        <v>94</v>
      </c>
      <c r="L102" s="574" t="s">
        <v>236</v>
      </c>
      <c r="M102" s="568"/>
      <c r="N102" s="573"/>
      <c r="O102" s="569" t="s">
        <v>6</v>
      </c>
      <c r="P102" s="571">
        <v>1</v>
      </c>
      <c r="Q102" s="557">
        <v>210000000</v>
      </c>
      <c r="R102" s="559">
        <f t="shared" si="16"/>
        <v>210000000</v>
      </c>
      <c r="S102" s="545">
        <f t="shared" si="12"/>
        <v>1</v>
      </c>
      <c r="T102" s="545">
        <f t="shared" si="13"/>
        <v>1</v>
      </c>
      <c r="U102" s="545">
        <f t="shared" si="14"/>
        <v>1</v>
      </c>
      <c r="V102" s="545">
        <f t="shared" si="17"/>
        <v>1</v>
      </c>
      <c r="W102" s="545">
        <f t="shared" si="18"/>
        <v>1</v>
      </c>
      <c r="X102" s="545">
        <f t="shared" si="19"/>
        <v>1</v>
      </c>
    </row>
    <row r="103" spans="1:24" ht="33" customHeight="1" x14ac:dyDescent="0.25">
      <c r="B103" s="575"/>
      <c r="C103" s="576" t="s">
        <v>52</v>
      </c>
      <c r="D103" s="577"/>
      <c r="E103" s="578"/>
      <c r="F103" s="579"/>
      <c r="G103" s="580"/>
      <c r="H103" s="581"/>
      <c r="I103" s="582">
        <f>SUM(I9:I102)</f>
        <v>0</v>
      </c>
      <c r="K103" s="575"/>
      <c r="L103" s="576" t="s">
        <v>52</v>
      </c>
      <c r="M103" s="577"/>
      <c r="N103" s="578"/>
      <c r="O103" s="579"/>
      <c r="P103" s="580"/>
      <c r="Q103" s="581"/>
      <c r="R103" s="559">
        <f>SUM(R9:R102)</f>
        <v>392644081</v>
      </c>
      <c r="S103" s="545">
        <f>IF(EXACT(C103,L103),1,0)</f>
        <v>1</v>
      </c>
      <c r="T103" s="552" t="str">
        <f t="shared" si="13"/>
        <v/>
      </c>
      <c r="U103" s="552" t="str">
        <f t="shared" si="14"/>
        <v/>
      </c>
      <c r="V103" s="552" t="str">
        <f>IFERROR(IF(EXACT(Q103,VLOOKUP(K103,FORMATO_REM,7,FALSE)),1,0),"")</f>
        <v/>
      </c>
      <c r="W103" s="545">
        <f>IFERROR(IF(R103=SUM(R9:R102),1,0),"")</f>
        <v>1</v>
      </c>
      <c r="X103" s="545">
        <f>S103*W103</f>
        <v>1</v>
      </c>
    </row>
    <row r="104" spans="1:24" ht="35.25" customHeight="1" x14ac:dyDescent="0.25">
      <c r="B104" s="575"/>
      <c r="C104" s="583" t="s">
        <v>51</v>
      </c>
      <c r="D104" s="583"/>
      <c r="E104" s="583"/>
      <c r="F104" s="579"/>
      <c r="G104" s="580"/>
      <c r="H104" s="581"/>
      <c r="I104" s="584">
        <f>I103/12</f>
        <v>0</v>
      </c>
      <c r="K104" s="575"/>
      <c r="L104" s="583" t="s">
        <v>51</v>
      </c>
      <c r="M104" s="583"/>
      <c r="N104" s="583"/>
      <c r="O104" s="579"/>
      <c r="P104" s="580"/>
      <c r="Q104" s="581"/>
      <c r="R104" s="559">
        <f>R103/12</f>
        <v>32720340.083333332</v>
      </c>
      <c r="S104" s="545">
        <f t="shared" ref="S104:S105" si="21">IF(EXACT(C104,L104),1,0)</f>
        <v>1</v>
      </c>
      <c r="T104" s="552" t="str">
        <f t="shared" si="13"/>
        <v/>
      </c>
      <c r="U104" s="552" t="str">
        <f t="shared" si="14"/>
        <v/>
      </c>
      <c r="V104" s="552" t="str">
        <f>IFERROR(IF(EXACT(Q104,VLOOKUP(K104,FORMATO_REM,7,FALSE)),1,0),"")</f>
        <v/>
      </c>
      <c r="W104" s="545">
        <f>IFERROR(IF(R104=R103/12,1,0),"")</f>
        <v>1</v>
      </c>
      <c r="X104" s="545">
        <f t="shared" ref="X104:X105" si="22">S104*W104</f>
        <v>1</v>
      </c>
    </row>
    <row r="105" spans="1:24" ht="27" customHeight="1" thickBot="1" x14ac:dyDescent="0.3">
      <c r="B105" s="585"/>
      <c r="C105" s="586" t="s">
        <v>50</v>
      </c>
      <c r="D105" s="586"/>
      <c r="E105" s="586"/>
      <c r="F105" s="587"/>
      <c r="G105" s="587"/>
      <c r="H105" s="587"/>
      <c r="I105" s="588">
        <f>I103*1.19</f>
        <v>0</v>
      </c>
      <c r="K105" s="585"/>
      <c r="L105" s="586" t="s">
        <v>50</v>
      </c>
      <c r="M105" s="586"/>
      <c r="N105" s="586"/>
      <c r="O105" s="587"/>
      <c r="P105" s="587"/>
      <c r="Q105" s="587"/>
      <c r="R105" s="559">
        <f>R103*1.19</f>
        <v>467246456.38999999</v>
      </c>
      <c r="S105" s="545">
        <f t="shared" si="21"/>
        <v>1</v>
      </c>
      <c r="T105" s="552" t="str">
        <f t="shared" si="13"/>
        <v/>
      </c>
      <c r="U105" s="552" t="str">
        <f t="shared" si="14"/>
        <v/>
      </c>
      <c r="V105" s="552" t="str">
        <f>IFERROR(IF(EXACT(Q105,VLOOKUP(K105,FORMATO_REM,7,FALSE)),1,0),"")</f>
        <v/>
      </c>
      <c r="W105" s="545">
        <f>IFERROR(IF(R105=R103*1.19,1,0),"")</f>
        <v>1</v>
      </c>
      <c r="X105" s="545">
        <f t="shared" si="22"/>
        <v>1</v>
      </c>
    </row>
    <row r="106" spans="1:24" ht="15.75" thickBot="1" x14ac:dyDescent="0.3"/>
    <row r="107" spans="1:24" ht="18.75" customHeight="1" x14ac:dyDescent="0.25">
      <c r="B107" s="589" t="s">
        <v>238</v>
      </c>
      <c r="C107" s="590"/>
      <c r="D107" s="590"/>
      <c r="E107" s="590"/>
      <c r="F107" s="590"/>
      <c r="G107" s="590"/>
      <c r="H107" s="590"/>
      <c r="I107" s="591"/>
      <c r="K107" s="592">
        <f>L3</f>
        <v>1</v>
      </c>
      <c r="L107" s="593" t="str">
        <f>M3</f>
        <v>Comercial y Servicios Larco S.A.S</v>
      </c>
      <c r="M107" s="593"/>
      <c r="N107" s="593"/>
      <c r="O107" s="593"/>
      <c r="P107" s="593"/>
      <c r="Q107" s="593"/>
      <c r="R107" s="593"/>
    </row>
    <row r="108" spans="1:24" ht="61.5" x14ac:dyDescent="0.25">
      <c r="B108" s="594"/>
      <c r="C108" s="595"/>
      <c r="D108" s="595"/>
      <c r="E108" s="595"/>
      <c r="F108" s="595"/>
      <c r="G108" s="595"/>
      <c r="H108" s="595"/>
      <c r="I108" s="596"/>
      <c r="K108" s="597" t="str">
        <f>IF(X108=1,"OK","NO HABILITADO")</f>
        <v>OK</v>
      </c>
      <c r="L108" s="597"/>
      <c r="M108" s="597"/>
      <c r="N108" s="597"/>
      <c r="O108" s="597"/>
      <c r="P108" s="597"/>
      <c r="Q108" s="597"/>
      <c r="R108" s="597"/>
      <c r="X108" s="598">
        <f>X7*PRODUCT(X9:X105)</f>
        <v>1</v>
      </c>
    </row>
    <row r="109" spans="1:24" x14ac:dyDescent="0.25">
      <c r="B109" s="594"/>
      <c r="C109" s="595"/>
      <c r="D109" s="595"/>
      <c r="E109" s="595"/>
      <c r="F109" s="595"/>
      <c r="G109" s="595"/>
      <c r="H109" s="595"/>
      <c r="I109" s="596"/>
    </row>
    <row r="110" spans="1:24" ht="60" x14ac:dyDescent="0.25">
      <c r="B110" s="594"/>
      <c r="C110" s="595"/>
      <c r="D110" s="595"/>
      <c r="E110" s="595"/>
      <c r="F110" s="595"/>
      <c r="G110" s="595"/>
      <c r="H110" s="595"/>
      <c r="I110" s="596"/>
      <c r="X110" s="523" t="s">
        <v>397</v>
      </c>
    </row>
    <row r="111" spans="1:24" x14ac:dyDescent="0.25">
      <c r="B111" s="594"/>
      <c r="C111" s="595"/>
      <c r="D111" s="595"/>
      <c r="E111" s="595"/>
      <c r="F111" s="595"/>
      <c r="G111" s="595"/>
      <c r="H111" s="595"/>
      <c r="I111" s="596"/>
      <c r="M111" s="599" t="s">
        <v>340</v>
      </c>
      <c r="N111" s="600"/>
      <c r="O111" s="601" t="s">
        <v>341</v>
      </c>
    </row>
    <row r="112" spans="1:24" ht="30" x14ac:dyDescent="0.25">
      <c r="B112" s="594"/>
      <c r="C112" s="595"/>
      <c r="D112" s="595"/>
      <c r="E112" s="595"/>
      <c r="F112" s="595"/>
      <c r="G112" s="595"/>
      <c r="H112" s="595"/>
      <c r="I112" s="596"/>
      <c r="M112" s="545">
        <v>1</v>
      </c>
      <c r="N112" s="386" t="s">
        <v>249</v>
      </c>
      <c r="O112" s="545" t="str">
        <f>IF(K108="OK","H","NH")</f>
        <v>H</v>
      </c>
    </row>
    <row r="113" spans="2:9" x14ac:dyDescent="0.25">
      <c r="B113" s="594"/>
      <c r="C113" s="595"/>
      <c r="D113" s="595"/>
      <c r="E113" s="595"/>
      <c r="F113" s="595"/>
      <c r="G113" s="595"/>
      <c r="H113" s="595"/>
      <c r="I113" s="596"/>
    </row>
    <row r="114" spans="2:9" x14ac:dyDescent="0.25">
      <c r="B114" s="594"/>
      <c r="C114" s="595"/>
      <c r="D114" s="595"/>
      <c r="E114" s="595"/>
      <c r="F114" s="595"/>
      <c r="G114" s="595"/>
      <c r="H114" s="595"/>
      <c r="I114" s="596"/>
    </row>
    <row r="115" spans="2:9" x14ac:dyDescent="0.25">
      <c r="B115" s="594"/>
      <c r="C115" s="595"/>
      <c r="D115" s="595"/>
      <c r="E115" s="595"/>
      <c r="F115" s="595"/>
      <c r="G115" s="595"/>
      <c r="H115" s="595"/>
      <c r="I115" s="596"/>
    </row>
    <row r="116" spans="2:9" x14ac:dyDescent="0.25">
      <c r="B116" s="594"/>
      <c r="C116" s="595"/>
      <c r="D116" s="595"/>
      <c r="E116" s="595"/>
      <c r="F116" s="595"/>
      <c r="G116" s="595"/>
      <c r="H116" s="595"/>
      <c r="I116" s="596"/>
    </row>
    <row r="117" spans="2:9" x14ac:dyDescent="0.25">
      <c r="B117" s="594"/>
      <c r="C117" s="595"/>
      <c r="D117" s="595"/>
      <c r="E117" s="595"/>
      <c r="F117" s="595"/>
      <c r="G117" s="595"/>
      <c r="H117" s="595"/>
      <c r="I117" s="596"/>
    </row>
    <row r="118" spans="2:9" x14ac:dyDescent="0.25">
      <c r="B118" s="594"/>
      <c r="C118" s="595"/>
      <c r="D118" s="595"/>
      <c r="E118" s="595"/>
      <c r="F118" s="595"/>
      <c r="G118" s="595"/>
      <c r="H118" s="595"/>
      <c r="I118" s="596"/>
    </row>
    <row r="119" spans="2:9" ht="42.75" customHeight="1" thickBot="1" x14ac:dyDescent="0.3">
      <c r="B119" s="602"/>
      <c r="C119" s="603"/>
      <c r="D119" s="603"/>
      <c r="E119" s="603"/>
      <c r="F119" s="603"/>
      <c r="G119" s="603"/>
      <c r="H119" s="603"/>
      <c r="I119" s="604"/>
    </row>
    <row r="121" spans="2:9" ht="15.75" thickBot="1" x14ac:dyDescent="0.3">
      <c r="B121" s="605" t="s">
        <v>237</v>
      </c>
    </row>
    <row r="122" spans="2:9" x14ac:dyDescent="0.25">
      <c r="B122" s="606" t="s">
        <v>240</v>
      </c>
      <c r="C122" s="607"/>
      <c r="D122" s="607"/>
      <c r="E122" s="607"/>
      <c r="F122" s="607"/>
      <c r="G122" s="607"/>
      <c r="H122" s="607"/>
      <c r="I122" s="608"/>
    </row>
    <row r="123" spans="2:9" x14ac:dyDescent="0.25">
      <c r="B123" s="609"/>
      <c r="C123" s="610"/>
      <c r="D123" s="610"/>
      <c r="E123" s="610"/>
      <c r="F123" s="610"/>
      <c r="G123" s="610"/>
      <c r="H123" s="610"/>
      <c r="I123" s="611"/>
    </row>
    <row r="124" spans="2:9" x14ac:dyDescent="0.25">
      <c r="B124" s="609"/>
      <c r="C124" s="610"/>
      <c r="D124" s="610"/>
      <c r="E124" s="610"/>
      <c r="F124" s="610"/>
      <c r="G124" s="610"/>
      <c r="H124" s="610"/>
      <c r="I124" s="611"/>
    </row>
    <row r="125" spans="2:9" x14ac:dyDescent="0.25">
      <c r="B125" s="609"/>
      <c r="C125" s="610"/>
      <c r="D125" s="610"/>
      <c r="E125" s="610"/>
      <c r="F125" s="610"/>
      <c r="G125" s="610"/>
      <c r="H125" s="610"/>
      <c r="I125" s="611"/>
    </row>
    <row r="126" spans="2:9" x14ac:dyDescent="0.25">
      <c r="B126" s="609"/>
      <c r="C126" s="610"/>
      <c r="D126" s="610"/>
      <c r="E126" s="610"/>
      <c r="F126" s="610"/>
      <c r="G126" s="610"/>
      <c r="H126" s="610"/>
      <c r="I126" s="611"/>
    </row>
    <row r="127" spans="2:9" x14ac:dyDescent="0.25">
      <c r="B127" s="609"/>
      <c r="C127" s="610"/>
      <c r="D127" s="610"/>
      <c r="E127" s="610"/>
      <c r="F127" s="610"/>
      <c r="G127" s="610"/>
      <c r="H127" s="610"/>
      <c r="I127" s="611"/>
    </row>
    <row r="128" spans="2:9" ht="15.75" thickBot="1" x14ac:dyDescent="0.3">
      <c r="B128" s="612"/>
      <c r="C128" s="613"/>
      <c r="D128" s="613"/>
      <c r="E128" s="613"/>
      <c r="F128" s="613"/>
      <c r="G128" s="613"/>
      <c r="H128" s="613"/>
      <c r="I128" s="614"/>
    </row>
  </sheetData>
  <sheetProtection algorithmName="SHA-512" hashValue="5mpZ97b38W+4Wur/ngn9eZWUHBZB+uefRJZNiiaa8Urzx+dve77C/t/7/rTnI2VephvCmVLOvo7Efsj3zhnbZA==" saltValue="qeoPp9HLVv4Rqlvl6zKv0Q==" spinCount="100000" sheet="1" objects="1" scenarios="1"/>
  <autoFilter ref="A6:I105">
    <filterColumn colId="1" showButton="0"/>
    <filterColumn colId="2" showButton="0"/>
    <filterColumn colId="3" showButton="0"/>
    <filterColumn colId="4" showButton="0"/>
    <filterColumn colId="5" showButton="0"/>
    <filterColumn colId="6" showButton="0"/>
    <filterColumn colId="7" showButton="0"/>
  </autoFilter>
  <mergeCells count="214">
    <mergeCell ref="L105:N105"/>
    <mergeCell ref="K3:K5"/>
    <mergeCell ref="L3:L5"/>
    <mergeCell ref="M3:R5"/>
    <mergeCell ref="L96:N96"/>
    <mergeCell ref="L97:N97"/>
    <mergeCell ref="L98:N98"/>
    <mergeCell ref="L99:N99"/>
    <mergeCell ref="L100:N100"/>
    <mergeCell ref="L101:N101"/>
    <mergeCell ref="L102:N102"/>
    <mergeCell ref="L103:N103"/>
    <mergeCell ref="L104:N104"/>
    <mergeCell ref="L87:N87"/>
    <mergeCell ref="L88:N88"/>
    <mergeCell ref="L89:N89"/>
    <mergeCell ref="L90:N90"/>
    <mergeCell ref="L91:N91"/>
    <mergeCell ref="L92:N92"/>
    <mergeCell ref="L93:N93"/>
    <mergeCell ref="L94:N94"/>
    <mergeCell ref="L95:N95"/>
    <mergeCell ref="L78:N78"/>
    <mergeCell ref="L79:N79"/>
    <mergeCell ref="L86:N86"/>
    <mergeCell ref="L69:N69"/>
    <mergeCell ref="L70:N70"/>
    <mergeCell ref="L71:N71"/>
    <mergeCell ref="L72:N72"/>
    <mergeCell ref="L73:N73"/>
    <mergeCell ref="L74:N74"/>
    <mergeCell ref="L75:N75"/>
    <mergeCell ref="L76:N76"/>
    <mergeCell ref="L77:N77"/>
    <mergeCell ref="L66:N66"/>
    <mergeCell ref="L67:N67"/>
    <mergeCell ref="L68:N68"/>
    <mergeCell ref="L80:N80"/>
    <mergeCell ref="L81:N81"/>
    <mergeCell ref="L82:N82"/>
    <mergeCell ref="L83:N83"/>
    <mergeCell ref="L84:N84"/>
    <mergeCell ref="L85:N85"/>
    <mergeCell ref="L57:N57"/>
    <mergeCell ref="L58:N58"/>
    <mergeCell ref="L59:N59"/>
    <mergeCell ref="L60:N60"/>
    <mergeCell ref="L61:N61"/>
    <mergeCell ref="L62:N62"/>
    <mergeCell ref="L63:N63"/>
    <mergeCell ref="L64:N64"/>
    <mergeCell ref="L65:N65"/>
    <mergeCell ref="L48:N48"/>
    <mergeCell ref="L49:N49"/>
    <mergeCell ref="L50:N50"/>
    <mergeCell ref="L51:N51"/>
    <mergeCell ref="L52:N52"/>
    <mergeCell ref="L53:N53"/>
    <mergeCell ref="L54:N54"/>
    <mergeCell ref="L55:N55"/>
    <mergeCell ref="L56:N56"/>
    <mergeCell ref="L39:N39"/>
    <mergeCell ref="L40:N40"/>
    <mergeCell ref="L41:N41"/>
    <mergeCell ref="L42:N42"/>
    <mergeCell ref="L43:N43"/>
    <mergeCell ref="L44:N44"/>
    <mergeCell ref="L45:N45"/>
    <mergeCell ref="L46:N46"/>
    <mergeCell ref="L47:N47"/>
    <mergeCell ref="L30:N30"/>
    <mergeCell ref="L31:N31"/>
    <mergeCell ref="L32:N32"/>
    <mergeCell ref="L33:N33"/>
    <mergeCell ref="L34:N34"/>
    <mergeCell ref="L35:N35"/>
    <mergeCell ref="L36:N36"/>
    <mergeCell ref="L37:N37"/>
    <mergeCell ref="L38:N38"/>
    <mergeCell ref="L21:N21"/>
    <mergeCell ref="L22:N22"/>
    <mergeCell ref="L23:N23"/>
    <mergeCell ref="L24:N24"/>
    <mergeCell ref="L25:N25"/>
    <mergeCell ref="L26:N26"/>
    <mergeCell ref="L27:N27"/>
    <mergeCell ref="L28:N28"/>
    <mergeCell ref="L29:N29"/>
    <mergeCell ref="B122:I128"/>
    <mergeCell ref="B107:I119"/>
    <mergeCell ref="C105:E105"/>
    <mergeCell ref="C104:E104"/>
    <mergeCell ref="C103:E103"/>
    <mergeCell ref="C96:E96"/>
    <mergeCell ref="C98:E98"/>
    <mergeCell ref="C99:E99"/>
    <mergeCell ref="C100:E100"/>
    <mergeCell ref="C102:E102"/>
    <mergeCell ref="C97:E97"/>
    <mergeCell ref="C101:E101"/>
    <mergeCell ref="C91:E91"/>
    <mergeCell ref="C92:E92"/>
    <mergeCell ref="C93:E93"/>
    <mergeCell ref="C94:E94"/>
    <mergeCell ref="C95:E95"/>
    <mergeCell ref="C86:E86"/>
    <mergeCell ref="C87:E87"/>
    <mergeCell ref="C88:E88"/>
    <mergeCell ref="C89:E89"/>
    <mergeCell ref="C90:E90"/>
    <mergeCell ref="C81:E81"/>
    <mergeCell ref="C82:E82"/>
    <mergeCell ref="C83:E83"/>
    <mergeCell ref="C84:E84"/>
    <mergeCell ref="C85:E85"/>
    <mergeCell ref="C76:E76"/>
    <mergeCell ref="C77:E77"/>
    <mergeCell ref="C78:E78"/>
    <mergeCell ref="C79:E79"/>
    <mergeCell ref="C80:E80"/>
    <mergeCell ref="C71:E71"/>
    <mergeCell ref="C72:E72"/>
    <mergeCell ref="C73:E73"/>
    <mergeCell ref="C74:E74"/>
    <mergeCell ref="C75:E75"/>
    <mergeCell ref="C66:E66"/>
    <mergeCell ref="C67:E67"/>
    <mergeCell ref="C68:E68"/>
    <mergeCell ref="C69:E69"/>
    <mergeCell ref="C70:E70"/>
    <mergeCell ref="C61:E61"/>
    <mergeCell ref="C62:E62"/>
    <mergeCell ref="C63:E63"/>
    <mergeCell ref="C64:E64"/>
    <mergeCell ref="C65:E65"/>
    <mergeCell ref="C56:E56"/>
    <mergeCell ref="C57:E57"/>
    <mergeCell ref="C58:E58"/>
    <mergeCell ref="C59:E59"/>
    <mergeCell ref="C60:E60"/>
    <mergeCell ref="C51:E51"/>
    <mergeCell ref="C52:E52"/>
    <mergeCell ref="C53:E53"/>
    <mergeCell ref="C54:E54"/>
    <mergeCell ref="C55:E55"/>
    <mergeCell ref="C46:E46"/>
    <mergeCell ref="C47:E47"/>
    <mergeCell ref="C48:E48"/>
    <mergeCell ref="C49:E49"/>
    <mergeCell ref="C50:E50"/>
    <mergeCell ref="C41:E41"/>
    <mergeCell ref="C42:E42"/>
    <mergeCell ref="C43:E43"/>
    <mergeCell ref="C44:E44"/>
    <mergeCell ref="C45:E45"/>
    <mergeCell ref="C36:E36"/>
    <mergeCell ref="C37:E37"/>
    <mergeCell ref="C38:E38"/>
    <mergeCell ref="C39:E39"/>
    <mergeCell ref="C40:E40"/>
    <mergeCell ref="C31:E31"/>
    <mergeCell ref="C32:E32"/>
    <mergeCell ref="C33:E33"/>
    <mergeCell ref="C34:E34"/>
    <mergeCell ref="C35:E35"/>
    <mergeCell ref="C26:E26"/>
    <mergeCell ref="C27:E27"/>
    <mergeCell ref="C28:E28"/>
    <mergeCell ref="C29:E29"/>
    <mergeCell ref="C30:E30"/>
    <mergeCell ref="C21:E21"/>
    <mergeCell ref="C22:E22"/>
    <mergeCell ref="C23:E23"/>
    <mergeCell ref="C24:E24"/>
    <mergeCell ref="C25:E25"/>
    <mergeCell ref="C16:E16"/>
    <mergeCell ref="C17:E17"/>
    <mergeCell ref="C18:E18"/>
    <mergeCell ref="C19:E19"/>
    <mergeCell ref="C20:E20"/>
    <mergeCell ref="C11:E11"/>
    <mergeCell ref="C12:E12"/>
    <mergeCell ref="C13:E13"/>
    <mergeCell ref="C14:E14"/>
    <mergeCell ref="C15:E15"/>
    <mergeCell ref="B6:I6"/>
    <mergeCell ref="C7:E7"/>
    <mergeCell ref="C8:E8"/>
    <mergeCell ref="C9:E9"/>
    <mergeCell ref="C10:E10"/>
    <mergeCell ref="S1:S6"/>
    <mergeCell ref="T1:T6"/>
    <mergeCell ref="U1:U6"/>
    <mergeCell ref="V1:V6"/>
    <mergeCell ref="W1:W6"/>
    <mergeCell ref="X1:X6"/>
    <mergeCell ref="K108:R108"/>
    <mergeCell ref="L107:R107"/>
    <mergeCell ref="M111:N111"/>
    <mergeCell ref="K6:R6"/>
    <mergeCell ref="L7:N7"/>
    <mergeCell ref="L8:N8"/>
    <mergeCell ref="L9:N9"/>
    <mergeCell ref="L10:N10"/>
    <mergeCell ref="L11:N11"/>
    <mergeCell ref="L12:N12"/>
    <mergeCell ref="L13:N13"/>
    <mergeCell ref="L14:N14"/>
    <mergeCell ref="L15:N15"/>
    <mergeCell ref="L16:N16"/>
    <mergeCell ref="L17:N17"/>
    <mergeCell ref="L18:N18"/>
    <mergeCell ref="L19:N19"/>
    <mergeCell ref="L20:N20"/>
  </mergeCells>
  <phoneticPr fontId="62" type="noConversion"/>
  <conditionalFormatting sqref="S7:S105">
    <cfRule type="cellIs" dxfId="66" priority="19" operator="equal">
      <formula>0</formula>
    </cfRule>
    <cfRule type="cellIs" dxfId="65" priority="20" operator="equal">
      <formula>1</formula>
    </cfRule>
  </conditionalFormatting>
  <conditionalFormatting sqref="T7:T105">
    <cfRule type="cellIs" dxfId="64" priority="17" operator="equal">
      <formula>0</formula>
    </cfRule>
    <cfRule type="cellIs" dxfId="63" priority="18" operator="equal">
      <formula>1</formula>
    </cfRule>
  </conditionalFormatting>
  <conditionalFormatting sqref="U7:U105">
    <cfRule type="cellIs" dxfId="62" priority="15" operator="equal">
      <formula>0</formula>
    </cfRule>
    <cfRule type="cellIs" dxfId="61" priority="16" operator="equal">
      <formula>1</formula>
    </cfRule>
  </conditionalFormatting>
  <conditionalFormatting sqref="V7:V105">
    <cfRule type="cellIs" dxfId="60" priority="13" operator="equal">
      <formula>0</formula>
    </cfRule>
    <cfRule type="cellIs" dxfId="59" priority="14" operator="equal">
      <formula>1</formula>
    </cfRule>
  </conditionalFormatting>
  <conditionalFormatting sqref="W7:W105">
    <cfRule type="cellIs" dxfId="58" priority="11" operator="equal">
      <formula>0</formula>
    </cfRule>
    <cfRule type="cellIs" dxfId="57" priority="12" operator="equal">
      <formula>1</formula>
    </cfRule>
  </conditionalFormatting>
  <conditionalFormatting sqref="X7">
    <cfRule type="cellIs" dxfId="56" priority="9" operator="equal">
      <formula>0</formula>
    </cfRule>
    <cfRule type="cellIs" dxfId="55" priority="10" operator="equal">
      <formula>1</formula>
    </cfRule>
  </conditionalFormatting>
  <conditionalFormatting sqref="X9:X102">
    <cfRule type="cellIs" dxfId="54" priority="7" operator="equal">
      <formula>0</formula>
    </cfRule>
    <cfRule type="cellIs" dxfId="53" priority="8" operator="equal">
      <formula>1</formula>
    </cfRule>
  </conditionalFormatting>
  <conditionalFormatting sqref="X108">
    <cfRule type="cellIs" dxfId="52" priority="5" operator="equal">
      <formula>0</formula>
    </cfRule>
    <cfRule type="cellIs" dxfId="51" priority="6" operator="equal">
      <formula>1</formula>
    </cfRule>
  </conditionalFormatting>
  <conditionalFormatting sqref="X103:X105">
    <cfRule type="cellIs" dxfId="50" priority="3" operator="equal">
      <formula>0</formula>
    </cfRule>
    <cfRule type="cellIs" dxfId="49" priority="4" operator="equal">
      <formula>1</formula>
    </cfRule>
  </conditionalFormatting>
  <conditionalFormatting sqref="K108:R108">
    <cfRule type="cellIs" dxfId="48" priority="1" operator="equal">
      <formula>"NO HABILITADO"</formula>
    </cfRule>
    <cfRule type="cellIs" dxfId="47" priority="2" operator="equal">
      <formula>"OK"</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Q60"/>
  <sheetViews>
    <sheetView workbookViewId="0">
      <selection sqref="A1:XFD1048576"/>
    </sheetView>
  </sheetViews>
  <sheetFormatPr baseColWidth="10" defaultRowHeight="15" x14ac:dyDescent="0.25"/>
  <cols>
    <col min="1" max="1" width="11.42578125" style="525"/>
    <col min="2" max="2" width="7.42578125" style="525" customWidth="1"/>
    <col min="3" max="3" width="24" style="525" customWidth="1"/>
    <col min="4" max="4" width="8.85546875" style="525" customWidth="1"/>
    <col min="5" max="5" width="13.7109375" style="525" customWidth="1"/>
    <col min="6" max="6" width="13" style="525" customWidth="1"/>
    <col min="7" max="8" width="11.42578125" style="525"/>
    <col min="9" max="9" width="27.42578125" style="525" customWidth="1"/>
    <col min="10" max="10" width="19.7109375" style="525" customWidth="1"/>
    <col min="11" max="11" width="22.5703125" style="525" customWidth="1"/>
    <col min="12" max="12" width="28.7109375" style="525" customWidth="1"/>
    <col min="13" max="16" width="11.42578125" style="525"/>
    <col min="17" max="17" width="15.85546875" style="525" bestFit="1" customWidth="1"/>
    <col min="18" max="16384" width="11.42578125" style="525"/>
  </cols>
  <sheetData>
    <row r="1" spans="1:17" ht="15" customHeight="1" x14ac:dyDescent="0.25">
      <c r="M1" s="526" t="s">
        <v>202</v>
      </c>
      <c r="N1" s="526" t="s">
        <v>1</v>
      </c>
      <c r="O1" s="526" t="s">
        <v>7</v>
      </c>
      <c r="P1" s="526" t="s">
        <v>2</v>
      </c>
      <c r="Q1" s="615" t="s">
        <v>396</v>
      </c>
    </row>
    <row r="2" spans="1:17" ht="15.75" thickBot="1" x14ac:dyDescent="0.3">
      <c r="M2" s="527"/>
      <c r="N2" s="527"/>
      <c r="O2" s="527"/>
      <c r="P2" s="527"/>
      <c r="Q2" s="527"/>
    </row>
    <row r="3" spans="1:17" ht="15" customHeight="1" x14ac:dyDescent="0.25">
      <c r="H3" s="616" t="s">
        <v>248</v>
      </c>
      <c r="I3" s="617">
        <v>1</v>
      </c>
      <c r="J3" s="529" t="str">
        <f>+' REPUESTOS,EQUIPOS Y MATERIALES'!M3</f>
        <v>Comercial y Servicios Larco S.A.S</v>
      </c>
      <c r="K3" s="529"/>
      <c r="L3" s="529"/>
      <c r="M3" s="527"/>
      <c r="N3" s="527"/>
      <c r="O3" s="527"/>
      <c r="P3" s="527"/>
      <c r="Q3" s="527"/>
    </row>
    <row r="4" spans="1:17" ht="15" customHeight="1" x14ac:dyDescent="0.25">
      <c r="H4" s="616"/>
      <c r="I4" s="618"/>
      <c r="J4" s="531"/>
      <c r="K4" s="531"/>
      <c r="L4" s="531"/>
      <c r="M4" s="527"/>
      <c r="N4" s="527"/>
      <c r="O4" s="527"/>
      <c r="P4" s="527"/>
      <c r="Q4" s="527"/>
    </row>
    <row r="5" spans="1:17" ht="15.75" customHeight="1" thickBot="1" x14ac:dyDescent="0.3">
      <c r="H5" s="616"/>
      <c r="I5" s="619"/>
      <c r="J5" s="533"/>
      <c r="K5" s="533"/>
      <c r="L5" s="533"/>
      <c r="M5" s="527"/>
      <c r="N5" s="527"/>
      <c r="O5" s="527"/>
      <c r="P5" s="527"/>
      <c r="Q5" s="527"/>
    </row>
    <row r="6" spans="1:17" ht="15.75" thickBot="1" x14ac:dyDescent="0.3">
      <c r="B6" s="535" t="s">
        <v>203</v>
      </c>
      <c r="C6" s="536"/>
      <c r="D6" s="536"/>
      <c r="E6" s="536"/>
      <c r="F6" s="537"/>
      <c r="H6" s="535" t="s">
        <v>203</v>
      </c>
      <c r="I6" s="536"/>
      <c r="J6" s="536"/>
      <c r="K6" s="536"/>
      <c r="L6" s="536"/>
      <c r="M6" s="527"/>
      <c r="N6" s="527"/>
      <c r="O6" s="527"/>
      <c r="P6" s="527"/>
      <c r="Q6" s="527"/>
    </row>
    <row r="7" spans="1:17" ht="26.25" thickBot="1" x14ac:dyDescent="0.3">
      <c r="A7" s="620" t="s">
        <v>225</v>
      </c>
      <c r="B7" s="621" t="s">
        <v>9</v>
      </c>
      <c r="C7" s="622" t="s">
        <v>202</v>
      </c>
      <c r="D7" s="623" t="s">
        <v>1</v>
      </c>
      <c r="E7" s="624" t="s">
        <v>7</v>
      </c>
      <c r="F7" s="624" t="s">
        <v>2</v>
      </c>
      <c r="H7" s="621" t="s">
        <v>9</v>
      </c>
      <c r="I7" s="622" t="s">
        <v>202</v>
      </c>
      <c r="J7" s="623" t="s">
        <v>1</v>
      </c>
      <c r="K7" s="624" t="s">
        <v>7</v>
      </c>
      <c r="L7" s="624" t="s">
        <v>2</v>
      </c>
      <c r="M7" s="545">
        <f>IFERROR(IF(EXACT(I7,VLOOKUP(H7,FORMATO_HER,2,FALSE)),1,0),"")</f>
        <v>1</v>
      </c>
      <c r="N7" s="545">
        <f t="shared" ref="N7:N53" si="0">IFERROR(IF(EXACT(J7,VLOOKUP(H7,FORMATO_HER,3,FALSE)),1,0),"")</f>
        <v>1</v>
      </c>
      <c r="O7" s="545">
        <f>IFERROR(IF(EXACT(K7,VLOOKUP(H7,FORMATO_HER,4,FALSE)),1,0),"")</f>
        <v>1</v>
      </c>
      <c r="P7" s="545">
        <f>IFERROR(IF(EXACT(L7,VLOOKUP(H7,FORMATO_HER,5,FALSE)),1,0),"")</f>
        <v>1</v>
      </c>
      <c r="Q7" s="545">
        <f>PRODUCT(M7:P7)</f>
        <v>1</v>
      </c>
    </row>
    <row r="8" spans="1:17" ht="31.5" customHeight="1" thickBot="1" x14ac:dyDescent="0.3">
      <c r="A8" s="625" t="s">
        <v>227</v>
      </c>
      <c r="B8" s="625">
        <v>1</v>
      </c>
      <c r="C8" s="626" t="s">
        <v>201</v>
      </c>
      <c r="D8" s="627">
        <v>2</v>
      </c>
      <c r="E8" s="628"/>
      <c r="F8" s="629">
        <f>ROUND(D8*E8,0)</f>
        <v>0</v>
      </c>
      <c r="H8" s="625">
        <v>1</v>
      </c>
      <c r="I8" s="626" t="s">
        <v>201</v>
      </c>
      <c r="J8" s="627">
        <v>2</v>
      </c>
      <c r="K8" s="628">
        <v>122000</v>
      </c>
      <c r="L8" s="629">
        <f>J8*K8</f>
        <v>244000</v>
      </c>
      <c r="M8" s="545">
        <f t="shared" ref="M8:M53" si="1">IFERROR(IF(EXACT(I8,VLOOKUP(H8,FORMATO_HER,2,FALSE)),1,0),"")</f>
        <v>1</v>
      </c>
      <c r="N8" s="545">
        <f t="shared" si="0"/>
        <v>1</v>
      </c>
      <c r="O8" s="545">
        <f>IFERROR(IF(K8&gt;0,1,0),"")</f>
        <v>1</v>
      </c>
      <c r="P8" s="545">
        <f>IFERROR(IF(L8=J8*K8,1,0),"")</f>
        <v>1</v>
      </c>
      <c r="Q8" s="545">
        <f t="shared" ref="Q8:Q53" si="2">PRODUCT(M8:P8)</f>
        <v>1</v>
      </c>
    </row>
    <row r="9" spans="1:17" ht="39" customHeight="1" thickBot="1" x14ac:dyDescent="0.3">
      <c r="A9" s="625" t="s">
        <v>228</v>
      </c>
      <c r="B9" s="625">
        <v>2</v>
      </c>
      <c r="C9" s="626" t="s">
        <v>200</v>
      </c>
      <c r="D9" s="627">
        <v>4</v>
      </c>
      <c r="E9" s="628"/>
      <c r="F9" s="629">
        <f t="shared" ref="F9:F50" si="3">ROUND(D9*E9,0)</f>
        <v>0</v>
      </c>
      <c r="H9" s="625">
        <v>2</v>
      </c>
      <c r="I9" s="626" t="s">
        <v>200</v>
      </c>
      <c r="J9" s="627">
        <v>4</v>
      </c>
      <c r="K9" s="628">
        <v>254000</v>
      </c>
      <c r="L9" s="629">
        <f t="shared" ref="L9:L50" si="4">J9*K9</f>
        <v>1016000</v>
      </c>
      <c r="M9" s="545">
        <f t="shared" si="1"/>
        <v>1</v>
      </c>
      <c r="N9" s="545">
        <f t="shared" si="0"/>
        <v>1</v>
      </c>
      <c r="O9" s="545">
        <f t="shared" ref="O9:O50" si="5">IFERROR(IF(K9&gt;0,1,0),"")</f>
        <v>1</v>
      </c>
      <c r="P9" s="545">
        <f t="shared" ref="P9:P50" si="6">IFERROR(IF(L9=J9*K9,1,0),"")</f>
        <v>1</v>
      </c>
      <c r="Q9" s="545">
        <f t="shared" si="2"/>
        <v>1</v>
      </c>
    </row>
    <row r="10" spans="1:17" ht="21.75" customHeight="1" thickBot="1" x14ac:dyDescent="0.3">
      <c r="A10" s="625" t="s">
        <v>226</v>
      </c>
      <c r="B10" s="625">
        <v>3</v>
      </c>
      <c r="C10" s="626" t="s">
        <v>199</v>
      </c>
      <c r="D10" s="627">
        <v>4</v>
      </c>
      <c r="E10" s="628"/>
      <c r="F10" s="629">
        <f t="shared" si="3"/>
        <v>0</v>
      </c>
      <c r="H10" s="625">
        <v>3</v>
      </c>
      <c r="I10" s="626" t="s">
        <v>199</v>
      </c>
      <c r="J10" s="627">
        <v>4</v>
      </c>
      <c r="K10" s="628">
        <v>18900</v>
      </c>
      <c r="L10" s="629">
        <f t="shared" si="4"/>
        <v>75600</v>
      </c>
      <c r="M10" s="545">
        <f t="shared" si="1"/>
        <v>1</v>
      </c>
      <c r="N10" s="545">
        <f t="shared" si="0"/>
        <v>1</v>
      </c>
      <c r="O10" s="545">
        <f t="shared" si="5"/>
        <v>1</v>
      </c>
      <c r="P10" s="545">
        <f t="shared" si="6"/>
        <v>1</v>
      </c>
      <c r="Q10" s="545">
        <f t="shared" si="2"/>
        <v>1</v>
      </c>
    </row>
    <row r="11" spans="1:17" ht="32.25" customHeight="1" thickBot="1" x14ac:dyDescent="0.3">
      <c r="A11" s="625" t="s">
        <v>228</v>
      </c>
      <c r="B11" s="625">
        <v>4</v>
      </c>
      <c r="C11" s="626" t="s">
        <v>198</v>
      </c>
      <c r="D11" s="627">
        <v>1</v>
      </c>
      <c r="E11" s="628"/>
      <c r="F11" s="629">
        <f t="shared" si="3"/>
        <v>0</v>
      </c>
      <c r="H11" s="625">
        <v>4</v>
      </c>
      <c r="I11" s="626" t="s">
        <v>198</v>
      </c>
      <c r="J11" s="627">
        <v>1</v>
      </c>
      <c r="K11" s="628">
        <v>32900</v>
      </c>
      <c r="L11" s="629">
        <f t="shared" si="4"/>
        <v>32900</v>
      </c>
      <c r="M11" s="545">
        <f t="shared" si="1"/>
        <v>1</v>
      </c>
      <c r="N11" s="545">
        <f t="shared" si="0"/>
        <v>1</v>
      </c>
      <c r="O11" s="545">
        <f t="shared" si="5"/>
        <v>1</v>
      </c>
      <c r="P11" s="545">
        <f t="shared" si="6"/>
        <v>1</v>
      </c>
      <c r="Q11" s="545">
        <f t="shared" si="2"/>
        <v>1</v>
      </c>
    </row>
    <row r="12" spans="1:17" ht="28.5" customHeight="1" thickBot="1" x14ac:dyDescent="0.3">
      <c r="A12" s="625" t="s">
        <v>226</v>
      </c>
      <c r="B12" s="625">
        <v>5</v>
      </c>
      <c r="C12" s="626" t="s">
        <v>197</v>
      </c>
      <c r="D12" s="627">
        <v>6</v>
      </c>
      <c r="E12" s="628"/>
      <c r="F12" s="629">
        <f t="shared" si="3"/>
        <v>0</v>
      </c>
      <c r="H12" s="625">
        <v>5</v>
      </c>
      <c r="I12" s="626" t="s">
        <v>197</v>
      </c>
      <c r="J12" s="627">
        <v>6</v>
      </c>
      <c r="K12" s="628">
        <v>4500</v>
      </c>
      <c r="L12" s="629">
        <f t="shared" si="4"/>
        <v>27000</v>
      </c>
      <c r="M12" s="545">
        <f t="shared" si="1"/>
        <v>1</v>
      </c>
      <c r="N12" s="545">
        <f t="shared" si="0"/>
        <v>1</v>
      </c>
      <c r="O12" s="545">
        <f t="shared" si="5"/>
        <v>1</v>
      </c>
      <c r="P12" s="545">
        <f t="shared" si="6"/>
        <v>1</v>
      </c>
      <c r="Q12" s="545">
        <f t="shared" si="2"/>
        <v>1</v>
      </c>
    </row>
    <row r="13" spans="1:17" ht="27.75" customHeight="1" thickBot="1" x14ac:dyDescent="0.3">
      <c r="A13" s="625" t="s">
        <v>228</v>
      </c>
      <c r="B13" s="625">
        <v>6</v>
      </c>
      <c r="C13" s="630" t="s">
        <v>196</v>
      </c>
      <c r="D13" s="631">
        <v>4</v>
      </c>
      <c r="E13" s="628"/>
      <c r="F13" s="629">
        <f t="shared" si="3"/>
        <v>0</v>
      </c>
      <c r="H13" s="625">
        <v>6</v>
      </c>
      <c r="I13" s="630" t="s">
        <v>196</v>
      </c>
      <c r="J13" s="631">
        <v>4</v>
      </c>
      <c r="K13" s="628">
        <v>189000</v>
      </c>
      <c r="L13" s="629">
        <f t="shared" si="4"/>
        <v>756000</v>
      </c>
      <c r="M13" s="545">
        <f t="shared" si="1"/>
        <v>1</v>
      </c>
      <c r="N13" s="545">
        <f t="shared" si="0"/>
        <v>1</v>
      </c>
      <c r="O13" s="545">
        <f t="shared" si="5"/>
        <v>1</v>
      </c>
      <c r="P13" s="545">
        <f t="shared" si="6"/>
        <v>1</v>
      </c>
      <c r="Q13" s="545">
        <f t="shared" si="2"/>
        <v>1</v>
      </c>
    </row>
    <row r="14" spans="1:17" ht="26.25" customHeight="1" thickBot="1" x14ac:dyDescent="0.3">
      <c r="A14" s="625" t="s">
        <v>228</v>
      </c>
      <c r="B14" s="625">
        <v>7</v>
      </c>
      <c r="C14" s="630" t="s">
        <v>195</v>
      </c>
      <c r="D14" s="631">
        <v>4</v>
      </c>
      <c r="E14" s="628"/>
      <c r="F14" s="629">
        <f t="shared" si="3"/>
        <v>0</v>
      </c>
      <c r="H14" s="625">
        <v>7</v>
      </c>
      <c r="I14" s="630" t="s">
        <v>195</v>
      </c>
      <c r="J14" s="631">
        <v>4</v>
      </c>
      <c r="K14" s="628">
        <v>189000</v>
      </c>
      <c r="L14" s="629">
        <f t="shared" si="4"/>
        <v>756000</v>
      </c>
      <c r="M14" s="545">
        <f t="shared" si="1"/>
        <v>1</v>
      </c>
      <c r="N14" s="545">
        <f t="shared" si="0"/>
        <v>1</v>
      </c>
      <c r="O14" s="545">
        <f t="shared" si="5"/>
        <v>1</v>
      </c>
      <c r="P14" s="545">
        <f t="shared" si="6"/>
        <v>1</v>
      </c>
      <c r="Q14" s="545">
        <f t="shared" si="2"/>
        <v>1</v>
      </c>
    </row>
    <row r="15" spans="1:17" ht="33.75" customHeight="1" thickBot="1" x14ac:dyDescent="0.3">
      <c r="A15" s="625" t="s">
        <v>226</v>
      </c>
      <c r="B15" s="625">
        <v>8</v>
      </c>
      <c r="C15" s="630" t="s">
        <v>194</v>
      </c>
      <c r="D15" s="631">
        <v>4</v>
      </c>
      <c r="E15" s="628"/>
      <c r="F15" s="629">
        <f t="shared" si="3"/>
        <v>0</v>
      </c>
      <c r="H15" s="625">
        <v>8</v>
      </c>
      <c r="I15" s="630" t="s">
        <v>194</v>
      </c>
      <c r="J15" s="631">
        <v>4</v>
      </c>
      <c r="K15" s="628">
        <v>45000</v>
      </c>
      <c r="L15" s="629">
        <f t="shared" si="4"/>
        <v>180000</v>
      </c>
      <c r="M15" s="545">
        <f t="shared" si="1"/>
        <v>1</v>
      </c>
      <c r="N15" s="545">
        <f t="shared" si="0"/>
        <v>1</v>
      </c>
      <c r="O15" s="545">
        <f t="shared" si="5"/>
        <v>1</v>
      </c>
      <c r="P15" s="545">
        <f t="shared" si="6"/>
        <v>1</v>
      </c>
      <c r="Q15" s="545">
        <f t="shared" si="2"/>
        <v>1</v>
      </c>
    </row>
    <row r="16" spans="1:17" ht="26.25" customHeight="1" thickBot="1" x14ac:dyDescent="0.3">
      <c r="A16" s="625" t="s">
        <v>228</v>
      </c>
      <c r="B16" s="625">
        <v>9</v>
      </c>
      <c r="C16" s="630" t="s">
        <v>193</v>
      </c>
      <c r="D16" s="631">
        <v>4</v>
      </c>
      <c r="E16" s="628"/>
      <c r="F16" s="629">
        <f t="shared" si="3"/>
        <v>0</v>
      </c>
      <c r="H16" s="625">
        <v>9</v>
      </c>
      <c r="I16" s="630" t="s">
        <v>193</v>
      </c>
      <c r="J16" s="631">
        <v>4</v>
      </c>
      <c r="K16" s="628">
        <v>36000</v>
      </c>
      <c r="L16" s="629">
        <f t="shared" si="4"/>
        <v>144000</v>
      </c>
      <c r="M16" s="545">
        <f t="shared" si="1"/>
        <v>1</v>
      </c>
      <c r="N16" s="545">
        <f t="shared" si="0"/>
        <v>1</v>
      </c>
      <c r="O16" s="545">
        <f t="shared" si="5"/>
        <v>1</v>
      </c>
      <c r="P16" s="545">
        <f t="shared" si="6"/>
        <v>1</v>
      </c>
      <c r="Q16" s="545">
        <f t="shared" si="2"/>
        <v>1</v>
      </c>
    </row>
    <row r="17" spans="1:17" ht="30.75" customHeight="1" thickBot="1" x14ac:dyDescent="0.3">
      <c r="A17" s="625" t="s">
        <v>226</v>
      </c>
      <c r="B17" s="625">
        <v>10</v>
      </c>
      <c r="C17" s="630" t="s">
        <v>192</v>
      </c>
      <c r="D17" s="631">
        <v>4</v>
      </c>
      <c r="E17" s="628"/>
      <c r="F17" s="629">
        <f t="shared" si="3"/>
        <v>0</v>
      </c>
      <c r="H17" s="625">
        <v>10</v>
      </c>
      <c r="I17" s="630" t="s">
        <v>192</v>
      </c>
      <c r="J17" s="631">
        <v>4</v>
      </c>
      <c r="K17" s="628">
        <v>19000</v>
      </c>
      <c r="L17" s="629">
        <f t="shared" si="4"/>
        <v>76000</v>
      </c>
      <c r="M17" s="545">
        <f t="shared" si="1"/>
        <v>1</v>
      </c>
      <c r="N17" s="545">
        <f t="shared" si="0"/>
        <v>1</v>
      </c>
      <c r="O17" s="545">
        <f t="shared" si="5"/>
        <v>1</v>
      </c>
      <c r="P17" s="545">
        <f t="shared" si="6"/>
        <v>1</v>
      </c>
      <c r="Q17" s="545">
        <f t="shared" si="2"/>
        <v>1</v>
      </c>
    </row>
    <row r="18" spans="1:17" ht="31.5" customHeight="1" thickBot="1" x14ac:dyDescent="0.3">
      <c r="A18" s="625" t="s">
        <v>226</v>
      </c>
      <c r="B18" s="625">
        <v>11</v>
      </c>
      <c r="C18" s="630" t="s">
        <v>191</v>
      </c>
      <c r="D18" s="631">
        <v>4</v>
      </c>
      <c r="E18" s="628"/>
      <c r="F18" s="629">
        <f t="shared" si="3"/>
        <v>0</v>
      </c>
      <c r="H18" s="625">
        <v>11</v>
      </c>
      <c r="I18" s="630" t="s">
        <v>191</v>
      </c>
      <c r="J18" s="631">
        <v>4</v>
      </c>
      <c r="K18" s="628">
        <v>17700</v>
      </c>
      <c r="L18" s="629">
        <f t="shared" si="4"/>
        <v>70800</v>
      </c>
      <c r="M18" s="545">
        <f t="shared" si="1"/>
        <v>1</v>
      </c>
      <c r="N18" s="545">
        <f t="shared" si="0"/>
        <v>1</v>
      </c>
      <c r="O18" s="545">
        <f t="shared" si="5"/>
        <v>1</v>
      </c>
      <c r="P18" s="545">
        <f t="shared" si="6"/>
        <v>1</v>
      </c>
      <c r="Q18" s="545">
        <f t="shared" si="2"/>
        <v>1</v>
      </c>
    </row>
    <row r="19" spans="1:17" ht="24.75" thickBot="1" x14ac:dyDescent="0.3">
      <c r="A19" s="625" t="s">
        <v>226</v>
      </c>
      <c r="B19" s="625">
        <v>12</v>
      </c>
      <c r="C19" s="630" t="s">
        <v>190</v>
      </c>
      <c r="D19" s="631">
        <v>4</v>
      </c>
      <c r="E19" s="628"/>
      <c r="F19" s="629">
        <f t="shared" si="3"/>
        <v>0</v>
      </c>
      <c r="H19" s="625">
        <v>12</v>
      </c>
      <c r="I19" s="630" t="s">
        <v>190</v>
      </c>
      <c r="J19" s="631">
        <v>4</v>
      </c>
      <c r="K19" s="628">
        <v>23600</v>
      </c>
      <c r="L19" s="629">
        <f t="shared" si="4"/>
        <v>94400</v>
      </c>
      <c r="M19" s="545">
        <f t="shared" si="1"/>
        <v>1</v>
      </c>
      <c r="N19" s="545">
        <f t="shared" si="0"/>
        <v>1</v>
      </c>
      <c r="O19" s="545">
        <f t="shared" si="5"/>
        <v>1</v>
      </c>
      <c r="P19" s="545">
        <f t="shared" si="6"/>
        <v>1</v>
      </c>
      <c r="Q19" s="545">
        <f t="shared" si="2"/>
        <v>1</v>
      </c>
    </row>
    <row r="20" spans="1:17" ht="21.75" customHeight="1" thickBot="1" x14ac:dyDescent="0.3">
      <c r="A20" s="625" t="s">
        <v>226</v>
      </c>
      <c r="B20" s="625">
        <v>13</v>
      </c>
      <c r="C20" s="630" t="s">
        <v>189</v>
      </c>
      <c r="D20" s="631">
        <v>1</v>
      </c>
      <c r="E20" s="628"/>
      <c r="F20" s="629">
        <f t="shared" si="3"/>
        <v>0</v>
      </c>
      <c r="H20" s="625">
        <v>13</v>
      </c>
      <c r="I20" s="630" t="s">
        <v>189</v>
      </c>
      <c r="J20" s="631">
        <v>1</v>
      </c>
      <c r="K20" s="628">
        <v>35000</v>
      </c>
      <c r="L20" s="629">
        <f t="shared" si="4"/>
        <v>35000</v>
      </c>
      <c r="M20" s="545">
        <f t="shared" si="1"/>
        <v>1</v>
      </c>
      <c r="N20" s="545">
        <f t="shared" si="0"/>
        <v>1</v>
      </c>
      <c r="O20" s="545">
        <f t="shared" si="5"/>
        <v>1</v>
      </c>
      <c r="P20" s="545">
        <f t="shared" si="6"/>
        <v>1</v>
      </c>
      <c r="Q20" s="545">
        <f t="shared" si="2"/>
        <v>1</v>
      </c>
    </row>
    <row r="21" spans="1:17" ht="15.75" thickBot="1" x14ac:dyDescent="0.3">
      <c r="A21" s="625" t="s">
        <v>226</v>
      </c>
      <c r="B21" s="632">
        <v>14</v>
      </c>
      <c r="C21" s="630" t="s">
        <v>188</v>
      </c>
      <c r="D21" s="631">
        <v>3</v>
      </c>
      <c r="E21" s="628"/>
      <c r="F21" s="629">
        <f t="shared" si="3"/>
        <v>0</v>
      </c>
      <c r="H21" s="632">
        <v>14</v>
      </c>
      <c r="I21" s="630" t="s">
        <v>188</v>
      </c>
      <c r="J21" s="631">
        <v>3</v>
      </c>
      <c r="K21" s="628">
        <v>75000</v>
      </c>
      <c r="L21" s="629">
        <f t="shared" si="4"/>
        <v>225000</v>
      </c>
      <c r="M21" s="545">
        <f t="shared" si="1"/>
        <v>1</v>
      </c>
      <c r="N21" s="545">
        <f t="shared" si="0"/>
        <v>1</v>
      </c>
      <c r="O21" s="545">
        <f t="shared" si="5"/>
        <v>1</v>
      </c>
      <c r="P21" s="545">
        <f t="shared" si="6"/>
        <v>1</v>
      </c>
      <c r="Q21" s="545">
        <f t="shared" si="2"/>
        <v>1</v>
      </c>
    </row>
    <row r="22" spans="1:17" ht="19.5" customHeight="1" thickBot="1" x14ac:dyDescent="0.3">
      <c r="A22" s="625" t="s">
        <v>226</v>
      </c>
      <c r="B22" s="632">
        <v>15</v>
      </c>
      <c r="C22" s="630" t="s">
        <v>187</v>
      </c>
      <c r="D22" s="631">
        <v>2</v>
      </c>
      <c r="E22" s="628"/>
      <c r="F22" s="629">
        <f t="shared" si="3"/>
        <v>0</v>
      </c>
      <c r="H22" s="632">
        <v>15</v>
      </c>
      <c r="I22" s="630" t="s">
        <v>187</v>
      </c>
      <c r="J22" s="631">
        <v>2</v>
      </c>
      <c r="K22" s="628">
        <v>70000</v>
      </c>
      <c r="L22" s="629">
        <f t="shared" si="4"/>
        <v>140000</v>
      </c>
      <c r="M22" s="545">
        <f t="shared" si="1"/>
        <v>1</v>
      </c>
      <c r="N22" s="545">
        <f t="shared" si="0"/>
        <v>1</v>
      </c>
      <c r="O22" s="545">
        <f t="shared" si="5"/>
        <v>1</v>
      </c>
      <c r="P22" s="545">
        <f t="shared" si="6"/>
        <v>1</v>
      </c>
      <c r="Q22" s="545">
        <f t="shared" si="2"/>
        <v>1</v>
      </c>
    </row>
    <row r="23" spans="1:17" ht="15.75" thickBot="1" x14ac:dyDescent="0.3">
      <c r="A23" s="625" t="s">
        <v>226</v>
      </c>
      <c r="B23" s="632">
        <v>16</v>
      </c>
      <c r="C23" s="630" t="s">
        <v>186</v>
      </c>
      <c r="D23" s="631">
        <v>2</v>
      </c>
      <c r="E23" s="628"/>
      <c r="F23" s="629">
        <f t="shared" si="3"/>
        <v>0</v>
      </c>
      <c r="H23" s="632">
        <v>16</v>
      </c>
      <c r="I23" s="630" t="s">
        <v>186</v>
      </c>
      <c r="J23" s="631">
        <v>2</v>
      </c>
      <c r="K23" s="628">
        <v>30000</v>
      </c>
      <c r="L23" s="629">
        <f t="shared" si="4"/>
        <v>60000</v>
      </c>
      <c r="M23" s="545">
        <f t="shared" si="1"/>
        <v>1</v>
      </c>
      <c r="N23" s="545">
        <f t="shared" si="0"/>
        <v>1</v>
      </c>
      <c r="O23" s="545">
        <f t="shared" si="5"/>
        <v>1</v>
      </c>
      <c r="P23" s="545">
        <f t="shared" si="6"/>
        <v>1</v>
      </c>
      <c r="Q23" s="545">
        <f t="shared" si="2"/>
        <v>1</v>
      </c>
    </row>
    <row r="24" spans="1:17" ht="18" customHeight="1" thickBot="1" x14ac:dyDescent="0.3">
      <c r="A24" s="625" t="s">
        <v>226</v>
      </c>
      <c r="B24" s="632">
        <v>17</v>
      </c>
      <c r="C24" s="630" t="s">
        <v>185</v>
      </c>
      <c r="D24" s="631">
        <v>8</v>
      </c>
      <c r="E24" s="628"/>
      <c r="F24" s="629">
        <f t="shared" si="3"/>
        <v>0</v>
      </c>
      <c r="H24" s="632">
        <v>17</v>
      </c>
      <c r="I24" s="630" t="s">
        <v>185</v>
      </c>
      <c r="J24" s="631">
        <v>8</v>
      </c>
      <c r="K24" s="628">
        <v>4000</v>
      </c>
      <c r="L24" s="629">
        <f t="shared" si="4"/>
        <v>32000</v>
      </c>
      <c r="M24" s="545">
        <f t="shared" si="1"/>
        <v>1</v>
      </c>
      <c r="N24" s="545">
        <f t="shared" si="0"/>
        <v>1</v>
      </c>
      <c r="O24" s="545">
        <f t="shared" si="5"/>
        <v>1</v>
      </c>
      <c r="P24" s="545">
        <f t="shared" si="6"/>
        <v>1</v>
      </c>
      <c r="Q24" s="545">
        <f t="shared" si="2"/>
        <v>1</v>
      </c>
    </row>
    <row r="25" spans="1:17" ht="25.5" customHeight="1" thickBot="1" x14ac:dyDescent="0.3">
      <c r="A25" s="625" t="s">
        <v>228</v>
      </c>
      <c r="B25" s="632">
        <v>18</v>
      </c>
      <c r="C25" s="630" t="s">
        <v>184</v>
      </c>
      <c r="D25" s="631">
        <v>4</v>
      </c>
      <c r="E25" s="628"/>
      <c r="F25" s="629">
        <f t="shared" si="3"/>
        <v>0</v>
      </c>
      <c r="H25" s="632">
        <v>18</v>
      </c>
      <c r="I25" s="630" t="s">
        <v>184</v>
      </c>
      <c r="J25" s="631">
        <v>4</v>
      </c>
      <c r="K25" s="628">
        <v>70000</v>
      </c>
      <c r="L25" s="629">
        <f t="shared" si="4"/>
        <v>280000</v>
      </c>
      <c r="M25" s="545">
        <f t="shared" si="1"/>
        <v>1</v>
      </c>
      <c r="N25" s="545">
        <f t="shared" si="0"/>
        <v>1</v>
      </c>
      <c r="O25" s="545">
        <f t="shared" si="5"/>
        <v>1</v>
      </c>
      <c r="P25" s="545">
        <f t="shared" si="6"/>
        <v>1</v>
      </c>
      <c r="Q25" s="545">
        <f t="shared" si="2"/>
        <v>1</v>
      </c>
    </row>
    <row r="26" spans="1:17" ht="15.75" thickBot="1" x14ac:dyDescent="0.3">
      <c r="A26" s="625" t="s">
        <v>226</v>
      </c>
      <c r="B26" s="632">
        <v>19</v>
      </c>
      <c r="C26" s="630" t="s">
        <v>183</v>
      </c>
      <c r="D26" s="631">
        <v>4</v>
      </c>
      <c r="E26" s="628"/>
      <c r="F26" s="629">
        <f t="shared" si="3"/>
        <v>0</v>
      </c>
      <c r="H26" s="632">
        <v>19</v>
      </c>
      <c r="I26" s="630" t="s">
        <v>183</v>
      </c>
      <c r="J26" s="631">
        <v>4</v>
      </c>
      <c r="K26" s="628">
        <v>10700</v>
      </c>
      <c r="L26" s="629">
        <f t="shared" si="4"/>
        <v>42800</v>
      </c>
      <c r="M26" s="545">
        <f t="shared" si="1"/>
        <v>1</v>
      </c>
      <c r="N26" s="545">
        <f t="shared" si="0"/>
        <v>1</v>
      </c>
      <c r="O26" s="545">
        <f t="shared" si="5"/>
        <v>1</v>
      </c>
      <c r="P26" s="545">
        <f t="shared" si="6"/>
        <v>1</v>
      </c>
      <c r="Q26" s="545">
        <f t="shared" si="2"/>
        <v>1</v>
      </c>
    </row>
    <row r="27" spans="1:17" ht="15.75" thickBot="1" x14ac:dyDescent="0.3">
      <c r="A27" s="625" t="s">
        <v>226</v>
      </c>
      <c r="B27" s="632">
        <v>20</v>
      </c>
      <c r="C27" s="630" t="s">
        <v>182</v>
      </c>
      <c r="D27" s="631">
        <v>4</v>
      </c>
      <c r="E27" s="628"/>
      <c r="F27" s="629">
        <f t="shared" si="3"/>
        <v>0</v>
      </c>
      <c r="H27" s="632">
        <v>20</v>
      </c>
      <c r="I27" s="630" t="s">
        <v>182</v>
      </c>
      <c r="J27" s="631">
        <v>4</v>
      </c>
      <c r="K27" s="628">
        <v>19000</v>
      </c>
      <c r="L27" s="629">
        <f t="shared" si="4"/>
        <v>76000</v>
      </c>
      <c r="M27" s="545">
        <f t="shared" si="1"/>
        <v>1</v>
      </c>
      <c r="N27" s="545">
        <f t="shared" si="0"/>
        <v>1</v>
      </c>
      <c r="O27" s="545">
        <f t="shared" si="5"/>
        <v>1</v>
      </c>
      <c r="P27" s="545">
        <f t="shared" si="6"/>
        <v>1</v>
      </c>
      <c r="Q27" s="545">
        <f t="shared" si="2"/>
        <v>1</v>
      </c>
    </row>
    <row r="28" spans="1:17" ht="15.75" thickBot="1" x14ac:dyDescent="0.3">
      <c r="A28" s="625" t="s">
        <v>228</v>
      </c>
      <c r="B28" s="632">
        <v>21</v>
      </c>
      <c r="C28" s="630" t="s">
        <v>181</v>
      </c>
      <c r="D28" s="631">
        <v>2</v>
      </c>
      <c r="E28" s="628"/>
      <c r="F28" s="629">
        <f t="shared" si="3"/>
        <v>0</v>
      </c>
      <c r="H28" s="632">
        <v>21</v>
      </c>
      <c r="I28" s="630" t="s">
        <v>181</v>
      </c>
      <c r="J28" s="631">
        <v>2</v>
      </c>
      <c r="K28" s="628">
        <v>120000</v>
      </c>
      <c r="L28" s="629">
        <f t="shared" si="4"/>
        <v>240000</v>
      </c>
      <c r="M28" s="545">
        <f t="shared" si="1"/>
        <v>1</v>
      </c>
      <c r="N28" s="545">
        <f t="shared" si="0"/>
        <v>1</v>
      </c>
      <c r="O28" s="545">
        <f t="shared" si="5"/>
        <v>1</v>
      </c>
      <c r="P28" s="545">
        <f t="shared" si="6"/>
        <v>1</v>
      </c>
      <c r="Q28" s="545">
        <f t="shared" si="2"/>
        <v>1</v>
      </c>
    </row>
    <row r="29" spans="1:17" ht="15.75" thickBot="1" x14ac:dyDescent="0.3">
      <c r="A29" s="625" t="s">
        <v>226</v>
      </c>
      <c r="B29" s="632">
        <v>22</v>
      </c>
      <c r="C29" s="630" t="s">
        <v>180</v>
      </c>
      <c r="D29" s="631">
        <v>4</v>
      </c>
      <c r="E29" s="628"/>
      <c r="F29" s="629">
        <f t="shared" si="3"/>
        <v>0</v>
      </c>
      <c r="H29" s="632">
        <v>22</v>
      </c>
      <c r="I29" s="630" t="s">
        <v>180</v>
      </c>
      <c r="J29" s="631">
        <v>4</v>
      </c>
      <c r="K29" s="628">
        <v>3000</v>
      </c>
      <c r="L29" s="629">
        <f t="shared" si="4"/>
        <v>12000</v>
      </c>
      <c r="M29" s="545">
        <f t="shared" si="1"/>
        <v>1</v>
      </c>
      <c r="N29" s="545">
        <f t="shared" si="0"/>
        <v>1</v>
      </c>
      <c r="O29" s="545">
        <f t="shared" si="5"/>
        <v>1</v>
      </c>
      <c r="P29" s="545">
        <f t="shared" si="6"/>
        <v>1</v>
      </c>
      <c r="Q29" s="545">
        <f t="shared" si="2"/>
        <v>1</v>
      </c>
    </row>
    <row r="30" spans="1:17" ht="15.75" thickBot="1" x14ac:dyDescent="0.3">
      <c r="A30" s="625" t="s">
        <v>226</v>
      </c>
      <c r="B30" s="632">
        <v>23</v>
      </c>
      <c r="C30" s="630" t="s">
        <v>179</v>
      </c>
      <c r="D30" s="631">
        <v>1</v>
      </c>
      <c r="E30" s="628"/>
      <c r="F30" s="629">
        <f t="shared" si="3"/>
        <v>0</v>
      </c>
      <c r="H30" s="632">
        <v>23</v>
      </c>
      <c r="I30" s="630" t="s">
        <v>179</v>
      </c>
      <c r="J30" s="631">
        <v>1</v>
      </c>
      <c r="K30" s="628">
        <v>36000</v>
      </c>
      <c r="L30" s="629">
        <f t="shared" si="4"/>
        <v>36000</v>
      </c>
      <c r="M30" s="545">
        <f t="shared" si="1"/>
        <v>1</v>
      </c>
      <c r="N30" s="545">
        <f t="shared" si="0"/>
        <v>1</v>
      </c>
      <c r="O30" s="545">
        <f t="shared" si="5"/>
        <v>1</v>
      </c>
      <c r="P30" s="545">
        <f t="shared" si="6"/>
        <v>1</v>
      </c>
      <c r="Q30" s="545">
        <f t="shared" si="2"/>
        <v>1</v>
      </c>
    </row>
    <row r="31" spans="1:17" ht="15.75" thickBot="1" x14ac:dyDescent="0.3">
      <c r="A31" s="625" t="s">
        <v>226</v>
      </c>
      <c r="B31" s="632">
        <v>24</v>
      </c>
      <c r="C31" s="630" t="s">
        <v>178</v>
      </c>
      <c r="D31" s="631">
        <v>2</v>
      </c>
      <c r="E31" s="628"/>
      <c r="F31" s="629">
        <f t="shared" si="3"/>
        <v>0</v>
      </c>
      <c r="H31" s="632">
        <v>24</v>
      </c>
      <c r="I31" s="630" t="s">
        <v>178</v>
      </c>
      <c r="J31" s="631">
        <v>2</v>
      </c>
      <c r="K31" s="628">
        <v>60000</v>
      </c>
      <c r="L31" s="629">
        <f t="shared" si="4"/>
        <v>120000</v>
      </c>
      <c r="M31" s="545">
        <f t="shared" si="1"/>
        <v>1</v>
      </c>
      <c r="N31" s="545">
        <f t="shared" si="0"/>
        <v>1</v>
      </c>
      <c r="O31" s="545">
        <f t="shared" si="5"/>
        <v>1</v>
      </c>
      <c r="P31" s="545">
        <f t="shared" si="6"/>
        <v>1</v>
      </c>
      <c r="Q31" s="545">
        <f t="shared" si="2"/>
        <v>1</v>
      </c>
    </row>
    <row r="32" spans="1:17" ht="15.75" thickBot="1" x14ac:dyDescent="0.3">
      <c r="A32" s="625" t="s">
        <v>226</v>
      </c>
      <c r="B32" s="632">
        <v>25</v>
      </c>
      <c r="C32" s="630" t="s">
        <v>177</v>
      </c>
      <c r="D32" s="631">
        <v>2</v>
      </c>
      <c r="E32" s="628"/>
      <c r="F32" s="629">
        <f t="shared" si="3"/>
        <v>0</v>
      </c>
      <c r="H32" s="632">
        <v>25</v>
      </c>
      <c r="I32" s="630" t="s">
        <v>177</v>
      </c>
      <c r="J32" s="631">
        <v>2</v>
      </c>
      <c r="K32" s="628">
        <v>32000</v>
      </c>
      <c r="L32" s="629">
        <f t="shared" si="4"/>
        <v>64000</v>
      </c>
      <c r="M32" s="545">
        <f t="shared" si="1"/>
        <v>1</v>
      </c>
      <c r="N32" s="545">
        <f t="shared" si="0"/>
        <v>1</v>
      </c>
      <c r="O32" s="545">
        <f t="shared" si="5"/>
        <v>1</v>
      </c>
      <c r="P32" s="545">
        <f t="shared" si="6"/>
        <v>1</v>
      </c>
      <c r="Q32" s="545">
        <f t="shared" si="2"/>
        <v>1</v>
      </c>
    </row>
    <row r="33" spans="1:17" ht="24.75" thickBot="1" x14ac:dyDescent="0.3">
      <c r="A33" s="625" t="s">
        <v>228</v>
      </c>
      <c r="B33" s="632">
        <v>26</v>
      </c>
      <c r="C33" s="630" t="s">
        <v>176</v>
      </c>
      <c r="D33" s="631">
        <v>4</v>
      </c>
      <c r="E33" s="628"/>
      <c r="F33" s="629">
        <f t="shared" si="3"/>
        <v>0</v>
      </c>
      <c r="H33" s="632">
        <v>26</v>
      </c>
      <c r="I33" s="630" t="s">
        <v>176</v>
      </c>
      <c r="J33" s="631">
        <v>4</v>
      </c>
      <c r="K33" s="628">
        <v>98000</v>
      </c>
      <c r="L33" s="629">
        <f t="shared" si="4"/>
        <v>392000</v>
      </c>
      <c r="M33" s="545">
        <f t="shared" si="1"/>
        <v>1</v>
      </c>
      <c r="N33" s="545">
        <f t="shared" si="0"/>
        <v>1</v>
      </c>
      <c r="O33" s="545">
        <f t="shared" si="5"/>
        <v>1</v>
      </c>
      <c r="P33" s="545">
        <f t="shared" si="6"/>
        <v>1</v>
      </c>
      <c r="Q33" s="545">
        <f t="shared" si="2"/>
        <v>1</v>
      </c>
    </row>
    <row r="34" spans="1:17" ht="27.75" customHeight="1" thickBot="1" x14ac:dyDescent="0.3">
      <c r="A34" s="625" t="s">
        <v>226</v>
      </c>
      <c r="B34" s="632">
        <v>27</v>
      </c>
      <c r="C34" s="630" t="s">
        <v>175</v>
      </c>
      <c r="D34" s="631">
        <v>1</v>
      </c>
      <c r="E34" s="628"/>
      <c r="F34" s="629">
        <f t="shared" si="3"/>
        <v>0</v>
      </c>
      <c r="H34" s="632">
        <v>27</v>
      </c>
      <c r="I34" s="630" t="s">
        <v>175</v>
      </c>
      <c r="J34" s="631">
        <v>1</v>
      </c>
      <c r="K34" s="628">
        <v>128000</v>
      </c>
      <c r="L34" s="629">
        <f t="shared" si="4"/>
        <v>128000</v>
      </c>
      <c r="M34" s="545">
        <f t="shared" si="1"/>
        <v>1</v>
      </c>
      <c r="N34" s="545">
        <f t="shared" si="0"/>
        <v>1</v>
      </c>
      <c r="O34" s="545">
        <f t="shared" si="5"/>
        <v>1</v>
      </c>
      <c r="P34" s="545">
        <f t="shared" si="6"/>
        <v>1</v>
      </c>
      <c r="Q34" s="545">
        <f t="shared" si="2"/>
        <v>1</v>
      </c>
    </row>
    <row r="35" spans="1:17" ht="17.25" customHeight="1" thickBot="1" x14ac:dyDescent="0.3">
      <c r="A35" s="625" t="s">
        <v>226</v>
      </c>
      <c r="B35" s="625">
        <v>28</v>
      </c>
      <c r="C35" s="630" t="s">
        <v>174</v>
      </c>
      <c r="D35" s="631">
        <v>4</v>
      </c>
      <c r="E35" s="628"/>
      <c r="F35" s="629">
        <f t="shared" si="3"/>
        <v>0</v>
      </c>
      <c r="H35" s="625">
        <v>28</v>
      </c>
      <c r="I35" s="630" t="s">
        <v>174</v>
      </c>
      <c r="J35" s="631">
        <v>4</v>
      </c>
      <c r="K35" s="628">
        <v>24000</v>
      </c>
      <c r="L35" s="629">
        <f t="shared" si="4"/>
        <v>96000</v>
      </c>
      <c r="M35" s="545">
        <f t="shared" si="1"/>
        <v>1</v>
      </c>
      <c r="N35" s="545">
        <f t="shared" si="0"/>
        <v>1</v>
      </c>
      <c r="O35" s="545">
        <f t="shared" si="5"/>
        <v>1</v>
      </c>
      <c r="P35" s="545">
        <f t="shared" si="6"/>
        <v>1</v>
      </c>
      <c r="Q35" s="545">
        <f t="shared" si="2"/>
        <v>1</v>
      </c>
    </row>
    <row r="36" spans="1:17" ht="20.25" customHeight="1" thickBot="1" x14ac:dyDescent="0.3">
      <c r="A36" s="625" t="s">
        <v>226</v>
      </c>
      <c r="B36" s="625">
        <v>29</v>
      </c>
      <c r="C36" s="630" t="s">
        <v>173</v>
      </c>
      <c r="D36" s="631">
        <v>4</v>
      </c>
      <c r="E36" s="628"/>
      <c r="F36" s="629">
        <f t="shared" si="3"/>
        <v>0</v>
      </c>
      <c r="H36" s="625">
        <v>29</v>
      </c>
      <c r="I36" s="630" t="s">
        <v>173</v>
      </c>
      <c r="J36" s="631">
        <v>4</v>
      </c>
      <c r="K36" s="628">
        <v>18900</v>
      </c>
      <c r="L36" s="629">
        <f t="shared" si="4"/>
        <v>75600</v>
      </c>
      <c r="M36" s="545">
        <f t="shared" si="1"/>
        <v>1</v>
      </c>
      <c r="N36" s="545">
        <f t="shared" si="0"/>
        <v>1</v>
      </c>
      <c r="O36" s="545">
        <f t="shared" si="5"/>
        <v>1</v>
      </c>
      <c r="P36" s="545">
        <f t="shared" si="6"/>
        <v>1</v>
      </c>
      <c r="Q36" s="545">
        <f t="shared" si="2"/>
        <v>1</v>
      </c>
    </row>
    <row r="37" spans="1:17" ht="24" customHeight="1" thickBot="1" x14ac:dyDescent="0.3">
      <c r="A37" s="625" t="s">
        <v>226</v>
      </c>
      <c r="B37" s="625">
        <v>30</v>
      </c>
      <c r="C37" s="630" t="s">
        <v>172</v>
      </c>
      <c r="D37" s="631">
        <v>2</v>
      </c>
      <c r="E37" s="628"/>
      <c r="F37" s="629">
        <f t="shared" si="3"/>
        <v>0</v>
      </c>
      <c r="H37" s="625">
        <v>30</v>
      </c>
      <c r="I37" s="630" t="s">
        <v>172</v>
      </c>
      <c r="J37" s="631">
        <v>2</v>
      </c>
      <c r="K37" s="628">
        <v>22000</v>
      </c>
      <c r="L37" s="629">
        <f t="shared" si="4"/>
        <v>44000</v>
      </c>
      <c r="M37" s="545">
        <f t="shared" si="1"/>
        <v>1</v>
      </c>
      <c r="N37" s="545">
        <f t="shared" si="0"/>
        <v>1</v>
      </c>
      <c r="O37" s="545">
        <f t="shared" si="5"/>
        <v>1</v>
      </c>
      <c r="P37" s="545">
        <f t="shared" si="6"/>
        <v>1</v>
      </c>
      <c r="Q37" s="545">
        <f t="shared" si="2"/>
        <v>1</v>
      </c>
    </row>
    <row r="38" spans="1:17" ht="15.75" thickBot="1" x14ac:dyDescent="0.3">
      <c r="A38" s="625" t="s">
        <v>226</v>
      </c>
      <c r="B38" s="625">
        <v>31</v>
      </c>
      <c r="C38" s="630" t="s">
        <v>171</v>
      </c>
      <c r="D38" s="631">
        <v>2</v>
      </c>
      <c r="E38" s="628"/>
      <c r="F38" s="629">
        <f t="shared" si="3"/>
        <v>0</v>
      </c>
      <c r="H38" s="625">
        <v>31</v>
      </c>
      <c r="I38" s="630" t="s">
        <v>171</v>
      </c>
      <c r="J38" s="631">
        <v>2</v>
      </c>
      <c r="K38" s="628">
        <v>26000</v>
      </c>
      <c r="L38" s="629">
        <f t="shared" si="4"/>
        <v>52000</v>
      </c>
      <c r="M38" s="545">
        <f t="shared" si="1"/>
        <v>1</v>
      </c>
      <c r="N38" s="545">
        <f t="shared" si="0"/>
        <v>1</v>
      </c>
      <c r="O38" s="545">
        <f t="shared" si="5"/>
        <v>1</v>
      </c>
      <c r="P38" s="545">
        <f t="shared" si="6"/>
        <v>1</v>
      </c>
      <c r="Q38" s="545">
        <f t="shared" si="2"/>
        <v>1</v>
      </c>
    </row>
    <row r="39" spans="1:17" ht="22.5" customHeight="1" thickBot="1" x14ac:dyDescent="0.3">
      <c r="A39" s="625" t="s">
        <v>226</v>
      </c>
      <c r="B39" s="625">
        <v>32</v>
      </c>
      <c r="C39" s="630" t="s">
        <v>170</v>
      </c>
      <c r="D39" s="631">
        <v>2</v>
      </c>
      <c r="E39" s="628"/>
      <c r="F39" s="629">
        <f t="shared" si="3"/>
        <v>0</v>
      </c>
      <c r="H39" s="625">
        <v>32</v>
      </c>
      <c r="I39" s="630" t="s">
        <v>170</v>
      </c>
      <c r="J39" s="631">
        <v>2</v>
      </c>
      <c r="K39" s="628">
        <v>22000</v>
      </c>
      <c r="L39" s="629">
        <f t="shared" si="4"/>
        <v>44000</v>
      </c>
      <c r="M39" s="545">
        <f t="shared" si="1"/>
        <v>1</v>
      </c>
      <c r="N39" s="545">
        <f t="shared" si="0"/>
        <v>1</v>
      </c>
      <c r="O39" s="545">
        <f t="shared" si="5"/>
        <v>1</v>
      </c>
      <c r="P39" s="545">
        <f t="shared" si="6"/>
        <v>1</v>
      </c>
      <c r="Q39" s="545">
        <f t="shared" si="2"/>
        <v>1</v>
      </c>
    </row>
    <row r="40" spans="1:17" ht="27.75" customHeight="1" thickBot="1" x14ac:dyDescent="0.3">
      <c r="A40" s="625" t="s">
        <v>228</v>
      </c>
      <c r="B40" s="625">
        <v>33</v>
      </c>
      <c r="C40" s="630" t="s">
        <v>169</v>
      </c>
      <c r="D40" s="631">
        <v>1</v>
      </c>
      <c r="E40" s="628"/>
      <c r="F40" s="629">
        <f t="shared" si="3"/>
        <v>0</v>
      </c>
      <c r="H40" s="625">
        <v>33</v>
      </c>
      <c r="I40" s="630" t="s">
        <v>169</v>
      </c>
      <c r="J40" s="631">
        <v>1</v>
      </c>
      <c r="K40" s="628">
        <v>480000</v>
      </c>
      <c r="L40" s="629">
        <f t="shared" si="4"/>
        <v>480000</v>
      </c>
      <c r="M40" s="545">
        <f t="shared" si="1"/>
        <v>1</v>
      </c>
      <c r="N40" s="545">
        <f t="shared" si="0"/>
        <v>1</v>
      </c>
      <c r="O40" s="545">
        <f t="shared" si="5"/>
        <v>1</v>
      </c>
      <c r="P40" s="545">
        <f t="shared" si="6"/>
        <v>1</v>
      </c>
      <c r="Q40" s="545">
        <f t="shared" si="2"/>
        <v>1</v>
      </c>
    </row>
    <row r="41" spans="1:17" ht="29.25" customHeight="1" thickBot="1" x14ac:dyDescent="0.3">
      <c r="A41" s="625" t="s">
        <v>226</v>
      </c>
      <c r="B41" s="625">
        <v>34</v>
      </c>
      <c r="C41" s="630" t="s">
        <v>168</v>
      </c>
      <c r="D41" s="631">
        <v>1</v>
      </c>
      <c r="E41" s="628"/>
      <c r="F41" s="629">
        <f t="shared" si="3"/>
        <v>0</v>
      </c>
      <c r="H41" s="625">
        <v>34</v>
      </c>
      <c r="I41" s="630" t="s">
        <v>168</v>
      </c>
      <c r="J41" s="631">
        <v>1</v>
      </c>
      <c r="K41" s="628">
        <v>180000</v>
      </c>
      <c r="L41" s="629">
        <f t="shared" si="4"/>
        <v>180000</v>
      </c>
      <c r="M41" s="545">
        <f t="shared" si="1"/>
        <v>1</v>
      </c>
      <c r="N41" s="545">
        <f t="shared" si="0"/>
        <v>1</v>
      </c>
      <c r="O41" s="545">
        <f t="shared" si="5"/>
        <v>1</v>
      </c>
      <c r="P41" s="545">
        <f t="shared" si="6"/>
        <v>1</v>
      </c>
      <c r="Q41" s="545">
        <f t="shared" si="2"/>
        <v>1</v>
      </c>
    </row>
    <row r="42" spans="1:17" ht="30" customHeight="1" thickBot="1" x14ac:dyDescent="0.3">
      <c r="A42" s="625" t="s">
        <v>226</v>
      </c>
      <c r="B42" s="625">
        <v>35</v>
      </c>
      <c r="C42" s="630" t="s">
        <v>167</v>
      </c>
      <c r="D42" s="631">
        <v>4</v>
      </c>
      <c r="E42" s="628"/>
      <c r="F42" s="629">
        <f t="shared" si="3"/>
        <v>0</v>
      </c>
      <c r="H42" s="625">
        <v>35</v>
      </c>
      <c r="I42" s="630" t="s">
        <v>167</v>
      </c>
      <c r="J42" s="631">
        <v>4</v>
      </c>
      <c r="K42" s="628">
        <v>50000</v>
      </c>
      <c r="L42" s="629">
        <f t="shared" si="4"/>
        <v>200000</v>
      </c>
      <c r="M42" s="545">
        <f t="shared" si="1"/>
        <v>1</v>
      </c>
      <c r="N42" s="545">
        <f t="shared" si="0"/>
        <v>1</v>
      </c>
      <c r="O42" s="545">
        <f t="shared" si="5"/>
        <v>1</v>
      </c>
      <c r="P42" s="545">
        <f t="shared" si="6"/>
        <v>1</v>
      </c>
      <c r="Q42" s="545">
        <f t="shared" si="2"/>
        <v>1</v>
      </c>
    </row>
    <row r="43" spans="1:17" ht="30" customHeight="1" thickBot="1" x14ac:dyDescent="0.3">
      <c r="A43" s="625" t="s">
        <v>226</v>
      </c>
      <c r="B43" s="625">
        <v>36</v>
      </c>
      <c r="C43" s="630" t="s">
        <v>166</v>
      </c>
      <c r="D43" s="631">
        <v>2</v>
      </c>
      <c r="E43" s="628"/>
      <c r="F43" s="629">
        <f t="shared" si="3"/>
        <v>0</v>
      </c>
      <c r="H43" s="625">
        <v>36</v>
      </c>
      <c r="I43" s="630" t="s">
        <v>166</v>
      </c>
      <c r="J43" s="631">
        <v>2</v>
      </c>
      <c r="K43" s="628">
        <v>11000</v>
      </c>
      <c r="L43" s="629">
        <f t="shared" si="4"/>
        <v>22000</v>
      </c>
      <c r="M43" s="545">
        <f t="shared" si="1"/>
        <v>1</v>
      </c>
      <c r="N43" s="545">
        <f t="shared" si="0"/>
        <v>1</v>
      </c>
      <c r="O43" s="545">
        <f t="shared" si="5"/>
        <v>1</v>
      </c>
      <c r="P43" s="545">
        <f t="shared" si="6"/>
        <v>1</v>
      </c>
      <c r="Q43" s="545">
        <f t="shared" si="2"/>
        <v>1</v>
      </c>
    </row>
    <row r="44" spans="1:17" ht="15.75" thickBot="1" x14ac:dyDescent="0.3">
      <c r="A44" s="625" t="s">
        <v>226</v>
      </c>
      <c r="B44" s="625">
        <v>37</v>
      </c>
      <c r="C44" s="630" t="s">
        <v>165</v>
      </c>
      <c r="D44" s="631">
        <v>4</v>
      </c>
      <c r="E44" s="628"/>
      <c r="F44" s="629">
        <f t="shared" si="3"/>
        <v>0</v>
      </c>
      <c r="H44" s="625">
        <v>37</v>
      </c>
      <c r="I44" s="630" t="s">
        <v>165</v>
      </c>
      <c r="J44" s="631">
        <v>4</v>
      </c>
      <c r="K44" s="628">
        <v>22000</v>
      </c>
      <c r="L44" s="629">
        <f t="shared" si="4"/>
        <v>88000</v>
      </c>
      <c r="M44" s="545">
        <f t="shared" si="1"/>
        <v>1</v>
      </c>
      <c r="N44" s="545">
        <f t="shared" si="0"/>
        <v>1</v>
      </c>
      <c r="O44" s="545">
        <f t="shared" si="5"/>
        <v>1</v>
      </c>
      <c r="P44" s="545">
        <f t="shared" si="6"/>
        <v>1</v>
      </c>
      <c r="Q44" s="545">
        <f t="shared" si="2"/>
        <v>1</v>
      </c>
    </row>
    <row r="45" spans="1:17" ht="15.75" thickBot="1" x14ac:dyDescent="0.3">
      <c r="A45" s="625" t="s">
        <v>226</v>
      </c>
      <c r="B45" s="625">
        <v>38</v>
      </c>
      <c r="C45" s="630" t="s">
        <v>164</v>
      </c>
      <c r="D45" s="631">
        <v>4</v>
      </c>
      <c r="E45" s="628"/>
      <c r="F45" s="629">
        <f t="shared" si="3"/>
        <v>0</v>
      </c>
      <c r="H45" s="625">
        <v>38</v>
      </c>
      <c r="I45" s="630" t="s">
        <v>164</v>
      </c>
      <c r="J45" s="631">
        <v>4</v>
      </c>
      <c r="K45" s="628">
        <v>23000</v>
      </c>
      <c r="L45" s="629">
        <f t="shared" si="4"/>
        <v>92000</v>
      </c>
      <c r="M45" s="545">
        <f t="shared" si="1"/>
        <v>1</v>
      </c>
      <c r="N45" s="545">
        <f t="shared" si="0"/>
        <v>1</v>
      </c>
      <c r="O45" s="545">
        <f t="shared" si="5"/>
        <v>1</v>
      </c>
      <c r="P45" s="545">
        <f t="shared" si="6"/>
        <v>1</v>
      </c>
      <c r="Q45" s="545">
        <f t="shared" si="2"/>
        <v>1</v>
      </c>
    </row>
    <row r="46" spans="1:17" ht="29.25" customHeight="1" thickBot="1" x14ac:dyDescent="0.3">
      <c r="A46" s="625" t="s">
        <v>226</v>
      </c>
      <c r="B46" s="625">
        <v>39</v>
      </c>
      <c r="C46" s="630" t="s">
        <v>163</v>
      </c>
      <c r="D46" s="631">
        <v>2</v>
      </c>
      <c r="E46" s="628"/>
      <c r="F46" s="629">
        <f t="shared" si="3"/>
        <v>0</v>
      </c>
      <c r="H46" s="625">
        <v>39</v>
      </c>
      <c r="I46" s="630" t="s">
        <v>163</v>
      </c>
      <c r="J46" s="631">
        <v>2</v>
      </c>
      <c r="K46" s="628">
        <v>290000</v>
      </c>
      <c r="L46" s="629">
        <f t="shared" si="4"/>
        <v>580000</v>
      </c>
      <c r="M46" s="545">
        <f t="shared" si="1"/>
        <v>1</v>
      </c>
      <c r="N46" s="545">
        <f t="shared" si="0"/>
        <v>1</v>
      </c>
      <c r="O46" s="545">
        <f t="shared" si="5"/>
        <v>1</v>
      </c>
      <c r="P46" s="545">
        <f t="shared" si="6"/>
        <v>1</v>
      </c>
      <c r="Q46" s="545">
        <f t="shared" si="2"/>
        <v>1</v>
      </c>
    </row>
    <row r="47" spans="1:17" ht="15.75" thickBot="1" x14ac:dyDescent="0.3">
      <c r="A47" s="625" t="s">
        <v>226</v>
      </c>
      <c r="B47" s="625">
        <v>40</v>
      </c>
      <c r="C47" s="630" t="s">
        <v>162</v>
      </c>
      <c r="D47" s="631">
        <v>2</v>
      </c>
      <c r="E47" s="628"/>
      <c r="F47" s="629">
        <f t="shared" si="3"/>
        <v>0</v>
      </c>
      <c r="H47" s="625">
        <v>40</v>
      </c>
      <c r="I47" s="630" t="s">
        <v>162</v>
      </c>
      <c r="J47" s="631">
        <v>2</v>
      </c>
      <c r="K47" s="628">
        <v>11000</v>
      </c>
      <c r="L47" s="629">
        <f t="shared" si="4"/>
        <v>22000</v>
      </c>
      <c r="M47" s="545">
        <f t="shared" si="1"/>
        <v>1</v>
      </c>
      <c r="N47" s="545">
        <f t="shared" si="0"/>
        <v>1</v>
      </c>
      <c r="O47" s="545">
        <f t="shared" si="5"/>
        <v>1</v>
      </c>
      <c r="P47" s="545">
        <f t="shared" si="6"/>
        <v>1</v>
      </c>
      <c r="Q47" s="545">
        <f t="shared" si="2"/>
        <v>1</v>
      </c>
    </row>
    <row r="48" spans="1:17" ht="15.75" thickBot="1" x14ac:dyDescent="0.3">
      <c r="A48" s="625" t="s">
        <v>226</v>
      </c>
      <c r="B48" s="625">
        <v>41</v>
      </c>
      <c r="C48" s="630" t="s">
        <v>161</v>
      </c>
      <c r="D48" s="631">
        <v>2</v>
      </c>
      <c r="E48" s="628"/>
      <c r="F48" s="629">
        <f t="shared" si="3"/>
        <v>0</v>
      </c>
      <c r="H48" s="625">
        <v>41</v>
      </c>
      <c r="I48" s="630" t="s">
        <v>161</v>
      </c>
      <c r="J48" s="631">
        <v>2</v>
      </c>
      <c r="K48" s="628">
        <v>25000</v>
      </c>
      <c r="L48" s="629">
        <f t="shared" si="4"/>
        <v>50000</v>
      </c>
      <c r="M48" s="545">
        <f t="shared" si="1"/>
        <v>1</v>
      </c>
      <c r="N48" s="545">
        <f t="shared" si="0"/>
        <v>1</v>
      </c>
      <c r="O48" s="545">
        <f t="shared" si="5"/>
        <v>1</v>
      </c>
      <c r="P48" s="545">
        <f t="shared" si="6"/>
        <v>1</v>
      </c>
      <c r="Q48" s="545">
        <f t="shared" si="2"/>
        <v>1</v>
      </c>
    </row>
    <row r="49" spans="1:17" ht="15.75" thickBot="1" x14ac:dyDescent="0.3">
      <c r="A49" s="625" t="s">
        <v>226</v>
      </c>
      <c r="B49" s="625">
        <v>42</v>
      </c>
      <c r="C49" s="630" t="s">
        <v>160</v>
      </c>
      <c r="D49" s="631">
        <v>1</v>
      </c>
      <c r="E49" s="628"/>
      <c r="F49" s="629">
        <f t="shared" si="3"/>
        <v>0</v>
      </c>
      <c r="H49" s="625">
        <v>42</v>
      </c>
      <c r="I49" s="630" t="s">
        <v>160</v>
      </c>
      <c r="J49" s="631">
        <v>1</v>
      </c>
      <c r="K49" s="628">
        <v>180000</v>
      </c>
      <c r="L49" s="629">
        <f t="shared" si="4"/>
        <v>180000</v>
      </c>
      <c r="M49" s="545">
        <f t="shared" si="1"/>
        <v>1</v>
      </c>
      <c r="N49" s="545">
        <f t="shared" si="0"/>
        <v>1</v>
      </c>
      <c r="O49" s="545">
        <f t="shared" si="5"/>
        <v>1</v>
      </c>
      <c r="P49" s="545">
        <f t="shared" si="6"/>
        <v>1</v>
      </c>
      <c r="Q49" s="545">
        <f t="shared" si="2"/>
        <v>1</v>
      </c>
    </row>
    <row r="50" spans="1:17" ht="15.75" thickBot="1" x14ac:dyDescent="0.3">
      <c r="A50" s="625" t="s">
        <v>226</v>
      </c>
      <c r="B50" s="625">
        <v>43</v>
      </c>
      <c r="C50" s="630" t="s">
        <v>159</v>
      </c>
      <c r="D50" s="631">
        <v>1</v>
      </c>
      <c r="E50" s="628"/>
      <c r="F50" s="629">
        <f t="shared" si="3"/>
        <v>0</v>
      </c>
      <c r="H50" s="625">
        <v>43</v>
      </c>
      <c r="I50" s="630" t="s">
        <v>159</v>
      </c>
      <c r="J50" s="631">
        <v>1</v>
      </c>
      <c r="K50" s="628">
        <v>6000</v>
      </c>
      <c r="L50" s="629">
        <f t="shared" si="4"/>
        <v>6000</v>
      </c>
      <c r="M50" s="545">
        <f t="shared" si="1"/>
        <v>1</v>
      </c>
      <c r="N50" s="545">
        <f t="shared" si="0"/>
        <v>1</v>
      </c>
      <c r="O50" s="545">
        <f t="shared" si="5"/>
        <v>1</v>
      </c>
      <c r="P50" s="545">
        <f t="shared" si="6"/>
        <v>1</v>
      </c>
      <c r="Q50" s="545">
        <f t="shared" si="2"/>
        <v>1</v>
      </c>
    </row>
    <row r="51" spans="1:17" ht="15.75" thickBot="1" x14ac:dyDescent="0.3">
      <c r="A51" s="633"/>
      <c r="B51" s="634" t="s">
        <v>158</v>
      </c>
      <c r="C51" s="635"/>
      <c r="D51" s="635"/>
      <c r="E51" s="636"/>
      <c r="F51" s="629">
        <f>SUM(F8:F50)</f>
        <v>0</v>
      </c>
      <c r="H51" s="634" t="s">
        <v>158</v>
      </c>
      <c r="I51" s="635"/>
      <c r="J51" s="635"/>
      <c r="K51" s="636"/>
      <c r="L51" s="629">
        <f>SUM(L8:L50)</f>
        <v>7567100</v>
      </c>
      <c r="M51" s="545">
        <f t="shared" si="1"/>
        <v>1</v>
      </c>
      <c r="N51" s="545">
        <f t="shared" si="0"/>
        <v>1</v>
      </c>
      <c r="O51" s="545">
        <f>IFERROR(IF(EXACT(K51,VLOOKUP(H51,FORMATO_HER,4,FALSE)),1,0),"")</f>
        <v>1</v>
      </c>
      <c r="P51" s="545">
        <f>IFERROR(IF(L51=SUM(L8:L50),1,0),"")</f>
        <v>1</v>
      </c>
      <c r="Q51" s="545">
        <f t="shared" si="2"/>
        <v>1</v>
      </c>
    </row>
    <row r="52" spans="1:17" ht="15.75" thickBot="1" x14ac:dyDescent="0.3">
      <c r="B52" s="634" t="s">
        <v>157</v>
      </c>
      <c r="C52" s="635"/>
      <c r="D52" s="635"/>
      <c r="E52" s="636"/>
      <c r="F52" s="629">
        <f>+F51/12</f>
        <v>0</v>
      </c>
      <c r="H52" s="634" t="s">
        <v>157</v>
      </c>
      <c r="I52" s="635"/>
      <c r="J52" s="635"/>
      <c r="K52" s="636"/>
      <c r="L52" s="629">
        <f>+L51/12</f>
        <v>630591.66666666663</v>
      </c>
      <c r="M52" s="545">
        <f t="shared" si="1"/>
        <v>1</v>
      </c>
      <c r="N52" s="545">
        <f t="shared" si="0"/>
        <v>1</v>
      </c>
      <c r="O52" s="545">
        <f>IFERROR(IF(EXACT(K52,VLOOKUP(H52,FORMATO_HER,4,FALSE)),1,0),"")</f>
        <v>1</v>
      </c>
      <c r="P52" s="545">
        <f>IFERROR(IF(L52=L51/12,1,0),"")</f>
        <v>1</v>
      </c>
      <c r="Q52" s="545">
        <f t="shared" si="2"/>
        <v>1</v>
      </c>
    </row>
    <row r="53" spans="1:17" ht="15.75" thickBot="1" x14ac:dyDescent="0.3">
      <c r="B53" s="634" t="s">
        <v>156</v>
      </c>
      <c r="C53" s="635"/>
      <c r="D53" s="635"/>
      <c r="E53" s="636"/>
      <c r="F53" s="629">
        <f>+F52/8</f>
        <v>0</v>
      </c>
      <c r="H53" s="634" t="s">
        <v>156</v>
      </c>
      <c r="I53" s="635"/>
      <c r="J53" s="635"/>
      <c r="K53" s="636"/>
      <c r="L53" s="629">
        <f>+L52/8</f>
        <v>78823.958333333328</v>
      </c>
      <c r="M53" s="545">
        <f t="shared" si="1"/>
        <v>1</v>
      </c>
      <c r="N53" s="545">
        <f t="shared" si="0"/>
        <v>1</v>
      </c>
      <c r="O53" s="545">
        <f>IFERROR(IF(EXACT(K53,VLOOKUP(H53,FORMATO_HER,4,FALSE)),1,0),"")</f>
        <v>1</v>
      </c>
      <c r="P53" s="545">
        <f>IFERROR(IF(L52/8,1,0),"")</f>
        <v>1</v>
      </c>
      <c r="Q53" s="545">
        <f t="shared" si="2"/>
        <v>1</v>
      </c>
    </row>
    <row r="56" spans="1:17" ht="26.25" x14ac:dyDescent="0.25">
      <c r="H56" s="592">
        <f>I3</f>
        <v>1</v>
      </c>
      <c r="I56" s="593" t="str">
        <f>J3</f>
        <v>Comercial y Servicios Larco S.A.S</v>
      </c>
      <c r="J56" s="593"/>
      <c r="K56" s="593"/>
      <c r="L56" s="593"/>
      <c r="M56" s="593"/>
      <c r="N56" s="593"/>
      <c r="O56" s="593"/>
    </row>
    <row r="57" spans="1:17" ht="61.5" x14ac:dyDescent="0.25">
      <c r="H57" s="597" t="str">
        <f>IF(Q57=1,"OK","NO HABILITADO")</f>
        <v>OK</v>
      </c>
      <c r="I57" s="597"/>
      <c r="J57" s="597"/>
      <c r="K57" s="597"/>
      <c r="L57" s="597"/>
      <c r="M57" s="597"/>
      <c r="N57" s="597"/>
      <c r="O57" s="597"/>
      <c r="Q57" s="598">
        <f>PRODUCT(Q7:Q53)</f>
        <v>1</v>
      </c>
    </row>
    <row r="58" spans="1:17" ht="45" x14ac:dyDescent="0.25">
      <c r="Q58" s="523" t="s">
        <v>397</v>
      </c>
    </row>
    <row r="59" spans="1:17" x14ac:dyDescent="0.25">
      <c r="J59" s="599" t="s">
        <v>340</v>
      </c>
      <c r="K59" s="600"/>
      <c r="L59" s="601" t="s">
        <v>341</v>
      </c>
    </row>
    <row r="60" spans="1:17" ht="30" x14ac:dyDescent="0.25">
      <c r="J60" s="545">
        <v>1</v>
      </c>
      <c r="K60" s="386" t="s">
        <v>249</v>
      </c>
      <c r="L60" s="545" t="str">
        <f>IF(H57="OK","H","NH")</f>
        <v>H</v>
      </c>
    </row>
  </sheetData>
  <sheetProtection algorithmName="SHA-512" hashValue="qvTB/rRWnnCAlDQcW658Mp8Z/7qKeqIrG6Snfuke4HHfbqsh33LYy+Ug1VIdBmgaBAYMQXiQ/WcXCGKknehWnQ==" saltValue="+1V2JsLS3/2oscOAgzht5Q==" spinCount="100000" sheet="1" objects="1" scenarios="1"/>
  <autoFilter ref="A7:F53"/>
  <mergeCells count="19">
    <mergeCell ref="P1:P6"/>
    <mergeCell ref="Q1:Q6"/>
    <mergeCell ref="B52:E52"/>
    <mergeCell ref="B53:E53"/>
    <mergeCell ref="H6:L6"/>
    <mergeCell ref="H51:K51"/>
    <mergeCell ref="H52:K52"/>
    <mergeCell ref="H53:K53"/>
    <mergeCell ref="H3:H5"/>
    <mergeCell ref="I3:I5"/>
    <mergeCell ref="J3:L5"/>
    <mergeCell ref="B6:F6"/>
    <mergeCell ref="B51:E51"/>
    <mergeCell ref="I56:O56"/>
    <mergeCell ref="H57:O57"/>
    <mergeCell ref="J59:K59"/>
    <mergeCell ref="M1:M6"/>
    <mergeCell ref="N1:N6"/>
    <mergeCell ref="O1:O6"/>
  </mergeCells>
  <conditionalFormatting sqref="M7:M53">
    <cfRule type="cellIs" dxfId="46" priority="15" operator="equal">
      <formula>0</formula>
    </cfRule>
    <cfRule type="cellIs" dxfId="45" priority="16" operator="equal">
      <formula>1</formula>
    </cfRule>
  </conditionalFormatting>
  <conditionalFormatting sqref="O7:P7 N7:N53">
    <cfRule type="cellIs" dxfId="44" priority="13" operator="equal">
      <formula>0</formula>
    </cfRule>
    <cfRule type="cellIs" dxfId="43" priority="14" operator="equal">
      <formula>1</formula>
    </cfRule>
  </conditionalFormatting>
  <conditionalFormatting sqref="O8:O50">
    <cfRule type="cellIs" dxfId="42" priority="11" operator="equal">
      <formula>0</formula>
    </cfRule>
    <cfRule type="cellIs" dxfId="41" priority="12" operator="equal">
      <formula>1</formula>
    </cfRule>
  </conditionalFormatting>
  <conditionalFormatting sqref="P8:P53">
    <cfRule type="cellIs" dxfId="40" priority="9" operator="equal">
      <formula>0</formula>
    </cfRule>
    <cfRule type="cellIs" dxfId="39" priority="10" operator="equal">
      <formula>1</formula>
    </cfRule>
  </conditionalFormatting>
  <conditionalFormatting sqref="Q7:Q53">
    <cfRule type="cellIs" dxfId="38" priority="7" operator="equal">
      <formula>0</formula>
    </cfRule>
    <cfRule type="cellIs" dxfId="37" priority="8" operator="equal">
      <formula>1</formula>
    </cfRule>
  </conditionalFormatting>
  <conditionalFormatting sqref="Q57">
    <cfRule type="cellIs" dxfId="36" priority="5" operator="equal">
      <formula>0</formula>
    </cfRule>
    <cfRule type="cellIs" dxfId="35" priority="6" operator="equal">
      <formula>1</formula>
    </cfRule>
  </conditionalFormatting>
  <conditionalFormatting sqref="H57:O57">
    <cfRule type="cellIs" dxfId="34" priority="3" operator="equal">
      <formula>"NO HABILITADO"</formula>
    </cfRule>
    <cfRule type="cellIs" dxfId="33" priority="4" operator="equal">
      <formula>"OK"</formula>
    </cfRule>
  </conditionalFormatting>
  <conditionalFormatting sqref="O51:O53">
    <cfRule type="cellIs" dxfId="32" priority="1" operator="equal">
      <formula>0</formula>
    </cfRule>
    <cfRule type="cellIs" dxfId="31" priority="2"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16</vt:i4>
      </vt:variant>
    </vt:vector>
  </HeadingPairs>
  <TitlesOfParts>
    <vt:vector size="29" baseType="lpstr">
      <vt:lpstr>1_ENTREGA</vt:lpstr>
      <vt:lpstr>2_APERTURA_SOBRES</vt:lpstr>
      <vt:lpstr>5.1_REQUISITOS_JURIDICOS</vt:lpstr>
      <vt:lpstr>5.2_EXPERIENCIA_GENERAL</vt:lpstr>
      <vt:lpstr>5.3_CAPACIDAD_FINANCIERA</vt:lpstr>
      <vt:lpstr>5.5_REQUISITOS_COMERCIALES</vt:lpstr>
      <vt:lpstr>VALOR TOTAL DE LA PROPUESTA </vt:lpstr>
      <vt:lpstr> REPUESTOS,EQUIPOS Y MATERIALES</vt:lpstr>
      <vt:lpstr>HERRAMIENTA</vt:lpstr>
      <vt:lpstr>VIATICOS</vt:lpstr>
      <vt:lpstr>CRITERIOS_RECHAZO</vt:lpstr>
      <vt:lpstr>RESUMEN</vt:lpstr>
      <vt:lpstr>EVALUACION</vt:lpstr>
      <vt:lpstr>A_U</vt:lpstr>
      <vt:lpstr>EST_CP</vt:lpstr>
      <vt:lpstr>EST_EXP</vt:lpstr>
      <vt:lpstr>EST_HER</vt:lpstr>
      <vt:lpstr>EST_RCOM</vt:lpstr>
      <vt:lpstr>EST_REC</vt:lpstr>
      <vt:lpstr>EST_REM</vt:lpstr>
      <vt:lpstr>EST_VIAT</vt:lpstr>
      <vt:lpstr>EST_VT</vt:lpstr>
      <vt:lpstr>ESTADOS</vt:lpstr>
      <vt:lpstr>FORMATO_GUIA</vt:lpstr>
      <vt:lpstr>FORMATO_HER</vt:lpstr>
      <vt:lpstr>FORMATO_REM</vt:lpstr>
      <vt:lpstr>FORMATO_VIAT</vt:lpstr>
      <vt:lpstr>EVALUACION!ORDEN</vt:lpstr>
      <vt:lpstr>PROPUESTA_1</vt:lpstr>
    </vt:vector>
  </TitlesOfParts>
  <Manager/>
  <Company>San Blas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Andecol</dc:title>
  <dc:subject/>
  <dc:creator>Alberto Arango</dc:creator>
  <cp:keywords/>
  <dc:description/>
  <cp:lastModifiedBy>LEIDY VIVIANA ROLDAN BOLIVAR</cp:lastModifiedBy>
  <cp:revision/>
  <cp:lastPrinted>2019-03-04T18:56:02Z</cp:lastPrinted>
  <dcterms:created xsi:type="dcterms:W3CDTF">2004-10-29T11:46:07Z</dcterms:created>
  <dcterms:modified xsi:type="dcterms:W3CDTF">2022-06-06T15:49:46Z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-86835653</vt:i4>
  </property>
  <property fmtid="{D5CDD505-2E9C-101B-9397-08002B2CF9AE}" pid="3" name="_EmailSubject">
    <vt:lpwstr>información EDU</vt:lpwstr>
  </property>
  <property fmtid="{D5CDD505-2E9C-101B-9397-08002B2CF9AE}" pid="4" name="_AuthorEmail">
    <vt:lpwstr>gabriel.cardona@medellin.gov.co</vt:lpwstr>
  </property>
  <property fmtid="{D5CDD505-2E9C-101B-9397-08002B2CF9AE}" pid="5" name="_AuthorEmailDisplayName">
    <vt:lpwstr>Gabriel Jaime Cardona Londoño</vt:lpwstr>
  </property>
  <property fmtid="{D5CDD505-2E9C-101B-9397-08002B2CF9AE}" pid="6" name="_ReviewingToolsShownOnce">
    <vt:lpwstr/>
  </property>
</Properties>
</file>