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Marle-udea-2018\2.Informes de evaluación\2019\08. Mantenimiento Carmen de Viboral\"/>
    </mc:Choice>
  </mc:AlternateContent>
  <bookViews>
    <workbookView xWindow="0" yWindow="0" windowWidth="22440" windowHeight="11700" tabRatio="897" activeTab="6"/>
  </bookViews>
  <sheets>
    <sheet name="ENTREGA" sheetId="2" r:id="rId1"/>
    <sheet name="APERTURA DE SOBRES" sheetId="22" r:id="rId2"/>
    <sheet name="3. REQUISITOS JURÍDICOS" sheetId="21" r:id="rId3"/>
    <sheet name="3.2.1 EXPERIENCIA GRAL" sheetId="3" r:id="rId4"/>
    <sheet name="3.3 CAP FINANCIERA" sheetId="1" r:id="rId5"/>
    <sheet name="3.4 REQUISITOS COMERCIALES" sheetId="10" r:id="rId6"/>
    <sheet name="10. EVALUACIÓN" sheetId="18" r:id="rId7"/>
    <sheet name="Cálculo Pt2" sheetId="28" r:id="rId8"/>
    <sheet name="Presupuesto Consolidado" sheetId="29" r:id="rId9"/>
    <sheet name="Analisis A.U." sheetId="30" r:id="rId10"/>
  </sheets>
  <externalReferences>
    <externalReference r:id="rId11"/>
  </externalReferences>
  <definedNames>
    <definedName name="_Dist_Bin" hidden="1">[1]MPC3I4!$A$2040:$DD$3161</definedName>
    <definedName name="_Dist_Values" hidden="1">[1]MPC3I4!$A$2552:$IV$3906</definedName>
    <definedName name="_Fill" hidden="1">#REF!</definedName>
    <definedName name="_xlnm._FilterDatabase" localSheetId="1" hidden="1">'APERTURA DE SOBRES'!$A$6:$I$6</definedName>
    <definedName name="B" hidden="1">#REF!</definedName>
    <definedName name="wrn.GENERAL." hidden="1">{"TAB1",#N/A,TRUE,"GENERAL";"TAB2",#N/A,TRUE,"GENERAL";"TAB3",#N/A,TRUE,"GENERAL";"TAB4",#N/A,TRUE,"GENERAL";"TAB5",#N/A,TRUE,"GENERAL"}</definedName>
    <definedName name="wrn.items." localSheetId="6" hidden="1">{#N/A,#N/A,FALSE,"Items"}</definedName>
    <definedName name="wrn.items." localSheetId="2" hidden="1">{#N/A,#N/A,FALSE,"Items"}</definedName>
    <definedName name="wrn.items." localSheetId="1" hidden="1">{#N/A,#N/A,FALSE,"Items"}</definedName>
    <definedName name="wrn.items." hidden="1">{#N/A,#N/A,FALSE,"Items"}</definedName>
    <definedName name="wrn.via." hidden="1">{"via1",#N/A,TRUE,"general";"via2",#N/A,TRUE,"general";"via3",#N/A,TRUE,"general"}</definedName>
    <definedName name="wrn1.items" localSheetId="6" hidden="1">{#N/A,#N/A,FALSE,"Items"}</definedName>
    <definedName name="wrn1.items" localSheetId="2" hidden="1">{#N/A,#N/A,FALSE,"Items"}</definedName>
    <definedName name="wrn1.items" localSheetId="1" hidden="1">{#N/A,#N/A,FALSE,"Items"}</definedName>
    <definedName name="wrn1.items" hidden="1">{#N/A,#N/A,FALSE,"Items"}</definedName>
    <definedName name="yuf" hidden="1">{"TAB1",#N/A,TRUE,"GENERAL";"TAB2",#N/A,TRUE,"GENERAL";"TAB3",#N/A,TRUE,"GENERAL";"TAB4",#N/A,TRUE,"GENERAL";"TAB5",#N/A,TRUE,"GENERAL"}</definedName>
    <definedName name="Z_0DF4D8E0_70F8_43CF_A6D4_A84D04F4D812_.wvu.Cols" localSheetId="0" hidden="1">ENTREGA!#REF!</definedName>
    <definedName name="Z_0DF4D8E0_70F8_43CF_A6D4_A84D04F4D812_.wvu.PrintArea" localSheetId="0" hidden="1">ENTREGA!$A$1:$B$15</definedName>
    <definedName name="Z_0DF4D8E0_70F8_43CF_A6D4_A84D04F4D812_.wvu.Rows" localSheetId="0" hidden="1">ENTREGA!#REF!</definedName>
  </definedNames>
  <calcPr calcId="162913"/>
</workbook>
</file>

<file path=xl/calcChain.xml><?xml version="1.0" encoding="utf-8"?>
<calcChain xmlns="http://schemas.openxmlformats.org/spreadsheetml/2006/main">
  <c r="B85" i="28" l="1"/>
  <c r="B84" i="28"/>
  <c r="B83" i="28"/>
  <c r="B82" i="28"/>
  <c r="B81" i="28"/>
  <c r="B80" i="28"/>
  <c r="B79" i="28"/>
  <c r="B31" i="28"/>
  <c r="B32" i="28"/>
  <c r="B33" i="28"/>
  <c r="G22" i="18"/>
  <c r="G21" i="18"/>
  <c r="G20" i="18"/>
  <c r="G19" i="18"/>
  <c r="G18" i="18"/>
  <c r="G17" i="18"/>
  <c r="G16" i="18"/>
  <c r="G14" i="18"/>
  <c r="G13" i="18"/>
  <c r="F22" i="18"/>
  <c r="F21" i="18"/>
  <c r="F20" i="18"/>
  <c r="F19" i="18"/>
  <c r="F18" i="18"/>
  <c r="F17" i="18"/>
  <c r="F16" i="18"/>
  <c r="F14" i="18"/>
  <c r="F13" i="18"/>
  <c r="DC31" i="30"/>
  <c r="DC30" i="30"/>
  <c r="DC29" i="30"/>
  <c r="CR31" i="30"/>
  <c r="CR30" i="30"/>
  <c r="CR29" i="30"/>
  <c r="CG31" i="30"/>
  <c r="CG30" i="30"/>
  <c r="CG29" i="30"/>
  <c r="BV31" i="30"/>
  <c r="BV30" i="30"/>
  <c r="BV29" i="30"/>
  <c r="BK31" i="30"/>
  <c r="BK30" i="30"/>
  <c r="BK29" i="30"/>
  <c r="AZ31" i="30"/>
  <c r="AZ30" i="30"/>
  <c r="AZ29" i="30"/>
  <c r="AO31" i="30"/>
  <c r="AO30" i="30"/>
  <c r="AO29" i="30"/>
  <c r="AD31" i="30"/>
  <c r="AD30" i="30"/>
  <c r="S31" i="30"/>
  <c r="S30" i="30"/>
  <c r="S29" i="30"/>
  <c r="H29" i="30"/>
  <c r="DD25" i="30"/>
  <c r="DE20" i="30"/>
  <c r="DE18" i="30"/>
  <c r="DE17" i="30"/>
  <c r="DE15" i="30"/>
  <c r="DE14" i="30"/>
  <c r="DE11" i="30"/>
  <c r="DE9" i="30"/>
  <c r="DE6" i="30"/>
  <c r="CS25" i="30"/>
  <c r="CT20" i="30"/>
  <c r="CT18" i="30"/>
  <c r="CT17" i="30"/>
  <c r="CT15" i="30"/>
  <c r="CT14" i="30"/>
  <c r="CT11" i="30"/>
  <c r="CT9" i="30"/>
  <c r="CT6" i="30"/>
  <c r="CH25" i="30"/>
  <c r="CI20" i="30"/>
  <c r="CI18" i="30"/>
  <c r="CI17" i="30"/>
  <c r="CI15" i="30"/>
  <c r="CI14" i="30"/>
  <c r="CI11" i="30"/>
  <c r="CI9" i="30"/>
  <c r="CI6" i="30"/>
  <c r="BW25" i="30"/>
  <c r="BX20" i="30"/>
  <c r="BX18" i="30"/>
  <c r="BX17" i="30"/>
  <c r="BX15" i="30"/>
  <c r="BX14" i="30"/>
  <c r="BX11" i="30"/>
  <c r="BX9" i="30"/>
  <c r="BX6" i="30"/>
  <c r="BL25" i="30"/>
  <c r="BM20" i="30"/>
  <c r="BM18" i="30"/>
  <c r="BM17" i="30"/>
  <c r="BM15" i="30"/>
  <c r="BM14" i="30"/>
  <c r="BM11" i="30"/>
  <c r="BM9" i="30"/>
  <c r="BM6" i="30"/>
  <c r="BA25" i="30"/>
  <c r="BB20" i="30"/>
  <c r="BB18" i="30"/>
  <c r="BB17" i="30"/>
  <c r="BB15" i="30"/>
  <c r="BB14" i="30"/>
  <c r="BB11" i="30"/>
  <c r="BB9" i="30"/>
  <c r="BB6" i="30"/>
  <c r="AP25" i="30"/>
  <c r="AQ20" i="30"/>
  <c r="AQ18" i="30"/>
  <c r="AQ17" i="30"/>
  <c r="AQ15" i="30"/>
  <c r="AQ14" i="30"/>
  <c r="AQ11" i="30"/>
  <c r="AQ9" i="30"/>
  <c r="AQ6" i="30"/>
  <c r="AE25" i="30"/>
  <c r="AF20" i="30"/>
  <c r="AF18" i="30"/>
  <c r="AF17" i="30"/>
  <c r="AF15" i="30"/>
  <c r="AF14" i="30"/>
  <c r="AF11" i="30"/>
  <c r="AF9" i="30"/>
  <c r="AF6" i="30"/>
  <c r="T25" i="30"/>
  <c r="U18" i="30"/>
  <c r="U17" i="30"/>
  <c r="U15" i="30"/>
  <c r="U14" i="30"/>
  <c r="U11" i="30"/>
  <c r="U6" i="30"/>
  <c r="J20" i="30"/>
  <c r="J18" i="30"/>
  <c r="J17" i="30"/>
  <c r="J15" i="30"/>
  <c r="J14" i="30"/>
  <c r="J11" i="30"/>
  <c r="J6" i="30"/>
  <c r="J9" i="30"/>
  <c r="CT84" i="29"/>
  <c r="CT83" i="29"/>
  <c r="CU80" i="29"/>
  <c r="CU79" i="29"/>
  <c r="CU78" i="29"/>
  <c r="CU77" i="29"/>
  <c r="CU76" i="29"/>
  <c r="CU75" i="29"/>
  <c r="CU74" i="29"/>
  <c r="CU73" i="29"/>
  <c r="CU72" i="29"/>
  <c r="CU71" i="29"/>
  <c r="CU70" i="29"/>
  <c r="CU69" i="29"/>
  <c r="CU68" i="29"/>
  <c r="CU67" i="29"/>
  <c r="CU66" i="29"/>
  <c r="CU65" i="29"/>
  <c r="CU64" i="29"/>
  <c r="CU63" i="29"/>
  <c r="CU62" i="29"/>
  <c r="CU61" i="29"/>
  <c r="CU60" i="29"/>
  <c r="CU59" i="29"/>
  <c r="CU58" i="29"/>
  <c r="CU57" i="29"/>
  <c r="CU56" i="29"/>
  <c r="CU55" i="29"/>
  <c r="CU54" i="29"/>
  <c r="CU53" i="29"/>
  <c r="CU52" i="29"/>
  <c r="CU51" i="29"/>
  <c r="CU50" i="29"/>
  <c r="CU49" i="29"/>
  <c r="CU48" i="29"/>
  <c r="CU47" i="29"/>
  <c r="CU46" i="29"/>
  <c r="CU45" i="29"/>
  <c r="CU44" i="29"/>
  <c r="CU43" i="29"/>
  <c r="CU42" i="29"/>
  <c r="CU41" i="29"/>
  <c r="CU40" i="29"/>
  <c r="CU39" i="29"/>
  <c r="CU38" i="29"/>
  <c r="CU37" i="29"/>
  <c r="CU36" i="29"/>
  <c r="CU35" i="29"/>
  <c r="CU34" i="29"/>
  <c r="CU33" i="29"/>
  <c r="CU32" i="29"/>
  <c r="CU31" i="29"/>
  <c r="CU30" i="29"/>
  <c r="CU29" i="29"/>
  <c r="CU28" i="29"/>
  <c r="CU27" i="29"/>
  <c r="CU26" i="29"/>
  <c r="CU25" i="29"/>
  <c r="CU24" i="29"/>
  <c r="CU23" i="29"/>
  <c r="CU22" i="29"/>
  <c r="CU21" i="29"/>
  <c r="CU20" i="29"/>
  <c r="CU19" i="29"/>
  <c r="CU18" i="29"/>
  <c r="CU17" i="29"/>
  <c r="CU16" i="29"/>
  <c r="CU15" i="29"/>
  <c r="CU14" i="29"/>
  <c r="CU13" i="29"/>
  <c r="CU12" i="29"/>
  <c r="CU81" i="29" s="1"/>
  <c r="CJ84" i="29"/>
  <c r="CJ83" i="29"/>
  <c r="CK80" i="29"/>
  <c r="CK79" i="29"/>
  <c r="CK78" i="29"/>
  <c r="CK77" i="29"/>
  <c r="CK76" i="29"/>
  <c r="CK75" i="29"/>
  <c r="CK74" i="29"/>
  <c r="CK73" i="29"/>
  <c r="CK72" i="29"/>
  <c r="CK71" i="29"/>
  <c r="CK70" i="29"/>
  <c r="CK69" i="29"/>
  <c r="CK68" i="29"/>
  <c r="CK67" i="29"/>
  <c r="CK66" i="29"/>
  <c r="CK65" i="29"/>
  <c r="CK64" i="29"/>
  <c r="CK63" i="29"/>
  <c r="CK62" i="29"/>
  <c r="CK61" i="29"/>
  <c r="CK60" i="29"/>
  <c r="CK59" i="29"/>
  <c r="CK58" i="29"/>
  <c r="CK57" i="29"/>
  <c r="CK56" i="29"/>
  <c r="CK55" i="29"/>
  <c r="CK54" i="29"/>
  <c r="CK53" i="29"/>
  <c r="CK52" i="29"/>
  <c r="CK51" i="29"/>
  <c r="CK50" i="29"/>
  <c r="CK49" i="29"/>
  <c r="CK48" i="29"/>
  <c r="CK47" i="29"/>
  <c r="CK46" i="29"/>
  <c r="CK45" i="29"/>
  <c r="CK44" i="29"/>
  <c r="CK43" i="29"/>
  <c r="CK42" i="29"/>
  <c r="CK41" i="29"/>
  <c r="CK40" i="29"/>
  <c r="CK39" i="29"/>
  <c r="CK38" i="29"/>
  <c r="CK37" i="29"/>
  <c r="CK36" i="29"/>
  <c r="CK35" i="29"/>
  <c r="CK34" i="29"/>
  <c r="CK33" i="29"/>
  <c r="CK32" i="29"/>
  <c r="CK31" i="29"/>
  <c r="CK30" i="29"/>
  <c r="CK29" i="29"/>
  <c r="CK28" i="29"/>
  <c r="CK27" i="29"/>
  <c r="CK26" i="29"/>
  <c r="CK25" i="29"/>
  <c r="CK24" i="29"/>
  <c r="CK23" i="29"/>
  <c r="CK22" i="29"/>
  <c r="CK21" i="29"/>
  <c r="CK20" i="29"/>
  <c r="CK19" i="29"/>
  <c r="CK18" i="29"/>
  <c r="CK17" i="29"/>
  <c r="CK16" i="29"/>
  <c r="CK15" i="29"/>
  <c r="CK14" i="29"/>
  <c r="CK13" i="29"/>
  <c r="CK12" i="29"/>
  <c r="CK81" i="29" s="1"/>
  <c r="BZ84" i="29"/>
  <c r="BZ83" i="29"/>
  <c r="CA80" i="29"/>
  <c r="CA79" i="29"/>
  <c r="CA78" i="29"/>
  <c r="CA77" i="29"/>
  <c r="CA76" i="29"/>
  <c r="CA75" i="29"/>
  <c r="CA74" i="29"/>
  <c r="CA73" i="29"/>
  <c r="CA72" i="29"/>
  <c r="CA71" i="29"/>
  <c r="CA70" i="29"/>
  <c r="CA69" i="29"/>
  <c r="CA68" i="29"/>
  <c r="CA67" i="29"/>
  <c r="CA66" i="29"/>
  <c r="CA65" i="29"/>
  <c r="CA64" i="29"/>
  <c r="CA63" i="29"/>
  <c r="CA62" i="29"/>
  <c r="CA61" i="29"/>
  <c r="CA60" i="29"/>
  <c r="CA59" i="29"/>
  <c r="CA58" i="29"/>
  <c r="CA57" i="29"/>
  <c r="CA56" i="29"/>
  <c r="CA55" i="29"/>
  <c r="CA54" i="29"/>
  <c r="CA53" i="29"/>
  <c r="CA52" i="29"/>
  <c r="CA51" i="29"/>
  <c r="CA50" i="29"/>
  <c r="CA49" i="29"/>
  <c r="CA48" i="29"/>
  <c r="CA47" i="29"/>
  <c r="CA46" i="29"/>
  <c r="CA45" i="29"/>
  <c r="CA44" i="29"/>
  <c r="CA43" i="29"/>
  <c r="CA42" i="29"/>
  <c r="CA41" i="29"/>
  <c r="CA40" i="29"/>
  <c r="CA39" i="29"/>
  <c r="CA38" i="29"/>
  <c r="CA37" i="29"/>
  <c r="CA36" i="29"/>
  <c r="CA35" i="29"/>
  <c r="CA34" i="29"/>
  <c r="CA33" i="29"/>
  <c r="CA32" i="29"/>
  <c r="CA31" i="29"/>
  <c r="CA30" i="29"/>
  <c r="CA29" i="29"/>
  <c r="CA28" i="29"/>
  <c r="CA27" i="29"/>
  <c r="CA26" i="29"/>
  <c r="CA25" i="29"/>
  <c r="CA24" i="29"/>
  <c r="CA23" i="29"/>
  <c r="CA22" i="29"/>
  <c r="CA21" i="29"/>
  <c r="CA20" i="29"/>
  <c r="CA19" i="29"/>
  <c r="CA18" i="29"/>
  <c r="CA17" i="29"/>
  <c r="CA16" i="29"/>
  <c r="CA15" i="29"/>
  <c r="CA14" i="29"/>
  <c r="CA13" i="29"/>
  <c r="CA81" i="29" s="1"/>
  <c r="CA12" i="29"/>
  <c r="BP84" i="29"/>
  <c r="BP83" i="29"/>
  <c r="BQ80" i="29"/>
  <c r="BQ79" i="29"/>
  <c r="BQ78" i="29"/>
  <c r="BQ77" i="29"/>
  <c r="BQ76" i="29"/>
  <c r="BQ75" i="29"/>
  <c r="BQ74" i="29"/>
  <c r="BQ73" i="29"/>
  <c r="BQ72" i="29"/>
  <c r="BQ71" i="29"/>
  <c r="BQ70" i="29"/>
  <c r="BQ69" i="29"/>
  <c r="BQ68" i="29"/>
  <c r="BQ67" i="29"/>
  <c r="BQ66" i="29"/>
  <c r="BQ65" i="29"/>
  <c r="BQ64" i="29"/>
  <c r="BQ63" i="29"/>
  <c r="BQ62" i="29"/>
  <c r="BQ61" i="29"/>
  <c r="BQ60" i="29"/>
  <c r="BQ59" i="29"/>
  <c r="BQ58" i="29"/>
  <c r="BQ57" i="29"/>
  <c r="BQ56" i="29"/>
  <c r="BQ55" i="29"/>
  <c r="BQ54" i="29"/>
  <c r="BQ53" i="29"/>
  <c r="BQ52" i="29"/>
  <c r="BQ51" i="29"/>
  <c r="BQ50" i="29"/>
  <c r="BQ49" i="29"/>
  <c r="BQ48" i="29"/>
  <c r="BQ47" i="29"/>
  <c r="BQ46" i="29"/>
  <c r="BQ45" i="29"/>
  <c r="BQ44" i="29"/>
  <c r="BQ43" i="29"/>
  <c r="BQ42" i="29"/>
  <c r="BQ41" i="29"/>
  <c r="BQ40" i="29"/>
  <c r="BQ39" i="29"/>
  <c r="BQ38" i="29"/>
  <c r="BQ37" i="29"/>
  <c r="BQ36" i="29"/>
  <c r="BQ35" i="29"/>
  <c r="BQ34" i="29"/>
  <c r="BQ33" i="29"/>
  <c r="BQ32" i="29"/>
  <c r="BQ31" i="29"/>
  <c r="BQ30" i="29"/>
  <c r="BQ29" i="29"/>
  <c r="BQ28" i="29"/>
  <c r="BQ27" i="29"/>
  <c r="BQ26" i="29"/>
  <c r="BQ25" i="29"/>
  <c r="BQ24" i="29"/>
  <c r="BQ23" i="29"/>
  <c r="BQ22" i="29"/>
  <c r="BQ21" i="29"/>
  <c r="BQ20" i="29"/>
  <c r="BQ19" i="29"/>
  <c r="BQ18" i="29"/>
  <c r="BQ17" i="29"/>
  <c r="BQ16" i="29"/>
  <c r="BQ15" i="29"/>
  <c r="BQ14" i="29"/>
  <c r="BQ13" i="29"/>
  <c r="BQ81" i="29" s="1"/>
  <c r="BQ12" i="29"/>
  <c r="BF84" i="29"/>
  <c r="BF83" i="29"/>
  <c r="BF82" i="29"/>
  <c r="BG80" i="29"/>
  <c r="BG79" i="29"/>
  <c r="BG78" i="29"/>
  <c r="BG77" i="29"/>
  <c r="BG76" i="29"/>
  <c r="BG75" i="29"/>
  <c r="BG74" i="29"/>
  <c r="BG73" i="29"/>
  <c r="BG72" i="29"/>
  <c r="BG71" i="29"/>
  <c r="BG70" i="29"/>
  <c r="BG69" i="29"/>
  <c r="BG68" i="29"/>
  <c r="BG67" i="29"/>
  <c r="BG66" i="29"/>
  <c r="BG65" i="29"/>
  <c r="BG64" i="29"/>
  <c r="BG63" i="29"/>
  <c r="BG62" i="29"/>
  <c r="BG61" i="29"/>
  <c r="BG60" i="29"/>
  <c r="BG59" i="29"/>
  <c r="BG58" i="29"/>
  <c r="BG57" i="29"/>
  <c r="BG56" i="29"/>
  <c r="BG55" i="29"/>
  <c r="BG54" i="29"/>
  <c r="BG53" i="29"/>
  <c r="BG52" i="29"/>
  <c r="BG51" i="29"/>
  <c r="BG50" i="29"/>
  <c r="BG49" i="29"/>
  <c r="BG48" i="29"/>
  <c r="BG47" i="29"/>
  <c r="BG46" i="29"/>
  <c r="BG45" i="29"/>
  <c r="BG44" i="29"/>
  <c r="BG43" i="29"/>
  <c r="BG42" i="29"/>
  <c r="BG41" i="29"/>
  <c r="BG40" i="29"/>
  <c r="BG39" i="29"/>
  <c r="BG38" i="29"/>
  <c r="BG37" i="29"/>
  <c r="BG36" i="29"/>
  <c r="BG35" i="29"/>
  <c r="BG34" i="29"/>
  <c r="BG33" i="29"/>
  <c r="BG32" i="29"/>
  <c r="BG31" i="29"/>
  <c r="BG30" i="29"/>
  <c r="BG29" i="29"/>
  <c r="BG28" i="29"/>
  <c r="BG27" i="29"/>
  <c r="BG26" i="29"/>
  <c r="BG25" i="29"/>
  <c r="BG24" i="29"/>
  <c r="BG23" i="29"/>
  <c r="BG22" i="29"/>
  <c r="BG21" i="29"/>
  <c r="BG20" i="29"/>
  <c r="BG19" i="29"/>
  <c r="BG18" i="29"/>
  <c r="BG17" i="29"/>
  <c r="BG16" i="29"/>
  <c r="BG15" i="29"/>
  <c r="BG14" i="29"/>
  <c r="BG13" i="29"/>
  <c r="BG12" i="29"/>
  <c r="BG81" i="29" s="1"/>
  <c r="AV84" i="29"/>
  <c r="AV83" i="29"/>
  <c r="AW80" i="29"/>
  <c r="AW79" i="29"/>
  <c r="AW78" i="29"/>
  <c r="AW77" i="29"/>
  <c r="AW76" i="29"/>
  <c r="AW75" i="29"/>
  <c r="AW74" i="29"/>
  <c r="AW73" i="29"/>
  <c r="AW72" i="29"/>
  <c r="AW71" i="29"/>
  <c r="AW70" i="29"/>
  <c r="AW69" i="29"/>
  <c r="AW68" i="29"/>
  <c r="AW67" i="29"/>
  <c r="AW66" i="29"/>
  <c r="AW65" i="29"/>
  <c r="AW64" i="29"/>
  <c r="AW63" i="29"/>
  <c r="AW62" i="29"/>
  <c r="AW61" i="29"/>
  <c r="AW60" i="29"/>
  <c r="AW59" i="29"/>
  <c r="AW58" i="29"/>
  <c r="AW57" i="29"/>
  <c r="AW56" i="29"/>
  <c r="AW55" i="29"/>
  <c r="AW54" i="29"/>
  <c r="AW53" i="29"/>
  <c r="AW52" i="29"/>
  <c r="AW51" i="29"/>
  <c r="AW50" i="29"/>
  <c r="AW49" i="29"/>
  <c r="AW48" i="29"/>
  <c r="AW47" i="29"/>
  <c r="AW46" i="29"/>
  <c r="AW45" i="29"/>
  <c r="AW44" i="29"/>
  <c r="AW43" i="29"/>
  <c r="AW42" i="29"/>
  <c r="AW41" i="29"/>
  <c r="AW40" i="29"/>
  <c r="AW39" i="29"/>
  <c r="AW38" i="29"/>
  <c r="AW37" i="29"/>
  <c r="AW36" i="29"/>
  <c r="AW35" i="29"/>
  <c r="AW34" i="29"/>
  <c r="AW33" i="29"/>
  <c r="AW32" i="29"/>
  <c r="AW31" i="29"/>
  <c r="AW30" i="29"/>
  <c r="AW29" i="29"/>
  <c r="AW28" i="29"/>
  <c r="AW27" i="29"/>
  <c r="AW26" i="29"/>
  <c r="AW25" i="29"/>
  <c r="AW24" i="29"/>
  <c r="AW23" i="29"/>
  <c r="AW22" i="29"/>
  <c r="AW21" i="29"/>
  <c r="AW20" i="29"/>
  <c r="AW19" i="29"/>
  <c r="AW18" i="29"/>
  <c r="AW17" i="29"/>
  <c r="AW16" i="29"/>
  <c r="AW15" i="29"/>
  <c r="AW14" i="29"/>
  <c r="AW13" i="29"/>
  <c r="AW12" i="29"/>
  <c r="AW81" i="29" s="1"/>
  <c r="AL84" i="29"/>
  <c r="AL83" i="29"/>
  <c r="AM81" i="29"/>
  <c r="AM80" i="29"/>
  <c r="AM79" i="29"/>
  <c r="AM78" i="29"/>
  <c r="AM77" i="29"/>
  <c r="AM76" i="29"/>
  <c r="AM75" i="29"/>
  <c r="AM74" i="29"/>
  <c r="AM73" i="29"/>
  <c r="AM72" i="29"/>
  <c r="AM71" i="29"/>
  <c r="AM70" i="29"/>
  <c r="AM69" i="29"/>
  <c r="AM68" i="29"/>
  <c r="AM67" i="29"/>
  <c r="AM66" i="29"/>
  <c r="AM65" i="29"/>
  <c r="AM64" i="29"/>
  <c r="AM63" i="29"/>
  <c r="AM62" i="29"/>
  <c r="AM61" i="29"/>
  <c r="AM60" i="29"/>
  <c r="AM59" i="29"/>
  <c r="AM58" i="29"/>
  <c r="AM57" i="29"/>
  <c r="AM56" i="29"/>
  <c r="AM55" i="29"/>
  <c r="AM54" i="29"/>
  <c r="AM53" i="29"/>
  <c r="AM52" i="29"/>
  <c r="AM51" i="29"/>
  <c r="AM50" i="29"/>
  <c r="AM49" i="29"/>
  <c r="AM48" i="29"/>
  <c r="AM47" i="29"/>
  <c r="AM46" i="29"/>
  <c r="AM45" i="29"/>
  <c r="AM44" i="29"/>
  <c r="AM43" i="29"/>
  <c r="AM42" i="29"/>
  <c r="AM41" i="29"/>
  <c r="AM40" i="29"/>
  <c r="AM39" i="29"/>
  <c r="AM38" i="29"/>
  <c r="AM37" i="29"/>
  <c r="AM36" i="29"/>
  <c r="AM35" i="29"/>
  <c r="AM34" i="29"/>
  <c r="AM33" i="29"/>
  <c r="AM32" i="29"/>
  <c r="AM31" i="29"/>
  <c r="AM30" i="29"/>
  <c r="AM29" i="29"/>
  <c r="AM28" i="29"/>
  <c r="AM27" i="29"/>
  <c r="AM26" i="29"/>
  <c r="AM25" i="29"/>
  <c r="AM24" i="29"/>
  <c r="AM23" i="29"/>
  <c r="AM22" i="29"/>
  <c r="AM21" i="29"/>
  <c r="AM20" i="29"/>
  <c r="AM19" i="29"/>
  <c r="AM18" i="29"/>
  <c r="AM17" i="29"/>
  <c r="AM16" i="29"/>
  <c r="AM15" i="29"/>
  <c r="AM14" i="29"/>
  <c r="AM13" i="29"/>
  <c r="AM12" i="29"/>
  <c r="AB84" i="29"/>
  <c r="AB83" i="29"/>
  <c r="AC80" i="29"/>
  <c r="AC79" i="29"/>
  <c r="AC78" i="29"/>
  <c r="AC77" i="29"/>
  <c r="AC76" i="29"/>
  <c r="AC75" i="29"/>
  <c r="AC74" i="29"/>
  <c r="AC73" i="29"/>
  <c r="AC72" i="29"/>
  <c r="AC71" i="29"/>
  <c r="AC70" i="29"/>
  <c r="AC69" i="29"/>
  <c r="AC68" i="29"/>
  <c r="AC67" i="29"/>
  <c r="AC66" i="29"/>
  <c r="AC65" i="29"/>
  <c r="AC64" i="29"/>
  <c r="AC63" i="29"/>
  <c r="AC62" i="29"/>
  <c r="AC61" i="29"/>
  <c r="AC60" i="29"/>
  <c r="AC59" i="29"/>
  <c r="AC58" i="29"/>
  <c r="AC57" i="29"/>
  <c r="AC56" i="29"/>
  <c r="AC55" i="29"/>
  <c r="AC54" i="29"/>
  <c r="AC53" i="29"/>
  <c r="AC52" i="29"/>
  <c r="AC51" i="29"/>
  <c r="AC50" i="29"/>
  <c r="AC49" i="29"/>
  <c r="AC48" i="29"/>
  <c r="AC47" i="29"/>
  <c r="AC46" i="29"/>
  <c r="AC45" i="29"/>
  <c r="AC44" i="29"/>
  <c r="AC43" i="29"/>
  <c r="AC42" i="29"/>
  <c r="AC41" i="29"/>
  <c r="AC40" i="29"/>
  <c r="AC39" i="29"/>
  <c r="AC38" i="29"/>
  <c r="AC37" i="29"/>
  <c r="AC36" i="29"/>
  <c r="AC35" i="29"/>
  <c r="AC34" i="29"/>
  <c r="AC33" i="29"/>
  <c r="AC32" i="29"/>
  <c r="AC31" i="29"/>
  <c r="AC30" i="29"/>
  <c r="AC29" i="29"/>
  <c r="AC28" i="29"/>
  <c r="AC27" i="29"/>
  <c r="AC26" i="29"/>
  <c r="AC25" i="29"/>
  <c r="AC24" i="29"/>
  <c r="AC23" i="29"/>
  <c r="AC22" i="29"/>
  <c r="AC21" i="29"/>
  <c r="AC20" i="29"/>
  <c r="AC19" i="29"/>
  <c r="AC18" i="29"/>
  <c r="AC17" i="29"/>
  <c r="AC16" i="29"/>
  <c r="AC15" i="29"/>
  <c r="AC14" i="29"/>
  <c r="AC13" i="29"/>
  <c r="AC12" i="29"/>
  <c r="R84" i="29"/>
  <c r="S80"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S42" i="29"/>
  <c r="S41" i="29"/>
  <c r="S40" i="29"/>
  <c r="S39" i="29"/>
  <c r="S38" i="29"/>
  <c r="S37" i="29"/>
  <c r="S36" i="29"/>
  <c r="S35" i="29"/>
  <c r="S34" i="29"/>
  <c r="S33" i="29"/>
  <c r="S32" i="29"/>
  <c r="S31" i="29"/>
  <c r="S30" i="29"/>
  <c r="S29" i="29"/>
  <c r="S28" i="29"/>
  <c r="S27" i="29"/>
  <c r="S26" i="29"/>
  <c r="S25" i="29"/>
  <c r="S24" i="29"/>
  <c r="S23" i="29"/>
  <c r="S22" i="29"/>
  <c r="S21" i="29"/>
  <c r="S20" i="29"/>
  <c r="S19" i="29"/>
  <c r="S18" i="29"/>
  <c r="S17" i="29"/>
  <c r="S16" i="29"/>
  <c r="S15" i="29"/>
  <c r="S14" i="29"/>
  <c r="S13" i="29"/>
  <c r="S12" i="29"/>
  <c r="S81" i="29" s="1"/>
  <c r="H84" i="29"/>
  <c r="H83" i="29"/>
  <c r="F88" i="29"/>
  <c r="AC81" i="29" l="1"/>
  <c r="F15" i="18" s="1"/>
  <c r="O7" i="18" s="1"/>
  <c r="CU83" i="29"/>
  <c r="CU84" i="29" s="1"/>
  <c r="CK83" i="29"/>
  <c r="CK84" i="29" s="1"/>
  <c r="CA83" i="29"/>
  <c r="CA84" i="29" s="1"/>
  <c r="BQ83" i="29"/>
  <c r="BQ84" i="29" s="1"/>
  <c r="BG82" i="29"/>
  <c r="BG85" i="29" s="1"/>
  <c r="BD89" i="29" s="1"/>
  <c r="BG83" i="29"/>
  <c r="BG84" i="29" s="1"/>
  <c r="AW83" i="29"/>
  <c r="AW84" i="29" s="1"/>
  <c r="AM83" i="29"/>
  <c r="AM84" i="29" s="1"/>
  <c r="DC20" i="30"/>
  <c r="DC18" i="30"/>
  <c r="DC17" i="30"/>
  <c r="DC15" i="30"/>
  <c r="DC14" i="30"/>
  <c r="DC11" i="30"/>
  <c r="DC9" i="30"/>
  <c r="DC6" i="30"/>
  <c r="CR80" i="29"/>
  <c r="CR79" i="29"/>
  <c r="CR78" i="29"/>
  <c r="CR77" i="29"/>
  <c r="CR76" i="29"/>
  <c r="CR75" i="29"/>
  <c r="CR73" i="29"/>
  <c r="CR72" i="29"/>
  <c r="CR71" i="29"/>
  <c r="CR70" i="29"/>
  <c r="CR69" i="29"/>
  <c r="CR68" i="29"/>
  <c r="CR66" i="29"/>
  <c r="CR65" i="29"/>
  <c r="CR64" i="29"/>
  <c r="CR63" i="29"/>
  <c r="CR62" i="29"/>
  <c r="CR61" i="29"/>
  <c r="CR60" i="29"/>
  <c r="CR59" i="29"/>
  <c r="CR58" i="29"/>
  <c r="CR57" i="29"/>
  <c r="CR56" i="29"/>
  <c r="CR55" i="29"/>
  <c r="CR54" i="29"/>
  <c r="CR52" i="29"/>
  <c r="CR51" i="29"/>
  <c r="CR50" i="29"/>
  <c r="CR48" i="29"/>
  <c r="CR47" i="29"/>
  <c r="CR46" i="29"/>
  <c r="CR45" i="29"/>
  <c r="CR43" i="29"/>
  <c r="CR42" i="29"/>
  <c r="CR41" i="29"/>
  <c r="CR39" i="29"/>
  <c r="CR38" i="29"/>
  <c r="CR37" i="29"/>
  <c r="CR36" i="29"/>
  <c r="CR35" i="29"/>
  <c r="CR34" i="29"/>
  <c r="CR33" i="29"/>
  <c r="CR32" i="29"/>
  <c r="CR31" i="29"/>
  <c r="CR30" i="29"/>
  <c r="CR29" i="29"/>
  <c r="CR27" i="29"/>
  <c r="CR26" i="29"/>
  <c r="CR25" i="29"/>
  <c r="CR24" i="29"/>
  <c r="CR22" i="29"/>
  <c r="CR21" i="29"/>
  <c r="CR19" i="29"/>
  <c r="CR18" i="29"/>
  <c r="CO18" i="29"/>
  <c r="CR17" i="29"/>
  <c r="CR16" i="29"/>
  <c r="CR15" i="29"/>
  <c r="CR14" i="29"/>
  <c r="CR13" i="29"/>
  <c r="CR12" i="29"/>
  <c r="AC83" i="29" l="1"/>
  <c r="AC84" i="29" s="1"/>
  <c r="DC21" i="30"/>
  <c r="DE21" i="30"/>
  <c r="CS20" i="29"/>
  <c r="CS44" i="29"/>
  <c r="CS49" i="29"/>
  <c r="CS40" i="29"/>
  <c r="CS11" i="29"/>
  <c r="CS67" i="29"/>
  <c r="CS23" i="29"/>
  <c r="CS28" i="29"/>
  <c r="CS74" i="29"/>
  <c r="CR81" i="29"/>
  <c r="DC23" i="30" s="1"/>
  <c r="CS53" i="29"/>
  <c r="DC25" i="30" l="1"/>
  <c r="DE23" i="30"/>
  <c r="CS54" i="29"/>
  <c r="CS75" i="29"/>
  <c r="CS24" i="29"/>
  <c r="CS50" i="29"/>
  <c r="CS29" i="29"/>
  <c r="CS68" i="29"/>
  <c r="CS45" i="29"/>
  <c r="CS41" i="29"/>
  <c r="CS21" i="29"/>
  <c r="CR83" i="29"/>
  <c r="DA24" i="30"/>
  <c r="CS12" i="29"/>
  <c r="DD24" i="30" l="1"/>
  <c r="DD27" i="30" s="1"/>
  <c r="DE25" i="30"/>
  <c r="CR84" i="29"/>
  <c r="DA27" i="30"/>
  <c r="CQ82" i="29"/>
  <c r="CS81" i="29"/>
  <c r="DC24" i="30"/>
  <c r="DC26" i="30" s="1"/>
  <c r="DE24" i="30" l="1"/>
  <c r="DE26" i="30" s="1"/>
  <c r="CR82" i="29"/>
  <c r="CR85" i="29" s="1"/>
  <c r="CT82" i="29"/>
  <c r="CU82" i="29" s="1"/>
  <c r="CU85" i="29" s="1"/>
  <c r="CH80" i="29"/>
  <c r="CH79" i="29"/>
  <c r="CH78" i="29"/>
  <c r="CH77" i="29"/>
  <c r="CH76" i="29"/>
  <c r="CH75" i="29"/>
  <c r="CH73" i="29"/>
  <c r="CH72" i="29"/>
  <c r="CH71" i="29"/>
  <c r="CH70" i="29"/>
  <c r="CH69" i="29"/>
  <c r="CH68" i="29"/>
  <c r="CH66" i="29"/>
  <c r="CH65" i="29"/>
  <c r="CH64" i="29"/>
  <c r="CH63" i="29"/>
  <c r="CH62" i="29"/>
  <c r="CH61" i="29"/>
  <c r="CH60" i="29"/>
  <c r="CH59" i="29"/>
  <c r="CH58" i="29"/>
  <c r="CH57" i="29"/>
  <c r="CH56" i="29"/>
  <c r="CH55" i="29"/>
  <c r="CH54" i="29"/>
  <c r="CH52" i="29"/>
  <c r="CH51" i="29"/>
  <c r="CH50" i="29"/>
  <c r="CH48" i="29"/>
  <c r="CH47" i="29"/>
  <c r="CH46" i="29"/>
  <c r="CH45" i="29"/>
  <c r="CH43" i="29"/>
  <c r="CH42" i="29"/>
  <c r="CH41" i="29"/>
  <c r="CH39" i="29"/>
  <c r="CH38" i="29"/>
  <c r="CH37" i="29"/>
  <c r="CH36" i="29"/>
  <c r="CH35" i="29"/>
  <c r="CH34" i="29"/>
  <c r="CH33" i="29"/>
  <c r="CH32" i="29"/>
  <c r="CH31" i="29"/>
  <c r="CH30" i="29"/>
  <c r="CH29" i="29"/>
  <c r="CH27" i="29"/>
  <c r="CH26" i="29"/>
  <c r="CH25" i="29"/>
  <c r="CH24" i="29"/>
  <c r="CH22" i="29"/>
  <c r="CH21" i="29"/>
  <c r="CH19" i="29"/>
  <c r="CH18" i="29"/>
  <c r="CH17" i="29"/>
  <c r="CH16" i="29"/>
  <c r="CH15" i="29"/>
  <c r="CH14" i="29"/>
  <c r="CH13" i="29"/>
  <c r="CH12" i="29"/>
  <c r="CR20" i="30"/>
  <c r="CR18" i="30"/>
  <c r="CR17" i="30"/>
  <c r="CR15" i="30"/>
  <c r="CR14" i="30"/>
  <c r="CR11" i="30"/>
  <c r="CR9" i="30"/>
  <c r="CR6" i="30"/>
  <c r="CR21" i="30" l="1"/>
  <c r="CT21" i="30"/>
  <c r="CR89" i="29"/>
  <c r="CI20" i="29"/>
  <c r="CI53" i="29"/>
  <c r="CI74" i="29"/>
  <c r="CH81" i="29"/>
  <c r="CR23" i="30" s="1"/>
  <c r="CT23" i="30" s="1"/>
  <c r="CI40" i="29"/>
  <c r="CI49" i="29"/>
  <c r="CI67" i="29"/>
  <c r="CI44" i="29"/>
  <c r="CI23" i="29"/>
  <c r="CI28" i="29"/>
  <c r="CI11" i="29"/>
  <c r="CS24" i="30" l="1"/>
  <c r="CS27" i="30" s="1"/>
  <c r="CT25" i="30"/>
  <c r="CI24" i="29"/>
  <c r="CP24" i="30"/>
  <c r="CI21" i="29"/>
  <c r="CI54" i="29"/>
  <c r="CI45" i="29"/>
  <c r="CI29" i="29"/>
  <c r="CI50" i="29"/>
  <c r="CI68" i="29"/>
  <c r="CI41" i="29"/>
  <c r="CI12" i="29"/>
  <c r="CH83" i="29"/>
  <c r="CI75" i="29"/>
  <c r="CT24" i="30" l="1"/>
  <c r="CT26" i="30" s="1"/>
  <c r="CI81" i="29"/>
  <c r="CH84" i="29"/>
  <c r="CG20" i="30"/>
  <c r="CG18" i="30"/>
  <c r="CG17" i="30"/>
  <c r="CG15" i="30"/>
  <c r="CG14" i="30"/>
  <c r="CG11" i="30"/>
  <c r="CG9" i="30"/>
  <c r="CG6" i="30"/>
  <c r="BX80" i="29"/>
  <c r="BX79" i="29"/>
  <c r="BX78" i="29"/>
  <c r="BX77" i="29"/>
  <c r="BX76" i="29"/>
  <c r="BX75" i="29"/>
  <c r="BX73" i="29"/>
  <c r="BX72" i="29"/>
  <c r="BX71" i="29"/>
  <c r="BX70" i="29"/>
  <c r="BX69" i="29"/>
  <c r="BX68" i="29"/>
  <c r="BX66" i="29"/>
  <c r="BX65" i="29"/>
  <c r="BX64" i="29"/>
  <c r="BX63" i="29"/>
  <c r="BX62" i="29"/>
  <c r="BX61" i="29"/>
  <c r="BX60" i="29"/>
  <c r="BX59" i="29"/>
  <c r="BX58" i="29"/>
  <c r="BX57" i="29"/>
  <c r="BX56" i="29"/>
  <c r="BX55" i="29"/>
  <c r="BX54" i="29"/>
  <c r="BX52" i="29"/>
  <c r="BX51" i="29"/>
  <c r="BX50" i="29"/>
  <c r="BX48" i="29"/>
  <c r="BX47" i="29"/>
  <c r="BX46" i="29"/>
  <c r="BX45" i="29"/>
  <c r="BX43" i="29"/>
  <c r="BX42" i="29"/>
  <c r="BX41" i="29"/>
  <c r="BX39" i="29"/>
  <c r="BX38" i="29"/>
  <c r="BX37" i="29"/>
  <c r="BX36" i="29"/>
  <c r="BX35" i="29"/>
  <c r="BX34" i="29"/>
  <c r="BX33" i="29"/>
  <c r="BX32" i="29"/>
  <c r="BX31" i="29"/>
  <c r="BX30" i="29"/>
  <c r="BX29" i="29"/>
  <c r="BX27" i="29"/>
  <c r="BX26" i="29"/>
  <c r="BX25" i="29"/>
  <c r="BX24" i="29"/>
  <c r="BX22" i="29"/>
  <c r="BX21" i="29"/>
  <c r="BX19" i="29"/>
  <c r="BX18" i="29"/>
  <c r="BX17" i="29"/>
  <c r="BX16" i="29"/>
  <c r="BX15" i="29"/>
  <c r="BX14" i="29"/>
  <c r="BX13" i="29"/>
  <c r="BX12" i="29"/>
  <c r="CG21" i="30" l="1"/>
  <c r="CI21" i="30"/>
  <c r="BY20" i="29"/>
  <c r="BY23" i="29"/>
  <c r="BY40" i="29"/>
  <c r="BY49" i="29"/>
  <c r="BY67" i="29"/>
  <c r="BX81" i="29"/>
  <c r="CG23" i="30" s="1"/>
  <c r="BY28" i="29"/>
  <c r="BY53" i="29"/>
  <c r="BY74" i="29"/>
  <c r="BY44" i="29"/>
  <c r="BY11" i="29"/>
  <c r="CE24" i="30" l="1"/>
  <c r="BW82" i="29" s="1"/>
  <c r="CI23" i="30"/>
  <c r="BX82" i="29"/>
  <c r="BZ82" i="29"/>
  <c r="CA82" i="29" s="1"/>
  <c r="CA85" i="29" s="1"/>
  <c r="BX83" i="29"/>
  <c r="BY29" i="29"/>
  <c r="BY12" i="29"/>
  <c r="BY45" i="29"/>
  <c r="BY75" i="29"/>
  <c r="BY68" i="29"/>
  <c r="CG25" i="30"/>
  <c r="BY50" i="29"/>
  <c r="BY24" i="29"/>
  <c r="BY54" i="29"/>
  <c r="CG24" i="30"/>
  <c r="BY41" i="29"/>
  <c r="CE27" i="30"/>
  <c r="BY21" i="29"/>
  <c r="BV20" i="30"/>
  <c r="BV18" i="30"/>
  <c r="BV17" i="30"/>
  <c r="BV15" i="30"/>
  <c r="BV14" i="30"/>
  <c r="BV11" i="30"/>
  <c r="BV9" i="30"/>
  <c r="BV6" i="30"/>
  <c r="BN80" i="29"/>
  <c r="BN79" i="29"/>
  <c r="BN78" i="29"/>
  <c r="BN77" i="29"/>
  <c r="BN76" i="29"/>
  <c r="BN75" i="29"/>
  <c r="BN73" i="29"/>
  <c r="BN72" i="29"/>
  <c r="BN71" i="29"/>
  <c r="BN70" i="29"/>
  <c r="BN69" i="29"/>
  <c r="BN68" i="29"/>
  <c r="BN66" i="29"/>
  <c r="BN65" i="29"/>
  <c r="BN64" i="29"/>
  <c r="BN63" i="29"/>
  <c r="BN62" i="29"/>
  <c r="BN61" i="29"/>
  <c r="BN60" i="29"/>
  <c r="BN59" i="29"/>
  <c r="BN58" i="29"/>
  <c r="BN57" i="29"/>
  <c r="BN56" i="29"/>
  <c r="BN55" i="29"/>
  <c r="BN54" i="29"/>
  <c r="BN52" i="29"/>
  <c r="BN51" i="29"/>
  <c r="BN50" i="29"/>
  <c r="BN48" i="29"/>
  <c r="BN47" i="29"/>
  <c r="BN46" i="29"/>
  <c r="BN45" i="29"/>
  <c r="BN43" i="29"/>
  <c r="BN42" i="29"/>
  <c r="BN41" i="29"/>
  <c r="BN39" i="29"/>
  <c r="BN38" i="29"/>
  <c r="BN37" i="29"/>
  <c r="BN36" i="29"/>
  <c r="BN35" i="29"/>
  <c r="BN34" i="29"/>
  <c r="BN33" i="29"/>
  <c r="BN32" i="29"/>
  <c r="BN31" i="29"/>
  <c r="BN30" i="29"/>
  <c r="BN29" i="29"/>
  <c r="BN27" i="29"/>
  <c r="BN26" i="29"/>
  <c r="BN25" i="29"/>
  <c r="BN24" i="29"/>
  <c r="BN22" i="29"/>
  <c r="BN21" i="29"/>
  <c r="BN19" i="29"/>
  <c r="BN18" i="29"/>
  <c r="BN17" i="29"/>
  <c r="BN16" i="29"/>
  <c r="BN15" i="29"/>
  <c r="BN14" i="29"/>
  <c r="BN13" i="29"/>
  <c r="BN12" i="29"/>
  <c r="BV21" i="30" l="1"/>
  <c r="BX21" i="30"/>
  <c r="CH24" i="30"/>
  <c r="CH27" i="30" s="1"/>
  <c r="CI25" i="30"/>
  <c r="BO20" i="29"/>
  <c r="BO23" i="29"/>
  <c r="BO28" i="29"/>
  <c r="CG26" i="30"/>
  <c r="BX84" i="29"/>
  <c r="BX85" i="29" s="1"/>
  <c r="BX89" i="29" s="1"/>
  <c r="BY81" i="29"/>
  <c r="BO53" i="29"/>
  <c r="BO74" i="29"/>
  <c r="BN81" i="29"/>
  <c r="BV23" i="30" s="1"/>
  <c r="BO44" i="29"/>
  <c r="BO49" i="29"/>
  <c r="BO67" i="29"/>
  <c r="BO40" i="29"/>
  <c r="BO11" i="29"/>
  <c r="CI24" i="30" l="1"/>
  <c r="CI26" i="30" s="1"/>
  <c r="BX23" i="30"/>
  <c r="BO24" i="29"/>
  <c r="BO12" i="29"/>
  <c r="BO50" i="29"/>
  <c r="BO21" i="29"/>
  <c r="BN83" i="29"/>
  <c r="BO45" i="29"/>
  <c r="BO75" i="29"/>
  <c r="BO41" i="29"/>
  <c r="BV25" i="30"/>
  <c r="BO54" i="29"/>
  <c r="BT24" i="30"/>
  <c r="BO68" i="29"/>
  <c r="BO29" i="29"/>
  <c r="BX25" i="30" l="1"/>
  <c r="BW24" i="30"/>
  <c r="BW27" i="30" s="1"/>
  <c r="BO81" i="29"/>
  <c r="BN84" i="29"/>
  <c r="BM82" i="29"/>
  <c r="BT27" i="30"/>
  <c r="BV24" i="30"/>
  <c r="BV26" i="30" s="1"/>
  <c r="BX24" i="30" l="1"/>
  <c r="BX26" i="30" s="1"/>
  <c r="BN82" i="29"/>
  <c r="BN85" i="29" s="1"/>
  <c r="BP82" i="29"/>
  <c r="BQ82" i="29" s="1"/>
  <c r="BQ85" i="29" s="1"/>
  <c r="BN89" i="29" l="1"/>
  <c r="O83" i="29"/>
  <c r="R83" i="29" s="1"/>
  <c r="S83" i="29" s="1"/>
  <c r="S84" i="29" s="1"/>
  <c r="N20" i="30"/>
  <c r="S18" i="30"/>
  <c r="S17" i="30"/>
  <c r="S15" i="30"/>
  <c r="S14" i="30"/>
  <c r="S11" i="30"/>
  <c r="O9" i="30"/>
  <c r="U9" i="30" s="1"/>
  <c r="S6" i="30"/>
  <c r="S20" i="30" l="1"/>
  <c r="U20" i="30"/>
  <c r="S9" i="30"/>
  <c r="S21" i="30" s="1"/>
  <c r="P80" i="29"/>
  <c r="P79" i="29"/>
  <c r="P78" i="29"/>
  <c r="P77" i="29"/>
  <c r="P76" i="29"/>
  <c r="P75" i="29"/>
  <c r="P73" i="29"/>
  <c r="P72" i="29"/>
  <c r="P71" i="29"/>
  <c r="P70" i="29"/>
  <c r="P69" i="29"/>
  <c r="P68" i="29"/>
  <c r="P66" i="29"/>
  <c r="P65" i="29"/>
  <c r="P64" i="29"/>
  <c r="P63" i="29"/>
  <c r="P62" i="29"/>
  <c r="P61" i="29"/>
  <c r="P60" i="29"/>
  <c r="P59" i="29"/>
  <c r="P58" i="29"/>
  <c r="P57" i="29"/>
  <c r="P56" i="29"/>
  <c r="P55" i="29"/>
  <c r="P54" i="29"/>
  <c r="P52" i="29"/>
  <c r="P51" i="29"/>
  <c r="P50" i="29"/>
  <c r="P48" i="29"/>
  <c r="P47" i="29"/>
  <c r="P46" i="29"/>
  <c r="P45" i="29"/>
  <c r="P43" i="29"/>
  <c r="P42" i="29"/>
  <c r="P41" i="29"/>
  <c r="P39" i="29"/>
  <c r="P38" i="29"/>
  <c r="P37" i="29"/>
  <c r="P36" i="29"/>
  <c r="P35" i="29"/>
  <c r="P34" i="29"/>
  <c r="P33" i="29"/>
  <c r="P32" i="29"/>
  <c r="P31" i="29"/>
  <c r="P30" i="29"/>
  <c r="P29" i="29"/>
  <c r="P27" i="29"/>
  <c r="P26" i="29"/>
  <c r="P25" i="29"/>
  <c r="P24" i="29"/>
  <c r="P22" i="29"/>
  <c r="P21" i="29"/>
  <c r="P19" i="29"/>
  <c r="P18" i="29"/>
  <c r="P17" i="29"/>
  <c r="P16" i="29"/>
  <c r="P15" i="29"/>
  <c r="P14" i="29"/>
  <c r="P13" i="29"/>
  <c r="P12" i="29"/>
  <c r="F25" i="30"/>
  <c r="I25" i="30" s="1"/>
  <c r="H20" i="30"/>
  <c r="H18" i="30"/>
  <c r="H17" i="30"/>
  <c r="H15" i="30"/>
  <c r="H14" i="30"/>
  <c r="H11" i="30"/>
  <c r="H9" i="30"/>
  <c r="H6" i="30"/>
  <c r="F80" i="29"/>
  <c r="F79" i="29"/>
  <c r="F78" i="29"/>
  <c r="F77" i="29"/>
  <c r="F76" i="29"/>
  <c r="F75" i="29"/>
  <c r="F73" i="29"/>
  <c r="F72" i="29"/>
  <c r="F71" i="29"/>
  <c r="F70" i="29"/>
  <c r="F69" i="29"/>
  <c r="F68" i="29"/>
  <c r="F66" i="29"/>
  <c r="F65" i="29"/>
  <c r="F64" i="29"/>
  <c r="F63" i="29"/>
  <c r="F62" i="29"/>
  <c r="F61" i="29"/>
  <c r="F60" i="29"/>
  <c r="F59" i="29"/>
  <c r="F58" i="29"/>
  <c r="F57" i="29"/>
  <c r="F56" i="29"/>
  <c r="F55" i="29"/>
  <c r="F54" i="29"/>
  <c r="F52" i="29"/>
  <c r="F51" i="29"/>
  <c r="F50" i="29"/>
  <c r="F48" i="29"/>
  <c r="F47" i="29"/>
  <c r="F46" i="29"/>
  <c r="F45" i="29"/>
  <c r="F43" i="29"/>
  <c r="F42" i="29"/>
  <c r="F41" i="29"/>
  <c r="F39" i="29"/>
  <c r="F38" i="29"/>
  <c r="F37" i="29"/>
  <c r="F36" i="29"/>
  <c r="F35" i="29"/>
  <c r="F34" i="29"/>
  <c r="F33" i="29"/>
  <c r="F32" i="29"/>
  <c r="F31" i="29"/>
  <c r="F30" i="29"/>
  <c r="F29" i="29"/>
  <c r="F27" i="29"/>
  <c r="F26" i="29"/>
  <c r="F25" i="29"/>
  <c r="F24" i="29"/>
  <c r="F22" i="29"/>
  <c r="F21" i="29"/>
  <c r="F19" i="29"/>
  <c r="F18" i="29"/>
  <c r="C18" i="29"/>
  <c r="F17" i="29"/>
  <c r="F16" i="29"/>
  <c r="F15" i="29"/>
  <c r="F14" i="29"/>
  <c r="F13" i="29"/>
  <c r="F12" i="29"/>
  <c r="H21" i="30" l="1"/>
  <c r="J21" i="30"/>
  <c r="U21" i="30"/>
  <c r="Q40" i="29"/>
  <c r="G40" i="29"/>
  <c r="G41" i="29" s="1"/>
  <c r="Q67" i="29"/>
  <c r="F81" i="29"/>
  <c r="H23" i="30" s="1"/>
  <c r="G28" i="29"/>
  <c r="G53" i="29"/>
  <c r="G49" i="29"/>
  <c r="Q74" i="29"/>
  <c r="Q49" i="29"/>
  <c r="Q50" i="29" s="1"/>
  <c r="Q53" i="29"/>
  <c r="G23" i="29"/>
  <c r="G44" i="29"/>
  <c r="G45" i="29" s="1"/>
  <c r="G67" i="29"/>
  <c r="G68" i="29" s="1"/>
  <c r="Q20" i="29"/>
  <c r="Q28" i="29"/>
  <c r="Q44" i="29"/>
  <c r="G20" i="29"/>
  <c r="G21" i="29" s="1"/>
  <c r="G74" i="29"/>
  <c r="P81" i="29"/>
  <c r="Q23" i="29"/>
  <c r="Q24" i="29" s="1"/>
  <c r="Q29" i="29"/>
  <c r="Q11" i="29"/>
  <c r="G50" i="29"/>
  <c r="G11" i="29"/>
  <c r="F24" i="30" l="1"/>
  <c r="H24" i="30" s="1"/>
  <c r="J23" i="30"/>
  <c r="Q54" i="29"/>
  <c r="G29" i="29"/>
  <c r="F83" i="29"/>
  <c r="F84" i="29" s="1"/>
  <c r="G12" i="29"/>
  <c r="G75" i="29"/>
  <c r="G54" i="29"/>
  <c r="P83" i="29"/>
  <c r="P84" i="29" s="1"/>
  <c r="H25" i="30"/>
  <c r="G24" i="29"/>
  <c r="Q68" i="29"/>
  <c r="Q75" i="29"/>
  <c r="Q21" i="29"/>
  <c r="S23" i="30"/>
  <c r="U23" i="30" s="1"/>
  <c r="P88" i="29"/>
  <c r="Q41" i="29"/>
  <c r="Q12" i="29"/>
  <c r="Q45" i="29"/>
  <c r="E82" i="29" l="1"/>
  <c r="F82" i="29" s="1"/>
  <c r="F85" i="29" s="1"/>
  <c r="F27" i="30"/>
  <c r="U25" i="30"/>
  <c r="T24" i="30"/>
  <c r="T27" i="30" s="1"/>
  <c r="J25" i="30"/>
  <c r="I24" i="30"/>
  <c r="I27" i="30" s="1"/>
  <c r="H82" i="29"/>
  <c r="G81" i="29"/>
  <c r="H26" i="30"/>
  <c r="Q81" i="29"/>
  <c r="S25" i="30"/>
  <c r="Q24" i="30"/>
  <c r="S24" i="30" s="1"/>
  <c r="I80" i="29"/>
  <c r="I79" i="29"/>
  <c r="I78" i="29"/>
  <c r="I77" i="29"/>
  <c r="I76" i="29"/>
  <c r="I75"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4" i="29"/>
  <c r="I43" i="29"/>
  <c r="I42" i="29"/>
  <c r="I41" i="29"/>
  <c r="I40" i="29"/>
  <c r="I39" i="29"/>
  <c r="I38" i="29"/>
  <c r="I37" i="29"/>
  <c r="I36" i="29"/>
  <c r="I35" i="29"/>
  <c r="I34" i="29"/>
  <c r="I33" i="29"/>
  <c r="I32" i="29"/>
  <c r="I31" i="29"/>
  <c r="I30" i="29"/>
  <c r="I29" i="29"/>
  <c r="I28" i="29"/>
  <c r="I27" i="29"/>
  <c r="I26" i="29"/>
  <c r="I25" i="29"/>
  <c r="I24" i="29"/>
  <c r="I23" i="29"/>
  <c r="I22" i="29"/>
  <c r="I21" i="29"/>
  <c r="I20" i="29"/>
  <c r="I19" i="29"/>
  <c r="I18" i="29"/>
  <c r="I17" i="29"/>
  <c r="I16" i="29"/>
  <c r="I15" i="29"/>
  <c r="I14" i="29"/>
  <c r="I13" i="29"/>
  <c r="I12" i="29"/>
  <c r="J24" i="30" l="1"/>
  <c r="J26" i="30" s="1"/>
  <c r="U24" i="30"/>
  <c r="U26" i="30" s="1"/>
  <c r="S26" i="30"/>
  <c r="O82" i="29"/>
  <c r="R82" i="29" s="1"/>
  <c r="S82" i="29" s="1"/>
  <c r="S85" i="29" s="1"/>
  <c r="Q27" i="30"/>
  <c r="I81" i="29"/>
  <c r="P82" i="29" l="1"/>
  <c r="P85" i="29" l="1"/>
  <c r="P89" i="29" s="1"/>
  <c r="H31" i="30"/>
  <c r="BK20" i="30"/>
  <c r="BK18" i="30"/>
  <c r="BK17" i="30"/>
  <c r="BK15" i="30"/>
  <c r="BK14" i="30"/>
  <c r="BK11" i="30"/>
  <c r="BK9" i="30"/>
  <c r="BK6" i="30"/>
  <c r="BD80" i="29"/>
  <c r="BD79" i="29"/>
  <c r="BD78" i="29"/>
  <c r="BD77" i="29"/>
  <c r="BD76" i="29"/>
  <c r="BD75" i="29"/>
  <c r="BD73" i="29"/>
  <c r="BD72" i="29"/>
  <c r="BD71" i="29"/>
  <c r="BD70" i="29"/>
  <c r="BD69" i="29"/>
  <c r="BD68" i="29"/>
  <c r="BD66" i="29"/>
  <c r="BD65" i="29"/>
  <c r="BD64" i="29"/>
  <c r="BD63" i="29"/>
  <c r="BD62" i="29"/>
  <c r="BD61" i="29"/>
  <c r="BD60" i="29"/>
  <c r="BD59" i="29"/>
  <c r="BD58" i="29"/>
  <c r="BD57" i="29"/>
  <c r="BD56" i="29"/>
  <c r="BD55" i="29"/>
  <c r="BD54" i="29"/>
  <c r="BD52" i="29"/>
  <c r="BD51" i="29"/>
  <c r="BD50" i="29"/>
  <c r="BD48" i="29"/>
  <c r="BD47" i="29"/>
  <c r="BD46" i="29"/>
  <c r="BD45" i="29"/>
  <c r="BD43" i="29"/>
  <c r="BD42" i="29"/>
  <c r="BD41" i="29"/>
  <c r="BD39" i="29"/>
  <c r="BD38" i="29"/>
  <c r="BD37" i="29"/>
  <c r="BD36" i="29"/>
  <c r="BD35" i="29"/>
  <c r="BD34" i="29"/>
  <c r="BD33" i="29"/>
  <c r="BD32" i="29"/>
  <c r="BD31" i="29"/>
  <c r="BD30" i="29"/>
  <c r="BD29" i="29"/>
  <c r="BD27" i="29"/>
  <c r="BD26" i="29"/>
  <c r="BD25" i="29"/>
  <c r="BD24" i="29"/>
  <c r="BD22" i="29"/>
  <c r="BD21" i="29"/>
  <c r="BD19" i="29"/>
  <c r="BD18" i="29"/>
  <c r="BA18" i="29"/>
  <c r="BD17" i="29"/>
  <c r="BD16" i="29"/>
  <c r="BD15" i="29"/>
  <c r="BD14" i="29"/>
  <c r="BD13" i="29"/>
  <c r="BD12" i="29"/>
  <c r="BK21" i="30" l="1"/>
  <c r="BM21" i="30"/>
  <c r="BE20" i="29"/>
  <c r="BE67" i="29"/>
  <c r="BD81" i="29"/>
  <c r="BK23" i="30" s="1"/>
  <c r="BE28" i="29"/>
  <c r="BE53" i="29"/>
  <c r="BE11" i="29"/>
  <c r="BE40" i="29"/>
  <c r="BE41" i="29" s="1"/>
  <c r="BE74" i="29"/>
  <c r="BE23" i="29"/>
  <c r="BE49" i="29"/>
  <c r="BE44" i="29"/>
  <c r="BE45" i="29" s="1"/>
  <c r="AZ20" i="30"/>
  <c r="AZ18" i="30"/>
  <c r="AZ17" i="30"/>
  <c r="AZ15" i="30"/>
  <c r="AZ14" i="30"/>
  <c r="AZ11" i="30"/>
  <c r="AZ9" i="30"/>
  <c r="AZ6" i="30"/>
  <c r="AT80" i="29"/>
  <c r="AT79" i="29"/>
  <c r="AT78" i="29"/>
  <c r="AT77" i="29"/>
  <c r="AT76" i="29"/>
  <c r="AT75" i="29"/>
  <c r="AT73" i="29"/>
  <c r="AT72" i="29"/>
  <c r="AT71" i="29"/>
  <c r="AT70" i="29"/>
  <c r="AT69" i="29"/>
  <c r="AT68" i="29"/>
  <c r="AT66" i="29"/>
  <c r="AT65" i="29"/>
  <c r="AT64" i="29"/>
  <c r="AT63" i="29"/>
  <c r="AT62" i="29"/>
  <c r="AT61" i="29"/>
  <c r="AT60" i="29"/>
  <c r="AT59" i="29"/>
  <c r="AT58" i="29"/>
  <c r="AT57" i="29"/>
  <c r="AT56" i="29"/>
  <c r="AT55" i="29"/>
  <c r="AT54" i="29"/>
  <c r="AT52" i="29"/>
  <c r="AT51" i="29"/>
  <c r="AT50" i="29"/>
  <c r="AT48" i="29"/>
  <c r="AT47" i="29"/>
  <c r="AT46" i="29"/>
  <c r="AT45" i="29"/>
  <c r="AT43" i="29"/>
  <c r="AT42" i="29"/>
  <c r="AT41" i="29"/>
  <c r="AT39" i="29"/>
  <c r="AT38" i="29"/>
  <c r="AT37" i="29"/>
  <c r="AT36" i="29"/>
  <c r="AT35" i="29"/>
  <c r="AT34" i="29"/>
  <c r="AT33" i="29"/>
  <c r="AT32" i="29"/>
  <c r="AT31" i="29"/>
  <c r="AT30" i="29"/>
  <c r="AT29" i="29"/>
  <c r="AT27" i="29"/>
  <c r="AT26" i="29"/>
  <c r="AT25" i="29"/>
  <c r="AT24" i="29"/>
  <c r="AT22" i="29"/>
  <c r="AT21" i="29"/>
  <c r="AT19" i="29"/>
  <c r="AT18" i="29"/>
  <c r="AT17" i="29"/>
  <c r="AT16" i="29"/>
  <c r="AT15" i="29"/>
  <c r="AT14" i="29"/>
  <c r="AT13" i="29"/>
  <c r="AT12" i="29"/>
  <c r="AZ21" i="30" l="1"/>
  <c r="BB21" i="30"/>
  <c r="BK25" i="30"/>
  <c r="BM23" i="30"/>
  <c r="BE54" i="29"/>
  <c r="BE75" i="29"/>
  <c r="BE12" i="29"/>
  <c r="AU23" i="29"/>
  <c r="BE29" i="29"/>
  <c r="BE50" i="29"/>
  <c r="AT81" i="29"/>
  <c r="AZ23" i="30" s="1"/>
  <c r="AU44" i="29"/>
  <c r="AU67" i="29"/>
  <c r="BE21" i="29"/>
  <c r="BD83" i="29"/>
  <c r="BE24" i="29"/>
  <c r="AU53" i="29"/>
  <c r="BD82" i="29"/>
  <c r="AU40" i="29"/>
  <c r="BI24" i="30"/>
  <c r="BI27" i="30" s="1"/>
  <c r="BE68" i="29"/>
  <c r="AU28" i="29"/>
  <c r="AU74" i="29"/>
  <c r="AU75" i="29" s="1"/>
  <c r="AU20" i="29"/>
  <c r="AU49" i="29"/>
  <c r="AU11" i="29"/>
  <c r="BM25" i="30" l="1"/>
  <c r="BL24" i="30"/>
  <c r="BL27" i="30" s="1"/>
  <c r="AZ25" i="30"/>
  <c r="BB23" i="30"/>
  <c r="AU50" i="29"/>
  <c r="BE81" i="29"/>
  <c r="AU24" i="29"/>
  <c r="AU41" i="29"/>
  <c r="AX24" i="30"/>
  <c r="AX27" i="30" s="1"/>
  <c r="BK24" i="30"/>
  <c r="BK26" i="30" s="1"/>
  <c r="BK27" i="30" s="1"/>
  <c r="AU45" i="29"/>
  <c r="BD84" i="29"/>
  <c r="AU12" i="29"/>
  <c r="AT83" i="29"/>
  <c r="AU68" i="29"/>
  <c r="AU54" i="29"/>
  <c r="AU21" i="29"/>
  <c r="AU29" i="29"/>
  <c r="AS82" i="29" l="1"/>
  <c r="BM24" i="30"/>
  <c r="BM26" i="30" s="1"/>
  <c r="AZ24" i="30"/>
  <c r="AZ26" i="30" s="1"/>
  <c r="BA24" i="30"/>
  <c r="BA27" i="30" s="1"/>
  <c r="BB25" i="30"/>
  <c r="AT82" i="29"/>
  <c r="AV82" i="29"/>
  <c r="AW82" i="29" s="1"/>
  <c r="AW85" i="29" s="1"/>
  <c r="AU81" i="29"/>
  <c r="AT84" i="29"/>
  <c r="BD85" i="29"/>
  <c r="AJ80" i="29"/>
  <c r="AJ79" i="29"/>
  <c r="AJ78" i="29"/>
  <c r="AJ77" i="29"/>
  <c r="AJ76" i="29"/>
  <c r="AJ75" i="29"/>
  <c r="AJ73" i="29"/>
  <c r="AJ72" i="29"/>
  <c r="AJ71" i="29"/>
  <c r="AJ70" i="29"/>
  <c r="AJ69" i="29"/>
  <c r="AJ68" i="29"/>
  <c r="AJ66" i="29"/>
  <c r="AJ65" i="29"/>
  <c r="AJ64" i="29"/>
  <c r="AJ63" i="29"/>
  <c r="AJ62" i="29"/>
  <c r="AJ61" i="29"/>
  <c r="AJ60" i="29"/>
  <c r="AJ59" i="29"/>
  <c r="AJ58" i="29"/>
  <c r="AJ57" i="29"/>
  <c r="AJ56" i="29"/>
  <c r="AJ55" i="29"/>
  <c r="AJ54" i="29"/>
  <c r="AJ52" i="29"/>
  <c r="AJ51" i="29"/>
  <c r="AJ50" i="29"/>
  <c r="AJ48" i="29"/>
  <c r="AJ47" i="29"/>
  <c r="AJ46" i="29"/>
  <c r="AJ45" i="29"/>
  <c r="AJ43" i="29"/>
  <c r="AJ42" i="29"/>
  <c r="AJ41" i="29"/>
  <c r="AJ39" i="29"/>
  <c r="AJ38" i="29"/>
  <c r="AJ37" i="29"/>
  <c r="AJ36" i="29"/>
  <c r="AJ35" i="29"/>
  <c r="AJ34" i="29"/>
  <c r="AJ33" i="29"/>
  <c r="AJ32" i="29"/>
  <c r="AJ31" i="29"/>
  <c r="AJ30" i="29"/>
  <c r="AJ29" i="29"/>
  <c r="AJ27" i="29"/>
  <c r="AJ26" i="29"/>
  <c r="AJ25" i="29"/>
  <c r="AJ24" i="29"/>
  <c r="AJ22" i="29"/>
  <c r="AJ21" i="29"/>
  <c r="AJ19" i="29"/>
  <c r="AJ18" i="29"/>
  <c r="AG18" i="29"/>
  <c r="AJ17" i="29"/>
  <c r="AJ16" i="29"/>
  <c r="AJ15" i="29"/>
  <c r="AJ14" i="29"/>
  <c r="AJ13" i="29"/>
  <c r="AJ12" i="29"/>
  <c r="AO20" i="30"/>
  <c r="AO18" i="30"/>
  <c r="AO17" i="30"/>
  <c r="AO15" i="30"/>
  <c r="AO14" i="30"/>
  <c r="AO11" i="30"/>
  <c r="AO9" i="30"/>
  <c r="AO6" i="30"/>
  <c r="AQ21" i="30" l="1"/>
  <c r="BB24" i="30"/>
  <c r="BB26" i="30" s="1"/>
  <c r="AK74" i="29"/>
  <c r="AK23" i="29"/>
  <c r="AT85" i="29"/>
  <c r="AT89" i="29" s="1"/>
  <c r="AK40" i="29"/>
  <c r="AK67" i="29"/>
  <c r="AJ81" i="29"/>
  <c r="AO23" i="30" s="1"/>
  <c r="AK28" i="29"/>
  <c r="AK53" i="29"/>
  <c r="AK20" i="29"/>
  <c r="AK44" i="29"/>
  <c r="AK49" i="29"/>
  <c r="AO21" i="30"/>
  <c r="AK11" i="29"/>
  <c r="AO25" i="30" l="1"/>
  <c r="AQ23" i="30"/>
  <c r="AK45" i="29"/>
  <c r="AJ83" i="29"/>
  <c r="AM24" i="30"/>
  <c r="AI82" i="29" s="1"/>
  <c r="AK54" i="29"/>
  <c r="AK24" i="29"/>
  <c r="AK41" i="29"/>
  <c r="AK50" i="29"/>
  <c r="AK29" i="29"/>
  <c r="AK68" i="29"/>
  <c r="AK21" i="29"/>
  <c r="AK75" i="29"/>
  <c r="AP24" i="30" l="1"/>
  <c r="AP27" i="30" s="1"/>
  <c r="AQ25" i="30"/>
  <c r="AJ82" i="29"/>
  <c r="AL82" i="29"/>
  <c r="AM82" i="29" s="1"/>
  <c r="AM85" i="29" s="1"/>
  <c r="AK81" i="29"/>
  <c r="AO24" i="30"/>
  <c r="AO26" i="30" s="1"/>
  <c r="AM27" i="30"/>
  <c r="AJ84" i="29"/>
  <c r="AD20" i="30"/>
  <c r="AD18" i="30"/>
  <c r="AD17" i="30"/>
  <c r="AD15" i="30"/>
  <c r="AD14" i="30"/>
  <c r="AD11" i="30"/>
  <c r="AD9" i="30"/>
  <c r="AD6" i="30"/>
  <c r="Z80" i="29"/>
  <c r="Z79" i="29"/>
  <c r="Z78" i="29"/>
  <c r="Z77" i="29"/>
  <c r="Z76" i="29"/>
  <c r="Z75" i="29"/>
  <c r="Z73" i="29"/>
  <c r="Z72" i="29"/>
  <c r="Z71" i="29"/>
  <c r="Z70" i="29"/>
  <c r="Z69" i="29"/>
  <c r="Z68" i="29"/>
  <c r="Z66" i="29"/>
  <c r="Z65" i="29"/>
  <c r="Z64" i="29"/>
  <c r="Z63" i="29"/>
  <c r="Z62" i="29"/>
  <c r="Z61" i="29"/>
  <c r="Z60" i="29"/>
  <c r="Z59" i="29"/>
  <c r="Z58" i="29"/>
  <c r="Z57" i="29"/>
  <c r="Z56" i="29"/>
  <c r="Z55" i="29"/>
  <c r="Z54" i="29"/>
  <c r="Z52" i="29"/>
  <c r="Z51" i="29"/>
  <c r="Z50" i="29"/>
  <c r="AA49" i="29" s="1"/>
  <c r="Z48" i="29"/>
  <c r="Z47" i="29"/>
  <c r="Z46" i="29"/>
  <c r="Z45" i="29"/>
  <c r="Z43" i="29"/>
  <c r="Z42" i="29"/>
  <c r="Z41" i="29"/>
  <c r="Z39" i="29"/>
  <c r="Z38" i="29"/>
  <c r="Z37" i="29"/>
  <c r="Z36" i="29"/>
  <c r="Z35" i="29"/>
  <c r="Z34" i="29"/>
  <c r="Z33" i="29"/>
  <c r="Z32" i="29"/>
  <c r="Z31" i="29"/>
  <c r="Z30" i="29"/>
  <c r="Z29" i="29"/>
  <c r="Z27" i="29"/>
  <c r="Z26" i="29"/>
  <c r="Y25" i="29"/>
  <c r="Z24" i="29"/>
  <c r="Z22" i="29"/>
  <c r="Z21" i="29"/>
  <c r="AA20" i="29" s="1"/>
  <c r="Z19" i="29"/>
  <c r="Z18" i="29"/>
  <c r="W18" i="29"/>
  <c r="Z17" i="29"/>
  <c r="Z16" i="29"/>
  <c r="Z15" i="29"/>
  <c r="Z14" i="29"/>
  <c r="Z13" i="29"/>
  <c r="Z12" i="29"/>
  <c r="AF21" i="30" l="1"/>
  <c r="AQ24" i="30"/>
  <c r="AQ26" i="30" s="1"/>
  <c r="AA74" i="29"/>
  <c r="AA40" i="29"/>
  <c r="AA28" i="29"/>
  <c r="AJ85" i="29"/>
  <c r="AJ89" i="29" s="1"/>
  <c r="AA11" i="29"/>
  <c r="Z25" i="29"/>
  <c r="AA23" i="29" s="1"/>
  <c r="AA67" i="29"/>
  <c r="AA44" i="29"/>
  <c r="AA53" i="29"/>
  <c r="AD21" i="30"/>
  <c r="Z81" i="29" l="1"/>
  <c r="AA54" i="29" s="1"/>
  <c r="AA68" i="29"/>
  <c r="AA29" i="29"/>
  <c r="AA75" i="29"/>
  <c r="AA50" i="29"/>
  <c r="Z83" i="29"/>
  <c r="AA41" i="29"/>
  <c r="AA45" i="29"/>
  <c r="AA12" i="29"/>
  <c r="AD23" i="30" l="1"/>
  <c r="AA21" i="29"/>
  <c r="AA24" i="29"/>
  <c r="AD25" i="30"/>
  <c r="AF23" i="30"/>
  <c r="Z84" i="29"/>
  <c r="AA81" i="29"/>
  <c r="AB24" i="30"/>
  <c r="I83" i="29"/>
  <c r="AE24" i="30" l="1"/>
  <c r="AE27" i="30" s="1"/>
  <c r="AF25" i="30"/>
  <c r="I84" i="29"/>
  <c r="Y82" i="29"/>
  <c r="AB27" i="30"/>
  <c r="AD24" i="30"/>
  <c r="AD26" i="30" s="1"/>
  <c r="J12" i="29"/>
  <c r="J13" i="29"/>
  <c r="J14" i="29"/>
  <c r="J15" i="29"/>
  <c r="J16" i="29"/>
  <c r="J17" i="29"/>
  <c r="J18" i="29"/>
  <c r="J19" i="29"/>
  <c r="J21" i="29"/>
  <c r="J22" i="29"/>
  <c r="J24" i="29"/>
  <c r="J25" i="29"/>
  <c r="J26" i="29"/>
  <c r="J27" i="29"/>
  <c r="J29" i="29"/>
  <c r="J30" i="29"/>
  <c r="J31" i="29"/>
  <c r="J32" i="29"/>
  <c r="J33" i="29"/>
  <c r="J34" i="29"/>
  <c r="J35" i="29"/>
  <c r="J36" i="29"/>
  <c r="J37" i="29"/>
  <c r="J38" i="29"/>
  <c r="J39" i="29"/>
  <c r="J41" i="29"/>
  <c r="J42" i="29"/>
  <c r="J43" i="29"/>
  <c r="J45" i="29"/>
  <c r="J46" i="29"/>
  <c r="J47" i="29"/>
  <c r="J48" i="29"/>
  <c r="J50" i="29"/>
  <c r="J51" i="29"/>
  <c r="J52" i="29"/>
  <c r="J54" i="29"/>
  <c r="J55" i="29"/>
  <c r="J56" i="29"/>
  <c r="J57" i="29"/>
  <c r="J58" i="29"/>
  <c r="J59" i="29"/>
  <c r="J60" i="29"/>
  <c r="J61" i="29"/>
  <c r="J62" i="29"/>
  <c r="J63" i="29"/>
  <c r="J64" i="29"/>
  <c r="J65" i="29"/>
  <c r="J66" i="29"/>
  <c r="J68" i="29"/>
  <c r="J69" i="29"/>
  <c r="J70" i="29"/>
  <c r="J71" i="29"/>
  <c r="J72" i="29"/>
  <c r="J73" i="29"/>
  <c r="J75" i="29"/>
  <c r="J76" i="29"/>
  <c r="J77" i="29"/>
  <c r="J78" i="29"/>
  <c r="J79" i="29"/>
  <c r="J80" i="29"/>
  <c r="G15" i="18" l="1"/>
  <c r="AD29" i="30"/>
  <c r="AF24" i="30"/>
  <c r="AF26" i="30" s="1"/>
  <c r="Z82" i="29"/>
  <c r="Z85" i="29" s="1"/>
  <c r="AB82" i="29"/>
  <c r="AC82" i="29" s="1"/>
  <c r="AC85" i="29" s="1"/>
  <c r="G7" i="18"/>
  <c r="Z89" i="29" l="1"/>
  <c r="A7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30" i="28"/>
  <c r="A29" i="28"/>
  <c r="A28" i="28"/>
  <c r="A27" i="28"/>
  <c r="A26" i="28"/>
  <c r="A25" i="28"/>
  <c r="A24" i="28"/>
  <c r="A23" i="28"/>
  <c r="A22" i="28"/>
  <c r="A21" i="28"/>
  <c r="A20" i="28"/>
  <c r="A19" i="28"/>
  <c r="A18" i="28"/>
  <c r="A16" i="28"/>
  <c r="A15" i="28"/>
  <c r="DF25" i="30"/>
  <c r="DF20" i="30"/>
  <c r="DF18" i="30"/>
  <c r="DF17" i="30"/>
  <c r="DF15" i="30"/>
  <c r="DF14" i="30"/>
  <c r="DF11" i="30"/>
  <c r="DF9" i="30"/>
  <c r="DF6" i="30"/>
  <c r="CU25" i="30"/>
  <c r="CU20" i="30"/>
  <c r="CU18" i="30"/>
  <c r="CU17" i="30"/>
  <c r="CU15" i="30"/>
  <c r="CU14" i="30"/>
  <c r="CU11" i="30"/>
  <c r="CU9" i="30"/>
  <c r="CU6" i="30"/>
  <c r="CJ25" i="30"/>
  <c r="CJ20" i="30"/>
  <c r="CJ18" i="30"/>
  <c r="CJ17" i="30"/>
  <c r="CJ15" i="30"/>
  <c r="CJ14" i="30"/>
  <c r="CJ11" i="30"/>
  <c r="CJ9" i="30"/>
  <c r="CJ6" i="30"/>
  <c r="BY25" i="30"/>
  <c r="BY20" i="30"/>
  <c r="BY18" i="30"/>
  <c r="BY17" i="30"/>
  <c r="BY15" i="30"/>
  <c r="BY14" i="30"/>
  <c r="BY11" i="30"/>
  <c r="BY9" i="30"/>
  <c r="BY6" i="30"/>
  <c r="BN25" i="30"/>
  <c r="BN20" i="30"/>
  <c r="BN18" i="30"/>
  <c r="BN17" i="30"/>
  <c r="BN15" i="30"/>
  <c r="BN14" i="30"/>
  <c r="BN11" i="30"/>
  <c r="BN9" i="30"/>
  <c r="BN6" i="30"/>
  <c r="BC25" i="30"/>
  <c r="BC20" i="30"/>
  <c r="BC18" i="30"/>
  <c r="BC17" i="30"/>
  <c r="BC15" i="30"/>
  <c r="BC14" i="30"/>
  <c r="BC11" i="30"/>
  <c r="BC9" i="30"/>
  <c r="BC6" i="30"/>
  <c r="AR25" i="30"/>
  <c r="AR20" i="30"/>
  <c r="AR18" i="30"/>
  <c r="AR17" i="30"/>
  <c r="AR15" i="30"/>
  <c r="AR14" i="30"/>
  <c r="AR11" i="30"/>
  <c r="AR9" i="30"/>
  <c r="AR6" i="30"/>
  <c r="AG25" i="30"/>
  <c r="AG20" i="30"/>
  <c r="AG18" i="30"/>
  <c r="AG17" i="30"/>
  <c r="AG15" i="30"/>
  <c r="AG14" i="30"/>
  <c r="AG11" i="30"/>
  <c r="AG9" i="30"/>
  <c r="AG6" i="30"/>
  <c r="V25" i="30"/>
  <c r="V20" i="30"/>
  <c r="V18" i="30"/>
  <c r="V17" i="30"/>
  <c r="V15" i="30"/>
  <c r="V14" i="30"/>
  <c r="V11" i="30"/>
  <c r="V9" i="30"/>
  <c r="V6" i="30"/>
  <c r="K11" i="30"/>
  <c r="K9" i="30"/>
  <c r="CV80" i="29"/>
  <c r="CV79" i="29"/>
  <c r="CV78" i="29"/>
  <c r="CV77" i="29"/>
  <c r="CV76" i="29"/>
  <c r="CV75" i="29"/>
  <c r="CV73" i="29"/>
  <c r="CV72" i="29"/>
  <c r="CV71" i="29"/>
  <c r="CV70" i="29"/>
  <c r="CV69" i="29"/>
  <c r="CV68" i="29"/>
  <c r="CV66" i="29"/>
  <c r="CV65" i="29"/>
  <c r="CV64" i="29"/>
  <c r="CV63" i="29"/>
  <c r="CV62" i="29"/>
  <c r="CV61" i="29"/>
  <c r="CV60" i="29"/>
  <c r="CV59" i="29"/>
  <c r="CV58" i="29"/>
  <c r="CV57" i="29"/>
  <c r="CV56" i="29"/>
  <c r="CV55" i="29"/>
  <c r="CV54" i="29"/>
  <c r="CV52" i="29"/>
  <c r="CV51" i="29"/>
  <c r="CV50" i="29"/>
  <c r="CV48" i="29"/>
  <c r="CV47" i="29"/>
  <c r="CV46" i="29"/>
  <c r="CV45" i="29"/>
  <c r="CV43" i="29"/>
  <c r="CV42" i="29"/>
  <c r="CV41" i="29"/>
  <c r="CV39" i="29"/>
  <c r="CV38" i="29"/>
  <c r="CV37" i="29"/>
  <c r="CV36" i="29"/>
  <c r="CV35" i="29"/>
  <c r="CV34" i="29"/>
  <c r="CV33" i="29"/>
  <c r="CV32" i="29"/>
  <c r="CV31" i="29"/>
  <c r="CV30" i="29"/>
  <c r="CV29" i="29"/>
  <c r="CV27" i="29"/>
  <c r="CV26" i="29"/>
  <c r="CV25" i="29"/>
  <c r="CV24" i="29"/>
  <c r="CV22" i="29"/>
  <c r="CV21" i="29"/>
  <c r="CV19" i="29"/>
  <c r="CV18" i="29"/>
  <c r="CV17" i="29"/>
  <c r="CV16" i="29"/>
  <c r="CV15" i="29"/>
  <c r="CV14" i="29"/>
  <c r="CV13" i="29"/>
  <c r="CV12" i="29"/>
  <c r="CL80" i="29"/>
  <c r="CL79" i="29"/>
  <c r="CL78" i="29"/>
  <c r="CL77" i="29"/>
  <c r="CL76" i="29"/>
  <c r="CL75" i="29"/>
  <c r="CL73" i="29"/>
  <c r="CL72" i="29"/>
  <c r="CL71" i="29"/>
  <c r="CL70" i="29"/>
  <c r="CL69" i="29"/>
  <c r="CL68" i="29"/>
  <c r="CL66" i="29"/>
  <c r="CL65" i="29"/>
  <c r="CL64" i="29"/>
  <c r="CL63" i="29"/>
  <c r="CL62" i="29"/>
  <c r="CL61" i="29"/>
  <c r="CL60" i="29"/>
  <c r="CL59" i="29"/>
  <c r="CL58" i="29"/>
  <c r="CL57" i="29"/>
  <c r="CL56" i="29"/>
  <c r="CL55" i="29"/>
  <c r="CL54" i="29"/>
  <c r="CL52" i="29"/>
  <c r="CL51" i="29"/>
  <c r="CL50" i="29"/>
  <c r="CL48" i="29"/>
  <c r="CL47" i="29"/>
  <c r="CL46" i="29"/>
  <c r="CL45" i="29"/>
  <c r="CL43" i="29"/>
  <c r="CL42" i="29"/>
  <c r="CL41" i="29"/>
  <c r="CL39" i="29"/>
  <c r="CL38" i="29"/>
  <c r="CL37" i="29"/>
  <c r="CL36" i="29"/>
  <c r="CL35" i="29"/>
  <c r="CL34" i="29"/>
  <c r="CL33" i="29"/>
  <c r="CL32" i="29"/>
  <c r="CL31" i="29"/>
  <c r="CL30" i="29"/>
  <c r="CL29" i="29"/>
  <c r="CL27" i="29"/>
  <c r="CL26" i="29"/>
  <c r="CL25" i="29"/>
  <c r="CL24" i="29"/>
  <c r="CL22" i="29"/>
  <c r="CL21" i="29"/>
  <c r="CL19" i="29"/>
  <c r="CL18" i="29"/>
  <c r="CL17" i="29"/>
  <c r="CL16" i="29"/>
  <c r="CL15" i="29"/>
  <c r="CL14" i="29"/>
  <c r="CL13" i="29"/>
  <c r="CL12" i="29"/>
  <c r="CB80" i="29"/>
  <c r="CB79" i="29"/>
  <c r="CB78" i="29"/>
  <c r="CB77" i="29"/>
  <c r="CB76" i="29"/>
  <c r="CB75" i="29"/>
  <c r="CB73" i="29"/>
  <c r="CB72" i="29"/>
  <c r="CB71" i="29"/>
  <c r="CB70" i="29"/>
  <c r="CB69" i="29"/>
  <c r="CB68" i="29"/>
  <c r="CB66" i="29"/>
  <c r="CB65" i="29"/>
  <c r="CB64" i="29"/>
  <c r="CB63" i="29"/>
  <c r="CB62" i="29"/>
  <c r="CB61" i="29"/>
  <c r="CB60" i="29"/>
  <c r="CB59" i="29"/>
  <c r="CB58" i="29"/>
  <c r="CB57" i="29"/>
  <c r="CB56" i="29"/>
  <c r="CB55" i="29"/>
  <c r="CB54" i="29"/>
  <c r="CB52" i="29"/>
  <c r="CB51" i="29"/>
  <c r="CB50" i="29"/>
  <c r="CB48" i="29"/>
  <c r="CB47" i="29"/>
  <c r="CB46" i="29"/>
  <c r="CB45" i="29"/>
  <c r="CB43" i="29"/>
  <c r="CB42" i="29"/>
  <c r="CB41" i="29"/>
  <c r="CB39" i="29"/>
  <c r="CB38" i="29"/>
  <c r="CB37" i="29"/>
  <c r="CB36" i="29"/>
  <c r="CB35" i="29"/>
  <c r="CB34" i="29"/>
  <c r="CB33" i="29"/>
  <c r="CB32" i="29"/>
  <c r="CB31" i="29"/>
  <c r="CB30" i="29"/>
  <c r="CB29" i="29"/>
  <c r="CB27" i="29"/>
  <c r="CB26" i="29"/>
  <c r="CB25" i="29"/>
  <c r="CB24" i="29"/>
  <c r="CB22" i="29"/>
  <c r="CB21" i="29"/>
  <c r="CB19" i="29"/>
  <c r="CB18" i="29"/>
  <c r="CB17" i="29"/>
  <c r="CB16" i="29"/>
  <c r="CB15" i="29"/>
  <c r="CB14" i="29"/>
  <c r="CB13" i="29"/>
  <c r="CB12" i="29"/>
  <c r="BR80" i="29"/>
  <c r="BR79" i="29"/>
  <c r="BR78" i="29"/>
  <c r="BR77" i="29"/>
  <c r="BR76" i="29"/>
  <c r="BR75" i="29"/>
  <c r="BR73" i="29"/>
  <c r="BR72" i="29"/>
  <c r="BR71" i="29"/>
  <c r="BR70" i="29"/>
  <c r="BR69" i="29"/>
  <c r="BR68" i="29"/>
  <c r="BR66" i="29"/>
  <c r="BR65" i="29"/>
  <c r="BR64" i="29"/>
  <c r="BR63" i="29"/>
  <c r="BR62" i="29"/>
  <c r="BR61" i="29"/>
  <c r="BR60" i="29"/>
  <c r="BR59" i="29"/>
  <c r="BR58" i="29"/>
  <c r="BR57" i="29"/>
  <c r="BR56" i="29"/>
  <c r="BR55" i="29"/>
  <c r="BR54" i="29"/>
  <c r="BR52" i="29"/>
  <c r="BR51" i="29"/>
  <c r="BR50" i="29"/>
  <c r="BR48" i="29"/>
  <c r="BR47" i="29"/>
  <c r="BR46" i="29"/>
  <c r="BR45" i="29"/>
  <c r="BR43" i="29"/>
  <c r="BR42" i="29"/>
  <c r="BR41" i="29"/>
  <c r="BR39" i="29"/>
  <c r="BR38" i="29"/>
  <c r="BR37" i="29"/>
  <c r="BR36" i="29"/>
  <c r="BR35" i="29"/>
  <c r="BR34" i="29"/>
  <c r="BR33" i="29"/>
  <c r="BR32" i="29"/>
  <c r="BR31" i="29"/>
  <c r="BR30" i="29"/>
  <c r="BR29" i="29"/>
  <c r="BR27" i="29"/>
  <c r="BR26" i="29"/>
  <c r="BR25" i="29"/>
  <c r="BR24" i="29"/>
  <c r="BR22" i="29"/>
  <c r="BR21" i="29"/>
  <c r="BR19" i="29"/>
  <c r="BR18" i="29"/>
  <c r="BR17" i="29"/>
  <c r="BR16" i="29"/>
  <c r="BR15" i="29"/>
  <c r="BR14" i="29"/>
  <c r="BR13" i="29"/>
  <c r="BR12" i="29"/>
  <c r="BH80" i="29"/>
  <c r="BH79" i="29"/>
  <c r="BH78" i="29"/>
  <c r="BH77" i="29"/>
  <c r="BH76" i="29"/>
  <c r="BH75" i="29"/>
  <c r="BH73" i="29"/>
  <c r="BH72" i="29"/>
  <c r="BH71" i="29"/>
  <c r="BH70" i="29"/>
  <c r="BH69" i="29"/>
  <c r="BH68" i="29"/>
  <c r="BH66" i="29"/>
  <c r="BH65" i="29"/>
  <c r="BH64" i="29"/>
  <c r="BH63" i="29"/>
  <c r="BH62" i="29"/>
  <c r="BH61" i="29"/>
  <c r="BH60" i="29"/>
  <c r="BH59" i="29"/>
  <c r="BH58" i="29"/>
  <c r="BH57" i="29"/>
  <c r="BH56" i="29"/>
  <c r="BH55" i="29"/>
  <c r="BH54" i="29"/>
  <c r="BH52" i="29"/>
  <c r="BH51" i="29"/>
  <c r="BH50" i="29"/>
  <c r="BH48" i="29"/>
  <c r="BH47" i="29"/>
  <c r="BH46" i="29"/>
  <c r="BH45" i="29"/>
  <c r="BH43" i="29"/>
  <c r="BH42" i="29"/>
  <c r="BH41" i="29"/>
  <c r="BH39" i="29"/>
  <c r="BH38" i="29"/>
  <c r="BH37" i="29"/>
  <c r="BH36" i="29"/>
  <c r="BH35" i="29"/>
  <c r="BH34" i="29"/>
  <c r="BH33" i="29"/>
  <c r="BH32" i="29"/>
  <c r="BH31" i="29"/>
  <c r="BH30" i="29"/>
  <c r="BH29" i="29"/>
  <c r="BH27" i="29"/>
  <c r="BH26" i="29"/>
  <c r="BH25" i="29"/>
  <c r="BH24" i="29"/>
  <c r="BH22" i="29"/>
  <c r="BH21" i="29"/>
  <c r="BH19" i="29"/>
  <c r="BH18" i="29"/>
  <c r="BH17" i="29"/>
  <c r="BH16" i="29"/>
  <c r="BH15" i="29"/>
  <c r="BH14" i="29"/>
  <c r="BH13" i="29"/>
  <c r="BH12" i="29"/>
  <c r="AX80" i="29"/>
  <c r="AX79" i="29"/>
  <c r="AX78" i="29"/>
  <c r="AX77" i="29"/>
  <c r="AX76" i="29"/>
  <c r="AX75" i="29"/>
  <c r="AX73" i="29"/>
  <c r="AX72" i="29"/>
  <c r="AX71" i="29"/>
  <c r="AX70" i="29"/>
  <c r="AX69" i="29"/>
  <c r="AX68" i="29"/>
  <c r="AX66" i="29"/>
  <c r="AX65" i="29"/>
  <c r="AX64" i="29"/>
  <c r="AX63" i="29"/>
  <c r="AX62" i="29"/>
  <c r="AX61" i="29"/>
  <c r="AX60" i="29"/>
  <c r="AX59" i="29"/>
  <c r="AX58" i="29"/>
  <c r="AX57" i="29"/>
  <c r="AX56" i="29"/>
  <c r="AX55" i="29"/>
  <c r="AX54" i="29"/>
  <c r="AX52" i="29"/>
  <c r="AX51" i="29"/>
  <c r="AX50" i="29"/>
  <c r="AX48" i="29"/>
  <c r="AX47" i="29"/>
  <c r="AX46" i="29"/>
  <c r="AX45" i="29"/>
  <c r="AX43" i="29"/>
  <c r="AX42" i="29"/>
  <c r="AX41" i="29"/>
  <c r="AX39" i="29"/>
  <c r="AX38" i="29"/>
  <c r="AX37" i="29"/>
  <c r="AX36" i="29"/>
  <c r="AX35" i="29"/>
  <c r="AX34" i="29"/>
  <c r="AX33" i="29"/>
  <c r="AX32" i="29"/>
  <c r="AX31" i="29"/>
  <c r="AX30" i="29"/>
  <c r="AX29" i="29"/>
  <c r="AX27" i="29"/>
  <c r="AX26" i="29"/>
  <c r="AX25" i="29"/>
  <c r="AX24" i="29"/>
  <c r="AX22" i="29"/>
  <c r="AX21" i="29"/>
  <c r="AX19" i="29"/>
  <c r="AX18" i="29"/>
  <c r="AX17" i="29"/>
  <c r="AX16" i="29"/>
  <c r="AX15" i="29"/>
  <c r="AX14" i="29"/>
  <c r="AX13" i="29"/>
  <c r="AX12" i="29"/>
  <c r="AN80" i="29"/>
  <c r="AN79" i="29"/>
  <c r="AN78" i="29"/>
  <c r="AN77" i="29"/>
  <c r="AN76" i="29"/>
  <c r="AN75" i="29"/>
  <c r="AN73" i="29"/>
  <c r="AN72" i="29"/>
  <c r="AN71" i="29"/>
  <c r="AN70" i="29"/>
  <c r="AN69" i="29"/>
  <c r="AN68" i="29"/>
  <c r="AN66" i="29"/>
  <c r="AN65" i="29"/>
  <c r="AN64" i="29"/>
  <c r="AN63" i="29"/>
  <c r="AN62" i="29"/>
  <c r="AN61" i="29"/>
  <c r="AN60" i="29"/>
  <c r="AN59" i="29"/>
  <c r="AN58" i="29"/>
  <c r="AN57" i="29"/>
  <c r="AN56" i="29"/>
  <c r="AN55" i="29"/>
  <c r="AN54" i="29"/>
  <c r="AN52" i="29"/>
  <c r="AN51" i="29"/>
  <c r="AN50" i="29"/>
  <c r="AN48" i="29"/>
  <c r="AN47" i="29"/>
  <c r="AN46" i="29"/>
  <c r="AN45" i="29"/>
  <c r="AN43" i="29"/>
  <c r="AN42" i="29"/>
  <c r="AN41" i="29"/>
  <c r="AN39" i="29"/>
  <c r="AN38" i="29"/>
  <c r="AN37" i="29"/>
  <c r="AN36" i="29"/>
  <c r="AN35" i="29"/>
  <c r="AN34" i="29"/>
  <c r="AN33" i="29"/>
  <c r="AN32" i="29"/>
  <c r="AN31" i="29"/>
  <c r="AN30" i="29"/>
  <c r="AN29" i="29"/>
  <c r="AN27" i="29"/>
  <c r="AN26" i="29"/>
  <c r="AN25" i="29"/>
  <c r="AN24" i="29"/>
  <c r="AN22" i="29"/>
  <c r="AN21" i="29"/>
  <c r="AN19" i="29"/>
  <c r="AN18" i="29"/>
  <c r="AN17" i="29"/>
  <c r="AN16" i="29"/>
  <c r="AN15" i="29"/>
  <c r="AN14" i="29"/>
  <c r="AN13" i="29"/>
  <c r="AN12" i="29"/>
  <c r="AD80" i="29"/>
  <c r="AD79" i="29"/>
  <c r="AD78" i="29"/>
  <c r="AD77" i="29"/>
  <c r="AD76" i="29"/>
  <c r="AD75" i="29"/>
  <c r="AD73" i="29"/>
  <c r="AD72" i="29"/>
  <c r="AD71" i="29"/>
  <c r="AD70" i="29"/>
  <c r="AD69" i="29"/>
  <c r="AD68" i="29"/>
  <c r="AD66" i="29"/>
  <c r="AD65" i="29"/>
  <c r="AD64" i="29"/>
  <c r="AD63" i="29"/>
  <c r="AD62" i="29"/>
  <c r="AD61" i="29"/>
  <c r="AD60" i="29"/>
  <c r="AD59" i="29"/>
  <c r="AD58" i="29"/>
  <c r="AD57" i="29"/>
  <c r="AD56" i="29"/>
  <c r="AD55" i="29"/>
  <c r="AD54" i="29"/>
  <c r="AD52" i="29"/>
  <c r="AD51" i="29"/>
  <c r="AD50" i="29"/>
  <c r="AD48" i="29"/>
  <c r="AD47" i="29"/>
  <c r="AD46" i="29"/>
  <c r="AD45" i="29"/>
  <c r="AD43" i="29"/>
  <c r="AD42" i="29"/>
  <c r="AD41" i="29"/>
  <c r="AD39" i="29"/>
  <c r="AD38" i="29"/>
  <c r="AD37" i="29"/>
  <c r="AD36" i="29"/>
  <c r="AD35" i="29"/>
  <c r="AD34" i="29"/>
  <c r="AD33" i="29"/>
  <c r="AD32" i="29"/>
  <c r="AD31" i="29"/>
  <c r="AD30" i="29"/>
  <c r="AD29" i="29"/>
  <c r="AD27" i="29"/>
  <c r="AD26" i="29"/>
  <c r="AD25" i="29"/>
  <c r="AD24" i="29"/>
  <c r="AD22" i="29"/>
  <c r="AD21" i="29"/>
  <c r="AD19" i="29"/>
  <c r="AD18" i="29"/>
  <c r="AD17" i="29"/>
  <c r="AD16" i="29"/>
  <c r="AD15" i="29"/>
  <c r="AD14" i="29"/>
  <c r="AD13" i="29"/>
  <c r="AD12" i="29"/>
  <c r="T80" i="29"/>
  <c r="T79" i="29"/>
  <c r="T78" i="29"/>
  <c r="T77" i="29"/>
  <c r="T76" i="29"/>
  <c r="T75" i="29"/>
  <c r="T73" i="29"/>
  <c r="T72" i="29"/>
  <c r="T71" i="29"/>
  <c r="T70" i="29"/>
  <c r="T69" i="29"/>
  <c r="T68" i="29"/>
  <c r="T66" i="29"/>
  <c r="T65" i="29"/>
  <c r="T64" i="29"/>
  <c r="T63" i="29"/>
  <c r="T62" i="29"/>
  <c r="T61" i="29"/>
  <c r="T60" i="29"/>
  <c r="T59" i="29"/>
  <c r="T58" i="29"/>
  <c r="T57" i="29"/>
  <c r="T56" i="29"/>
  <c r="T55" i="29"/>
  <c r="T54" i="29"/>
  <c r="T52" i="29"/>
  <c r="T51" i="29"/>
  <c r="T50" i="29"/>
  <c r="T48" i="29"/>
  <c r="T47" i="29"/>
  <c r="T46" i="29"/>
  <c r="T45" i="29"/>
  <c r="T43" i="29"/>
  <c r="T42" i="29"/>
  <c r="T41" i="29"/>
  <c r="T39" i="29"/>
  <c r="T38" i="29"/>
  <c r="T37" i="29"/>
  <c r="T36" i="29"/>
  <c r="T35" i="29"/>
  <c r="T34" i="29"/>
  <c r="T33" i="29"/>
  <c r="T32" i="29"/>
  <c r="T31" i="29"/>
  <c r="T30" i="29"/>
  <c r="T29" i="29"/>
  <c r="T27" i="29"/>
  <c r="T26" i="29"/>
  <c r="T25" i="29"/>
  <c r="T24" i="29"/>
  <c r="T22" i="29"/>
  <c r="T21" i="29"/>
  <c r="T19" i="29"/>
  <c r="T18" i="29"/>
  <c r="T17" i="29"/>
  <c r="T16" i="29"/>
  <c r="T15" i="29"/>
  <c r="T14" i="29"/>
  <c r="T13" i="29"/>
  <c r="T12" i="29"/>
  <c r="Z87" i="29" l="1"/>
  <c r="CR87" i="29"/>
  <c r="CH87" i="29"/>
  <c r="AT87" i="29"/>
  <c r="AJ87" i="29"/>
  <c r="Z88" i="29"/>
  <c r="P87" i="29"/>
  <c r="BD87" i="29"/>
  <c r="BN87" i="29"/>
  <c r="BX87" i="29"/>
  <c r="CR88" i="29"/>
  <c r="CH88" i="29"/>
  <c r="BX88" i="29"/>
  <c r="BD88" i="29"/>
  <c r="AT88" i="29"/>
  <c r="AJ88" i="29"/>
  <c r="BN88" i="29" l="1"/>
  <c r="D80" i="28" l="1"/>
  <c r="F80" i="28"/>
  <c r="H80" i="28"/>
  <c r="J80" i="28"/>
  <c r="L80" i="28"/>
  <c r="N80" i="28"/>
  <c r="P80" i="28"/>
  <c r="R80" i="28"/>
  <c r="T80" i="28"/>
  <c r="V80" i="28"/>
  <c r="D81" i="28"/>
  <c r="F81" i="28"/>
  <c r="H81" i="28"/>
  <c r="J81" i="28"/>
  <c r="L81" i="28"/>
  <c r="N81" i="28"/>
  <c r="P81" i="28"/>
  <c r="R81" i="28"/>
  <c r="T81" i="28"/>
  <c r="V81" i="28"/>
  <c r="D82" i="28"/>
  <c r="F82" i="28"/>
  <c r="H82" i="28"/>
  <c r="J82" i="28"/>
  <c r="L82" i="28"/>
  <c r="N82" i="28"/>
  <c r="P82" i="28"/>
  <c r="R82" i="28"/>
  <c r="T82" i="28"/>
  <c r="V82" i="28"/>
  <c r="D83" i="28"/>
  <c r="F83" i="28"/>
  <c r="H83" i="28"/>
  <c r="J83" i="28"/>
  <c r="L83" i="28"/>
  <c r="N83" i="28"/>
  <c r="P83" i="28"/>
  <c r="R83" i="28"/>
  <c r="T83" i="28"/>
  <c r="V83" i="28"/>
  <c r="H84" i="28"/>
  <c r="L84" i="28"/>
  <c r="P84" i="28"/>
  <c r="T84" i="28"/>
  <c r="A38" i="28"/>
  <c r="A37" i="28"/>
  <c r="A36" i="28"/>
  <c r="A17" i="28"/>
  <c r="A14" i="28"/>
  <c r="K17" i="30"/>
  <c r="L3" i="21"/>
  <c r="K3" i="21"/>
  <c r="J3" i="21"/>
  <c r="I3" i="21"/>
  <c r="H3" i="21"/>
  <c r="G3" i="21"/>
  <c r="F3" i="21"/>
  <c r="E3" i="21"/>
  <c r="D3" i="21"/>
  <c r="C3" i="21"/>
  <c r="V84" i="28" l="1"/>
  <c r="R84" i="28"/>
  <c r="N84" i="28"/>
  <c r="J84" i="28"/>
  <c r="F84" i="28"/>
  <c r="V33" i="28"/>
  <c r="T33" i="28"/>
  <c r="R33" i="28"/>
  <c r="P33" i="28"/>
  <c r="N33" i="28"/>
  <c r="L33" i="28"/>
  <c r="J33" i="28"/>
  <c r="H33" i="28"/>
  <c r="F33" i="28"/>
  <c r="D33" i="28"/>
  <c r="J11" i="18" l="1"/>
  <c r="B34" i="28" l="1"/>
  <c r="H7" i="18"/>
  <c r="K4" i="28" s="1"/>
  <c r="G5" i="28"/>
  <c r="E5" i="28"/>
  <c r="CV1" i="30" l="1"/>
  <c r="CW1" i="30" s="1"/>
  <c r="CK1" i="30"/>
  <c r="CL1" i="30" s="1"/>
  <c r="BZ1" i="30"/>
  <c r="CA1" i="30" s="1"/>
  <c r="BO1" i="30"/>
  <c r="BP1" i="30" s="1"/>
  <c r="BD1" i="30"/>
  <c r="BE1" i="30" s="1"/>
  <c r="AS1" i="30"/>
  <c r="AT1" i="30" s="1"/>
  <c r="AH1" i="30"/>
  <c r="AI1" i="30" s="1"/>
  <c r="W1" i="30"/>
  <c r="X1" i="30" s="1"/>
  <c r="L1" i="30"/>
  <c r="M1" i="30" s="1"/>
  <c r="A1" i="30"/>
  <c r="B1" i="30" s="1"/>
  <c r="CM1" i="29"/>
  <c r="CC1" i="29"/>
  <c r="BS1" i="29"/>
  <c r="BI1" i="29"/>
  <c r="AY1" i="29"/>
  <c r="AO1" i="29"/>
  <c r="AE1" i="29"/>
  <c r="U1" i="29"/>
  <c r="K1" i="29"/>
  <c r="A1" i="29"/>
  <c r="B1" i="29" s="1"/>
  <c r="L11" i="18"/>
  <c r="K25" i="30" l="1"/>
  <c r="K20" i="30"/>
  <c r="K18" i="30"/>
  <c r="K15" i="30"/>
  <c r="K14" i="30"/>
  <c r="K6" i="30"/>
  <c r="A14" i="18"/>
  <c r="B14" i="18" s="1"/>
  <c r="A15" i="18"/>
  <c r="A16" i="18"/>
  <c r="A17" i="18"/>
  <c r="B17" i="18" s="1"/>
  <c r="A18" i="18"/>
  <c r="B18" i="18" s="1"/>
  <c r="A19" i="18"/>
  <c r="B19" i="18" s="1"/>
  <c r="A20" i="18"/>
  <c r="B20" i="18" s="1"/>
  <c r="A21" i="18"/>
  <c r="B21" i="18" s="1"/>
  <c r="A22" i="18"/>
  <c r="B22" i="18" s="1"/>
  <c r="A13" i="18"/>
  <c r="A5" i="10"/>
  <c r="B5" i="10" s="1"/>
  <c r="A6" i="10"/>
  <c r="B6" i="10" s="1"/>
  <c r="A7" i="10"/>
  <c r="B7" i="10" s="1"/>
  <c r="A8" i="10"/>
  <c r="B8" i="10" s="1"/>
  <c r="A9" i="10"/>
  <c r="B9" i="10" s="1"/>
  <c r="A10" i="10"/>
  <c r="B10" i="10" s="1"/>
  <c r="A11" i="10"/>
  <c r="B11" i="10" s="1"/>
  <c r="A12" i="10"/>
  <c r="B12" i="10" s="1"/>
  <c r="A13" i="10"/>
  <c r="B13" i="10" s="1"/>
  <c r="A14" i="10"/>
  <c r="B14" i="10" s="1"/>
  <c r="A15" i="10"/>
  <c r="B15" i="10" s="1"/>
  <c r="A16" i="10"/>
  <c r="B16" i="10" s="1"/>
  <c r="A17" i="10"/>
  <c r="B17" i="10" s="1"/>
  <c r="A18" i="10"/>
  <c r="B18" i="10" s="1"/>
  <c r="A4" i="10"/>
  <c r="B4" i="10" s="1"/>
  <c r="A7" i="1"/>
  <c r="B7" i="1" s="1"/>
  <c r="E7" i="1" s="1"/>
  <c r="A8" i="1"/>
  <c r="B8" i="1" s="1"/>
  <c r="I8" i="1" s="1"/>
  <c r="A9" i="1"/>
  <c r="B9" i="1" s="1"/>
  <c r="E9" i="1" s="1"/>
  <c r="F9" i="1" s="1"/>
  <c r="A10" i="1"/>
  <c r="B10" i="1" s="1"/>
  <c r="I10" i="1" s="1"/>
  <c r="A11" i="1"/>
  <c r="B11" i="1" s="1"/>
  <c r="A12" i="1"/>
  <c r="B12" i="1" s="1"/>
  <c r="I12" i="1" s="1"/>
  <c r="A13" i="1"/>
  <c r="B13" i="1" s="1"/>
  <c r="I13" i="1" s="1"/>
  <c r="A14" i="1"/>
  <c r="B14" i="1" s="1"/>
  <c r="A15" i="1"/>
  <c r="B15" i="1" s="1"/>
  <c r="A6" i="1"/>
  <c r="B6" i="1" s="1"/>
  <c r="I6" i="1" s="1"/>
  <c r="A20" i="3"/>
  <c r="A21" i="3" s="1"/>
  <c r="A30" i="3"/>
  <c r="A31" i="3" s="1"/>
  <c r="A40" i="3"/>
  <c r="A41" i="3" s="1"/>
  <c r="A50" i="3"/>
  <c r="A51" i="3" s="1"/>
  <c r="A60" i="3"/>
  <c r="A61" i="3" s="1"/>
  <c r="A70" i="3"/>
  <c r="A71" i="3" s="1"/>
  <c r="A80" i="3"/>
  <c r="A81" i="3" s="1"/>
  <c r="A90" i="3"/>
  <c r="A91" i="3" s="1"/>
  <c r="A100" i="3"/>
  <c r="A101" i="3" s="1"/>
  <c r="A10" i="3"/>
  <c r="A11" i="3" s="1"/>
  <c r="A8" i="22"/>
  <c r="A9" i="22"/>
  <c r="A10" i="22"/>
  <c r="D10" i="22" s="1"/>
  <c r="A11" i="22"/>
  <c r="D11" i="22" s="1"/>
  <c r="A12" i="22"/>
  <c r="D12" i="22" s="1"/>
  <c r="A13" i="22"/>
  <c r="D13" i="22" s="1"/>
  <c r="A14" i="22"/>
  <c r="D14" i="22" s="1"/>
  <c r="A15" i="22"/>
  <c r="D15" i="22" s="1"/>
  <c r="A16" i="22"/>
  <c r="D16" i="22" s="1"/>
  <c r="A7" i="22"/>
  <c r="K6" i="3"/>
  <c r="U7" i="28"/>
  <c r="S7" i="28"/>
  <c r="Q7" i="28"/>
  <c r="O7" i="28"/>
  <c r="M7" i="28"/>
  <c r="K7" i="28"/>
  <c r="I7" i="28"/>
  <c r="I8" i="28" s="1"/>
  <c r="G7" i="28"/>
  <c r="G8" i="28" s="1"/>
  <c r="E7" i="28"/>
  <c r="C7" i="28"/>
  <c r="C8" i="28" s="1"/>
  <c r="I14" i="1" l="1"/>
  <c r="K15" i="1"/>
  <c r="L15" i="1"/>
  <c r="E11" i="1"/>
  <c r="F11" i="1" s="1"/>
  <c r="F5" i="21"/>
  <c r="I5" i="21"/>
  <c r="K5" i="21"/>
  <c r="G5" i="21"/>
  <c r="J5" i="21"/>
  <c r="L5" i="21"/>
  <c r="H5" i="21"/>
  <c r="G31" i="28"/>
  <c r="H31" i="28" s="1"/>
  <c r="G30" i="28"/>
  <c r="I31" i="28"/>
  <c r="J31" i="28" s="1"/>
  <c r="I30" i="28"/>
  <c r="C31" i="28"/>
  <c r="C30" i="28"/>
  <c r="D31" i="28"/>
  <c r="G28" i="28"/>
  <c r="G32" i="28"/>
  <c r="H32" i="28" s="1"/>
  <c r="I28" i="28"/>
  <c r="I32" i="28"/>
  <c r="J32" i="28" s="1"/>
  <c r="C28" i="28"/>
  <c r="C32" i="28"/>
  <c r="G79" i="28"/>
  <c r="H79" i="28" s="1"/>
  <c r="G29" i="28"/>
  <c r="I79" i="28"/>
  <c r="J79" i="28" s="1"/>
  <c r="I29" i="28"/>
  <c r="C79" i="28"/>
  <c r="C29" i="28"/>
  <c r="C81" i="28"/>
  <c r="C80" i="28"/>
  <c r="G81" i="28"/>
  <c r="G80" i="28"/>
  <c r="I81" i="28"/>
  <c r="I80" i="28"/>
  <c r="C83" i="28"/>
  <c r="C82" i="28"/>
  <c r="G83" i="28"/>
  <c r="G82" i="28"/>
  <c r="I83" i="28"/>
  <c r="I82" i="28"/>
  <c r="C84" i="28"/>
  <c r="D84" i="28" s="1"/>
  <c r="C78" i="28"/>
  <c r="G84" i="28"/>
  <c r="G78" i="28"/>
  <c r="I84" i="28"/>
  <c r="I78" i="28"/>
  <c r="C76" i="28"/>
  <c r="C77" i="28"/>
  <c r="G76" i="28"/>
  <c r="G77" i="28"/>
  <c r="I76" i="28"/>
  <c r="I77" i="28"/>
  <c r="C74" i="28"/>
  <c r="G74" i="28"/>
  <c r="I74" i="28"/>
  <c r="C68" i="28"/>
  <c r="C67" i="28"/>
  <c r="G68" i="28"/>
  <c r="G67" i="28"/>
  <c r="I68" i="28"/>
  <c r="I67" i="28"/>
  <c r="C69" i="28"/>
  <c r="G69" i="28"/>
  <c r="I69" i="28"/>
  <c r="C71" i="28"/>
  <c r="C70" i="28"/>
  <c r="G71" i="28"/>
  <c r="G70" i="28"/>
  <c r="I71" i="28"/>
  <c r="I70" i="28"/>
  <c r="I15" i="1"/>
  <c r="I11" i="1"/>
  <c r="I61" i="28"/>
  <c r="D9" i="22"/>
  <c r="E5" i="21"/>
  <c r="G61" i="28"/>
  <c r="E14" i="1"/>
  <c r="F14" i="1" s="1"/>
  <c r="E10" i="1"/>
  <c r="F10" i="1" s="1"/>
  <c r="D8" i="22"/>
  <c r="D5" i="21"/>
  <c r="C61" i="28"/>
  <c r="D7" i="22"/>
  <c r="F4" i="21" s="1"/>
  <c r="C5" i="21"/>
  <c r="I62" i="28"/>
  <c r="C62" i="28"/>
  <c r="G62" i="28"/>
  <c r="C54" i="28"/>
  <c r="C53" i="28"/>
  <c r="I54" i="28"/>
  <c r="I53" i="28"/>
  <c r="G54" i="28"/>
  <c r="G53" i="28"/>
  <c r="I55" i="28"/>
  <c r="C55" i="28"/>
  <c r="G55" i="28"/>
  <c r="C56" i="28"/>
  <c r="I56" i="28"/>
  <c r="G56" i="28"/>
  <c r="C58" i="28"/>
  <c r="C57" i="28"/>
  <c r="I58" i="28"/>
  <c r="I57" i="28"/>
  <c r="G58" i="28"/>
  <c r="G57" i="28"/>
  <c r="C59" i="28"/>
  <c r="I59" i="28"/>
  <c r="G59" i="28"/>
  <c r="C22" i="28"/>
  <c r="C60" i="28"/>
  <c r="I22" i="28"/>
  <c r="I60" i="28"/>
  <c r="G22" i="28"/>
  <c r="G60" i="28"/>
  <c r="C24" i="28"/>
  <c r="C23" i="28"/>
  <c r="I24" i="28"/>
  <c r="I23" i="28"/>
  <c r="G24" i="28"/>
  <c r="G23" i="28"/>
  <c r="C52" i="28"/>
  <c r="I52" i="28"/>
  <c r="G52" i="28"/>
  <c r="I36" i="28"/>
  <c r="I42" i="28"/>
  <c r="I44" i="28"/>
  <c r="I46" i="28"/>
  <c r="I64" i="28"/>
  <c r="I37" i="28"/>
  <c r="I39" i="28"/>
  <c r="I47" i="28"/>
  <c r="I50" i="28"/>
  <c r="I65" i="28"/>
  <c r="I73" i="28"/>
  <c r="I40" i="28"/>
  <c r="I45" i="28"/>
  <c r="I48" i="28"/>
  <c r="I51" i="28"/>
  <c r="I66" i="28"/>
  <c r="I75" i="28"/>
  <c r="I41" i="28"/>
  <c r="I63" i="28"/>
  <c r="I43" i="28"/>
  <c r="I72" i="28"/>
  <c r="I49" i="28"/>
  <c r="I85" i="28"/>
  <c r="J85" i="28" s="1"/>
  <c r="I38" i="28"/>
  <c r="I18" i="28"/>
  <c r="I25" i="28"/>
  <c r="I14" i="28"/>
  <c r="I16" i="28"/>
  <c r="I20" i="28"/>
  <c r="I15" i="28"/>
  <c r="I19" i="28"/>
  <c r="I26" i="28"/>
  <c r="I27" i="28"/>
  <c r="I17" i="28"/>
  <c r="I21" i="28"/>
  <c r="I33" i="28"/>
  <c r="E8" i="1"/>
  <c r="F8" i="1" s="1"/>
  <c r="E15" i="1"/>
  <c r="F15" i="1" s="1"/>
  <c r="G42" i="28"/>
  <c r="G44" i="28"/>
  <c r="G46" i="28"/>
  <c r="G64" i="28"/>
  <c r="G36" i="28"/>
  <c r="G18" i="28"/>
  <c r="G25" i="28"/>
  <c r="G14" i="28"/>
  <c r="G51" i="28"/>
  <c r="G66" i="28"/>
  <c r="G16" i="28"/>
  <c r="G27" i="28"/>
  <c r="G37" i="28"/>
  <c r="G39" i="28"/>
  <c r="G47" i="28"/>
  <c r="G50" i="28"/>
  <c r="G65" i="28"/>
  <c r="G73" i="28"/>
  <c r="G15" i="28"/>
  <c r="G19" i="28"/>
  <c r="G26" i="28"/>
  <c r="G40" i="28"/>
  <c r="G45" i="28"/>
  <c r="G48" i="28"/>
  <c r="G75" i="28"/>
  <c r="G20" i="28"/>
  <c r="G38" i="28"/>
  <c r="G17" i="28"/>
  <c r="G41" i="28"/>
  <c r="G63" i="28"/>
  <c r="G85" i="28"/>
  <c r="H85" i="28" s="1"/>
  <c r="G21" i="28"/>
  <c r="G43" i="28"/>
  <c r="G72" i="28"/>
  <c r="G33" i="28"/>
  <c r="G49" i="28"/>
  <c r="E12" i="1"/>
  <c r="F12" i="1" s="1"/>
  <c r="I7" i="1"/>
  <c r="C42" i="28"/>
  <c r="C44" i="28"/>
  <c r="C46" i="28"/>
  <c r="C64" i="28"/>
  <c r="C15" i="28"/>
  <c r="C19" i="28"/>
  <c r="C26" i="28"/>
  <c r="C37" i="28"/>
  <c r="C39" i="28"/>
  <c r="C47" i="28"/>
  <c r="C50" i="28"/>
  <c r="C65" i="28"/>
  <c r="C73" i="28"/>
  <c r="C16" i="28"/>
  <c r="C20" i="28"/>
  <c r="C27" i="28"/>
  <c r="C38" i="28"/>
  <c r="C43" i="28"/>
  <c r="C72" i="28"/>
  <c r="C18" i="28"/>
  <c r="C14" i="28"/>
  <c r="C40" i="28"/>
  <c r="C45" i="28"/>
  <c r="C48" i="28"/>
  <c r="C75" i="28"/>
  <c r="C21" i="28"/>
  <c r="C41" i="28"/>
  <c r="C63" i="28"/>
  <c r="C25" i="28"/>
  <c r="C66" i="28"/>
  <c r="C17" i="28"/>
  <c r="C49" i="28"/>
  <c r="C85" i="28"/>
  <c r="C51" i="28"/>
  <c r="C33" i="28"/>
  <c r="B15" i="18"/>
  <c r="B13" i="18"/>
  <c r="B16" i="18"/>
  <c r="K8" i="28"/>
  <c r="S8" i="28"/>
  <c r="E8" i="28"/>
  <c r="M8" i="28"/>
  <c r="U8" i="28"/>
  <c r="O8" i="28"/>
  <c r="Q8" i="28"/>
  <c r="E13" i="1"/>
  <c r="F13" i="1" s="1"/>
  <c r="I9" i="1"/>
  <c r="H30" i="30"/>
  <c r="F7" i="1"/>
  <c r="E6" i="1"/>
  <c r="F6" i="1" s="1"/>
  <c r="M15" i="1" l="1"/>
  <c r="N15" i="1" s="1"/>
  <c r="H4" i="21"/>
  <c r="I4" i="21"/>
  <c r="J4" i="21"/>
  <c r="C4" i="21"/>
  <c r="D79" i="28"/>
  <c r="Q31" i="28"/>
  <c r="R31" i="28" s="1"/>
  <c r="Q30" i="28"/>
  <c r="U31" i="28"/>
  <c r="V31" i="28" s="1"/>
  <c r="U30" i="28"/>
  <c r="S31" i="28"/>
  <c r="T31" i="28" s="1"/>
  <c r="S30" i="28"/>
  <c r="M31" i="28"/>
  <c r="N31" i="28" s="1"/>
  <c r="M30" i="28"/>
  <c r="K31" i="28"/>
  <c r="L31" i="28" s="1"/>
  <c r="K30" i="28"/>
  <c r="B30" i="28" s="1"/>
  <c r="E31" i="28"/>
  <c r="F31" i="28" s="1"/>
  <c r="E30" i="28"/>
  <c r="O31" i="28"/>
  <c r="P31" i="28" s="1"/>
  <c r="O30" i="28"/>
  <c r="O28" i="28"/>
  <c r="O32" i="28"/>
  <c r="P32" i="28" s="1"/>
  <c r="Q28" i="28"/>
  <c r="Q32" i="28"/>
  <c r="R32" i="28" s="1"/>
  <c r="U28" i="28"/>
  <c r="U32" i="28"/>
  <c r="V32" i="28" s="1"/>
  <c r="S28" i="28"/>
  <c r="S32" i="28"/>
  <c r="T32" i="28" s="1"/>
  <c r="M28" i="28"/>
  <c r="M32" i="28"/>
  <c r="N32" i="28" s="1"/>
  <c r="K28" i="28"/>
  <c r="B28" i="28" s="1"/>
  <c r="K32" i="28"/>
  <c r="L32" i="28" s="1"/>
  <c r="D32" i="28"/>
  <c r="E28" i="28"/>
  <c r="E32" i="28"/>
  <c r="F32" i="28" s="1"/>
  <c r="O79" i="28"/>
  <c r="P79" i="28" s="1"/>
  <c r="O29" i="28"/>
  <c r="Q79" i="28"/>
  <c r="R79" i="28" s="1"/>
  <c r="Q29" i="28"/>
  <c r="U79" i="28"/>
  <c r="V79" i="28" s="1"/>
  <c r="U29" i="28"/>
  <c r="S79" i="28"/>
  <c r="T79" i="28" s="1"/>
  <c r="S29" i="28"/>
  <c r="E79" i="28"/>
  <c r="F79" i="28" s="1"/>
  <c r="E29" i="28"/>
  <c r="M79" i="28"/>
  <c r="N79" i="28" s="1"/>
  <c r="M29" i="28"/>
  <c r="K79" i="28"/>
  <c r="L79" i="28" s="1"/>
  <c r="K29" i="28"/>
  <c r="B29" i="28" s="1"/>
  <c r="D4" i="21"/>
  <c r="E4" i="21"/>
  <c r="O81" i="28"/>
  <c r="O80" i="28"/>
  <c r="E81" i="28"/>
  <c r="E80" i="28"/>
  <c r="Q81" i="28"/>
  <c r="Q80" i="28"/>
  <c r="U81" i="28"/>
  <c r="U80" i="28"/>
  <c r="S81" i="28"/>
  <c r="S80" i="28"/>
  <c r="M81" i="28"/>
  <c r="M80" i="28"/>
  <c r="K81" i="28"/>
  <c r="K80" i="28"/>
  <c r="E83" i="28"/>
  <c r="E82" i="28"/>
  <c r="O83" i="28"/>
  <c r="O82" i="28"/>
  <c r="Q83" i="28"/>
  <c r="Q82" i="28"/>
  <c r="U83" i="28"/>
  <c r="U82" i="28"/>
  <c r="S83" i="28"/>
  <c r="S82" i="28"/>
  <c r="M83" i="28"/>
  <c r="M82" i="28"/>
  <c r="K83" i="28"/>
  <c r="K82" i="28"/>
  <c r="E84" i="28"/>
  <c r="E78" i="28"/>
  <c r="O84" i="28"/>
  <c r="O78" i="28"/>
  <c r="Q84" i="28"/>
  <c r="Q78" i="28"/>
  <c r="U84" i="28"/>
  <c r="U78" i="28"/>
  <c r="S84" i="28"/>
  <c r="S78" i="28"/>
  <c r="M84" i="28"/>
  <c r="M78" i="28"/>
  <c r="K84" i="28"/>
  <c r="K78" i="28"/>
  <c r="B78" i="28" s="1"/>
  <c r="O76" i="28"/>
  <c r="O77" i="28"/>
  <c r="E76" i="28"/>
  <c r="E77" i="28"/>
  <c r="Q76" i="28"/>
  <c r="Q77" i="28"/>
  <c r="U76" i="28"/>
  <c r="U77" i="28"/>
  <c r="S76" i="28"/>
  <c r="S77" i="28"/>
  <c r="M76" i="28"/>
  <c r="M77" i="28"/>
  <c r="K76" i="28"/>
  <c r="B76" i="28" s="1"/>
  <c r="K77" i="28"/>
  <c r="B77" i="28" s="1"/>
  <c r="E74" i="28"/>
  <c r="O74" i="28"/>
  <c r="Q74" i="28"/>
  <c r="U74" i="28"/>
  <c r="S74" i="28"/>
  <c r="M74" i="28"/>
  <c r="K74" i="28"/>
  <c r="B74" i="28" s="1"/>
  <c r="E68" i="28"/>
  <c r="E67" i="28"/>
  <c r="O68" i="28"/>
  <c r="O67" i="28"/>
  <c r="Q68" i="28"/>
  <c r="Q67" i="28"/>
  <c r="U68" i="28"/>
  <c r="U67" i="28"/>
  <c r="S68" i="28"/>
  <c r="S67" i="28"/>
  <c r="M68" i="28"/>
  <c r="M67" i="28"/>
  <c r="K68" i="28"/>
  <c r="B68" i="28" s="1"/>
  <c r="K67" i="28"/>
  <c r="B67" i="28" s="1"/>
  <c r="O69" i="28"/>
  <c r="E69" i="28"/>
  <c r="Q69" i="28"/>
  <c r="U69" i="28"/>
  <c r="S69" i="28"/>
  <c r="M69" i="28"/>
  <c r="K69" i="28"/>
  <c r="B69" i="28" s="1"/>
  <c r="E71" i="28"/>
  <c r="E70" i="28"/>
  <c r="O71" i="28"/>
  <c r="O70" i="28"/>
  <c r="Q71" i="28"/>
  <c r="Q70" i="28"/>
  <c r="U71" i="28"/>
  <c r="U70" i="28"/>
  <c r="S71" i="28"/>
  <c r="S70" i="28"/>
  <c r="M71" i="28"/>
  <c r="M70" i="28"/>
  <c r="K71" i="28"/>
  <c r="B71" i="28" s="1"/>
  <c r="K70" i="28"/>
  <c r="B70" i="28" s="1"/>
  <c r="O61" i="28"/>
  <c r="Q61" i="28"/>
  <c r="U61" i="28"/>
  <c r="S61" i="28"/>
  <c r="M61" i="28"/>
  <c r="L4" i="21"/>
  <c r="G4" i="21"/>
  <c r="K61" i="28"/>
  <c r="B61" i="28" s="1"/>
  <c r="K4" i="21"/>
  <c r="E61" i="28"/>
  <c r="E62" i="28"/>
  <c r="O62" i="28"/>
  <c r="Q62" i="28"/>
  <c r="U62" i="28"/>
  <c r="S62" i="28"/>
  <c r="M62" i="28"/>
  <c r="K62" i="28"/>
  <c r="B62" i="28" s="1"/>
  <c r="U54" i="28"/>
  <c r="U53" i="28"/>
  <c r="M54" i="28"/>
  <c r="M53" i="28"/>
  <c r="K54" i="28"/>
  <c r="B54" i="28" s="1"/>
  <c r="K53" i="28"/>
  <c r="B53" i="28" s="1"/>
  <c r="S54" i="28"/>
  <c r="S53" i="28"/>
  <c r="E54" i="28"/>
  <c r="E53" i="28"/>
  <c r="Q54" i="28"/>
  <c r="Q53" i="28"/>
  <c r="O54" i="28"/>
  <c r="O53" i="28"/>
  <c r="Q55" i="28"/>
  <c r="U55" i="28"/>
  <c r="S55" i="28"/>
  <c r="M55" i="28"/>
  <c r="K55" i="28"/>
  <c r="B55" i="28" s="1"/>
  <c r="O55" i="28"/>
  <c r="E55" i="28"/>
  <c r="O56" i="28"/>
  <c r="Q56" i="28"/>
  <c r="U56" i="28"/>
  <c r="S56" i="28"/>
  <c r="M56" i="28"/>
  <c r="K56" i="28"/>
  <c r="B56" i="28" s="1"/>
  <c r="E56" i="28"/>
  <c r="E58" i="28"/>
  <c r="E57" i="28"/>
  <c r="Q58" i="28"/>
  <c r="Q57" i="28"/>
  <c r="U58" i="28"/>
  <c r="U57" i="28"/>
  <c r="S58" i="28"/>
  <c r="S57" i="28"/>
  <c r="O58" i="28"/>
  <c r="O57" i="28"/>
  <c r="M58" i="28"/>
  <c r="M57" i="28"/>
  <c r="K58" i="28"/>
  <c r="B58" i="28" s="1"/>
  <c r="K57" i="28"/>
  <c r="B57" i="28" s="1"/>
  <c r="M59" i="28"/>
  <c r="E59" i="28"/>
  <c r="O59" i="28"/>
  <c r="K59" i="28"/>
  <c r="B59" i="28" s="1"/>
  <c r="Q59" i="28"/>
  <c r="U59" i="28"/>
  <c r="S59" i="28"/>
  <c r="Q22" i="28"/>
  <c r="Q60" i="28"/>
  <c r="M22" i="28"/>
  <c r="M60" i="28"/>
  <c r="K22" i="28"/>
  <c r="B22" i="28" s="1"/>
  <c r="K60" i="28"/>
  <c r="B60" i="28" s="1"/>
  <c r="U22" i="28"/>
  <c r="U60" i="28"/>
  <c r="E22" i="28"/>
  <c r="E60" i="28"/>
  <c r="S22" i="28"/>
  <c r="S60" i="28"/>
  <c r="O22" i="28"/>
  <c r="O60" i="28"/>
  <c r="U24" i="28"/>
  <c r="U23" i="28"/>
  <c r="M24" i="28"/>
  <c r="M23" i="28"/>
  <c r="K24" i="28"/>
  <c r="B24" i="28" s="1"/>
  <c r="K23" i="28"/>
  <c r="B23" i="28" s="1"/>
  <c r="S24" i="28"/>
  <c r="S23" i="28"/>
  <c r="E24" i="28"/>
  <c r="E23" i="28"/>
  <c r="Q24" i="28"/>
  <c r="Q23" i="28"/>
  <c r="O24" i="28"/>
  <c r="O23" i="28"/>
  <c r="S52" i="28"/>
  <c r="K52" i="28"/>
  <c r="B52" i="28" s="1"/>
  <c r="E52" i="28"/>
  <c r="U52" i="28"/>
  <c r="M52" i="28"/>
  <c r="O52" i="28"/>
  <c r="Q52" i="28"/>
  <c r="Q73" i="28"/>
  <c r="Q65" i="28"/>
  <c r="Q50" i="28"/>
  <c r="Q47" i="28"/>
  <c r="Q39" i="28"/>
  <c r="Q64" i="28"/>
  <c r="Q46" i="28"/>
  <c r="Q44" i="28"/>
  <c r="Q42" i="28"/>
  <c r="Q36" i="28"/>
  <c r="Q85" i="28"/>
  <c r="R85" i="28" s="1"/>
  <c r="Q72" i="28"/>
  <c r="Q63" i="28"/>
  <c r="Q49" i="28"/>
  <c r="Q43" i="28"/>
  <c r="Q41" i="28"/>
  <c r="Q38" i="28"/>
  <c r="Q51" i="28"/>
  <c r="Q17" i="28"/>
  <c r="Q21" i="28"/>
  <c r="Q33" i="28"/>
  <c r="Q14" i="28"/>
  <c r="Q66" i="28"/>
  <c r="Q19" i="28"/>
  <c r="Q75" i="28"/>
  <c r="Q48" i="28"/>
  <c r="Q37" i="28"/>
  <c r="Q18" i="28"/>
  <c r="Q25" i="28"/>
  <c r="Q15" i="28"/>
  <c r="Q26" i="28"/>
  <c r="Q40" i="28"/>
  <c r="Q16" i="28"/>
  <c r="Q20" i="28"/>
  <c r="Q27" i="28"/>
  <c r="Q45" i="28"/>
  <c r="S75" i="28"/>
  <c r="S66" i="28"/>
  <c r="S51" i="28"/>
  <c r="S48" i="28"/>
  <c r="S45" i="28"/>
  <c r="S40" i="28"/>
  <c r="S16" i="28"/>
  <c r="S20" i="28"/>
  <c r="S27" i="28"/>
  <c r="S73" i="28"/>
  <c r="S65" i="28"/>
  <c r="S50" i="28"/>
  <c r="S47" i="28"/>
  <c r="S39" i="28"/>
  <c r="S37" i="28"/>
  <c r="S17" i="28"/>
  <c r="S21" i="28"/>
  <c r="S33" i="28"/>
  <c r="S64" i="28"/>
  <c r="S46" i="28"/>
  <c r="S44" i="28"/>
  <c r="S42" i="28"/>
  <c r="S36" i="28"/>
  <c r="S18" i="28"/>
  <c r="S25" i="28"/>
  <c r="S63" i="28"/>
  <c r="S41" i="28"/>
  <c r="S26" i="28"/>
  <c r="S38" i="28"/>
  <c r="S85" i="28"/>
  <c r="T85" i="28" s="1"/>
  <c r="S49" i="28"/>
  <c r="S15" i="28"/>
  <c r="S43" i="28"/>
  <c r="S19" i="28"/>
  <c r="S72" i="28"/>
  <c r="S14" i="28"/>
  <c r="M64" i="28"/>
  <c r="M46" i="28"/>
  <c r="M44" i="28"/>
  <c r="M42" i="28"/>
  <c r="M36" i="28"/>
  <c r="M18" i="28"/>
  <c r="M25" i="28"/>
  <c r="M14" i="28"/>
  <c r="M75" i="28"/>
  <c r="M48" i="28"/>
  <c r="M45" i="28"/>
  <c r="M40" i="28"/>
  <c r="M16" i="28"/>
  <c r="M85" i="28"/>
  <c r="N85" i="28" s="1"/>
  <c r="M72" i="28"/>
  <c r="M63" i="28"/>
  <c r="M49" i="28"/>
  <c r="M43" i="28"/>
  <c r="M41" i="28"/>
  <c r="M38" i="28"/>
  <c r="M15" i="28"/>
  <c r="M19" i="28"/>
  <c r="M26" i="28"/>
  <c r="M66" i="28"/>
  <c r="M51" i="28"/>
  <c r="M20" i="28"/>
  <c r="M27" i="28"/>
  <c r="M65" i="28"/>
  <c r="M21" i="28"/>
  <c r="M39" i="28"/>
  <c r="M33" i="28"/>
  <c r="M50" i="28"/>
  <c r="M37" i="28"/>
  <c r="M73" i="28"/>
  <c r="M47" i="28"/>
  <c r="M17" i="28"/>
  <c r="K64" i="28"/>
  <c r="B64" i="28" s="1"/>
  <c r="K46" i="28"/>
  <c r="B46" i="28" s="1"/>
  <c r="K44" i="28"/>
  <c r="B44" i="28" s="1"/>
  <c r="K42" i="28"/>
  <c r="B42" i="28" s="1"/>
  <c r="K36" i="28"/>
  <c r="B36" i="28" s="1"/>
  <c r="K18" i="28"/>
  <c r="B18" i="28" s="1"/>
  <c r="K25" i="28"/>
  <c r="B25" i="28" s="1"/>
  <c r="K14" i="28"/>
  <c r="B14" i="28" s="1"/>
  <c r="K75" i="28"/>
  <c r="B75" i="28" s="1"/>
  <c r="K66" i="28"/>
  <c r="B66" i="28" s="1"/>
  <c r="K51" i="28"/>
  <c r="B51" i="28" s="1"/>
  <c r="K20" i="28"/>
  <c r="B20" i="28" s="1"/>
  <c r="K85" i="28"/>
  <c r="L85" i="28" s="1"/>
  <c r="K72" i="28"/>
  <c r="B72" i="28" s="1"/>
  <c r="K63" i="28"/>
  <c r="B63" i="28" s="1"/>
  <c r="K49" i="28"/>
  <c r="B49" i="28" s="1"/>
  <c r="K43" i="28"/>
  <c r="B43" i="28" s="1"/>
  <c r="K41" i="28"/>
  <c r="B41" i="28" s="1"/>
  <c r="K38" i="28"/>
  <c r="B38" i="28" s="1"/>
  <c r="K15" i="28"/>
  <c r="B15" i="28" s="1"/>
  <c r="K19" i="28"/>
  <c r="B19" i="28" s="1"/>
  <c r="K26" i="28"/>
  <c r="B26" i="28" s="1"/>
  <c r="K48" i="28"/>
  <c r="B48" i="28" s="1"/>
  <c r="K45" i="28"/>
  <c r="B45" i="28" s="1"/>
  <c r="K40" i="28"/>
  <c r="B40" i="28" s="1"/>
  <c r="K16" i="28"/>
  <c r="B16" i="28" s="1"/>
  <c r="K27" i="28"/>
  <c r="B27" i="28" s="1"/>
  <c r="K39" i="28"/>
  <c r="B39" i="28" s="1"/>
  <c r="K33" i="28"/>
  <c r="K50" i="28"/>
  <c r="B50" i="28" s="1"/>
  <c r="K37" i="28"/>
  <c r="B37" i="28" s="1"/>
  <c r="K47" i="28"/>
  <c r="B47" i="28" s="1"/>
  <c r="K17" i="28"/>
  <c r="B17" i="28" s="1"/>
  <c r="K65" i="28"/>
  <c r="B65" i="28" s="1"/>
  <c r="K21" i="28"/>
  <c r="B21" i="28" s="1"/>
  <c r="K73" i="28"/>
  <c r="B73" i="28" s="1"/>
  <c r="E42" i="28"/>
  <c r="E44" i="28"/>
  <c r="E46" i="28"/>
  <c r="E64" i="28"/>
  <c r="E36" i="28"/>
  <c r="E18" i="28"/>
  <c r="E25" i="28"/>
  <c r="E14" i="28"/>
  <c r="E40" i="28"/>
  <c r="E45" i="28"/>
  <c r="E48" i="28"/>
  <c r="E75" i="28"/>
  <c r="E37" i="28"/>
  <c r="E39" i="28"/>
  <c r="E47" i="28"/>
  <c r="E50" i="28"/>
  <c r="E65" i="28"/>
  <c r="E73" i="28"/>
  <c r="E15" i="28"/>
  <c r="E19" i="28"/>
  <c r="E26" i="28"/>
  <c r="E51" i="28"/>
  <c r="E66" i="28"/>
  <c r="E16" i="28"/>
  <c r="E20" i="28"/>
  <c r="E41" i="28"/>
  <c r="E63" i="28"/>
  <c r="E21" i="28"/>
  <c r="E43" i="28"/>
  <c r="E72" i="28"/>
  <c r="E27" i="28"/>
  <c r="E85" i="28"/>
  <c r="E17" i="28"/>
  <c r="E49" i="28"/>
  <c r="E33" i="28"/>
  <c r="E38" i="28"/>
  <c r="U85" i="28"/>
  <c r="V85" i="28" s="1"/>
  <c r="U72" i="28"/>
  <c r="U63" i="28"/>
  <c r="U49" i="28"/>
  <c r="U43" i="28"/>
  <c r="U41" i="28"/>
  <c r="U38" i="28"/>
  <c r="U15" i="28"/>
  <c r="U19" i="28"/>
  <c r="U26" i="28"/>
  <c r="U75" i="28"/>
  <c r="U66" i="28"/>
  <c r="U51" i="28"/>
  <c r="U48" i="28"/>
  <c r="U45" i="28"/>
  <c r="U40" i="28"/>
  <c r="U16" i="28"/>
  <c r="U20" i="28"/>
  <c r="U27" i="28"/>
  <c r="U73" i="28"/>
  <c r="U65" i="28"/>
  <c r="U50" i="28"/>
  <c r="U47" i="28"/>
  <c r="U39" i="28"/>
  <c r="U37" i="28"/>
  <c r="V37" i="28" s="1"/>
  <c r="U17" i="28"/>
  <c r="U21" i="28"/>
  <c r="U33" i="28"/>
  <c r="U46" i="28"/>
  <c r="U44" i="28"/>
  <c r="U18" i="28"/>
  <c r="U14" i="28"/>
  <c r="U64" i="28"/>
  <c r="U42" i="28"/>
  <c r="U25" i="28"/>
  <c r="U36" i="28"/>
  <c r="V36" i="28" s="1"/>
  <c r="O64" i="28"/>
  <c r="O46" i="28"/>
  <c r="O44" i="28"/>
  <c r="O42" i="28"/>
  <c r="O36" i="28"/>
  <c r="O18" i="28"/>
  <c r="O25" i="28"/>
  <c r="O14" i="28"/>
  <c r="O66" i="28"/>
  <c r="O51" i="28"/>
  <c r="O40" i="28"/>
  <c r="O16" i="28"/>
  <c r="O20" i="28"/>
  <c r="O85" i="28"/>
  <c r="P85" i="28" s="1"/>
  <c r="O72" i="28"/>
  <c r="O63" i="28"/>
  <c r="O49" i="28"/>
  <c r="O43" i="28"/>
  <c r="O41" i="28"/>
  <c r="O38" i="28"/>
  <c r="O15" i="28"/>
  <c r="O19" i="28"/>
  <c r="O26" i="28"/>
  <c r="O75" i="28"/>
  <c r="O48" i="28"/>
  <c r="O45" i="28"/>
  <c r="O27" i="28"/>
  <c r="O73" i="28"/>
  <c r="O47" i="28"/>
  <c r="O17" i="28"/>
  <c r="O65" i="28"/>
  <c r="O21" i="28"/>
  <c r="O39" i="28"/>
  <c r="O50" i="28"/>
  <c r="O37" i="28"/>
  <c r="O33" i="28"/>
  <c r="L1" i="29"/>
  <c r="B3" i="22" l="1"/>
  <c r="V1" i="29" l="1"/>
  <c r="AF1" i="29" l="1"/>
  <c r="AP1" i="29" l="1"/>
  <c r="AZ1" i="29" l="1"/>
  <c r="BJ1" i="29" l="1"/>
  <c r="C36" i="28"/>
  <c r="BT1" i="29" l="1"/>
  <c r="CD1" i="29" l="1"/>
  <c r="I82" i="29"/>
  <c r="I85" i="29" s="1"/>
  <c r="F89" i="29" l="1"/>
  <c r="J7" i="18"/>
  <c r="CN1" i="29"/>
  <c r="H17" i="18" l="1"/>
  <c r="H22" i="18"/>
  <c r="H15" i="18"/>
  <c r="H18" i="18"/>
  <c r="H20" i="18"/>
  <c r="H19" i="18"/>
  <c r="H21" i="18"/>
  <c r="H16" i="18"/>
  <c r="H13" i="18"/>
  <c r="H14" i="18"/>
  <c r="F87" i="29" l="1"/>
  <c r="G105" i="3" l="1"/>
  <c r="G106" i="3" s="1"/>
  <c r="H105" i="3" s="1"/>
  <c r="G95" i="3"/>
  <c r="G96" i="3" s="1"/>
  <c r="H95" i="3" s="1"/>
  <c r="G85" i="3"/>
  <c r="G86" i="3" s="1"/>
  <c r="H85" i="3" s="1"/>
  <c r="G75" i="3"/>
  <c r="G76" i="3" s="1"/>
  <c r="H75" i="3" s="1"/>
  <c r="G65" i="3"/>
  <c r="G66" i="3" s="1"/>
  <c r="H65" i="3" s="1"/>
  <c r="G55" i="3"/>
  <c r="G56" i="3" s="1"/>
  <c r="H55" i="3" s="1"/>
  <c r="G45" i="3"/>
  <c r="G46" i="3" s="1"/>
  <c r="H45" i="3" s="1"/>
  <c r="G35" i="3"/>
  <c r="G36" i="3" s="1"/>
  <c r="H35" i="3" s="1"/>
  <c r="G25" i="3"/>
  <c r="G26" i="3" s="1"/>
  <c r="H25" i="3" s="1"/>
  <c r="J14" i="1" l="1"/>
  <c r="L6" i="1"/>
  <c r="L12" i="1"/>
  <c r="J6" i="1"/>
  <c r="K6" i="1"/>
  <c r="L14" i="1"/>
  <c r="K14" i="1"/>
  <c r="J15" i="1"/>
  <c r="J13" i="1"/>
  <c r="L13" i="1"/>
  <c r="K13" i="1"/>
  <c r="K12" i="1"/>
  <c r="J12" i="1"/>
  <c r="J11" i="1"/>
  <c r="L11" i="1"/>
  <c r="K11" i="1"/>
  <c r="L10" i="1"/>
  <c r="K10" i="1"/>
  <c r="M10" i="1" s="1"/>
  <c r="N10" i="1" s="1"/>
  <c r="J10" i="1"/>
  <c r="J9" i="1"/>
  <c r="L9" i="1"/>
  <c r="K9" i="1"/>
  <c r="M9" i="1" s="1"/>
  <c r="N9" i="1" s="1"/>
  <c r="K8" i="1"/>
  <c r="J8" i="1"/>
  <c r="L8" i="1"/>
  <c r="J7" i="1"/>
  <c r="L7" i="1"/>
  <c r="K7" i="1"/>
  <c r="M7" i="1" l="1"/>
  <c r="N7" i="1" s="1"/>
  <c r="M11" i="1"/>
  <c r="N11" i="1" s="1"/>
  <c r="M12" i="1"/>
  <c r="N12" i="1" s="1"/>
  <c r="M14" i="1"/>
  <c r="N14" i="1" s="1"/>
  <c r="M8" i="1"/>
  <c r="N8" i="1" s="1"/>
  <c r="M13" i="1"/>
  <c r="N13" i="1" s="1"/>
  <c r="M6" i="1"/>
  <c r="N6" i="1" s="1"/>
  <c r="O6" i="18" l="1"/>
  <c r="BD90" i="29" l="1"/>
  <c r="CR90" i="29"/>
  <c r="BX90" i="29"/>
  <c r="BN90" i="29"/>
  <c r="P90" i="29"/>
  <c r="AT90" i="29"/>
  <c r="AJ90" i="29"/>
  <c r="Z90" i="29"/>
  <c r="F90" i="29"/>
  <c r="A3" i="18"/>
  <c r="A1" i="18"/>
  <c r="A2" i="18"/>
  <c r="B2" i="22" l="1"/>
  <c r="G15" i="3" l="1"/>
  <c r="G16" i="3" l="1"/>
  <c r="H15" i="3" s="1"/>
  <c r="B4" i="28" l="1"/>
  <c r="V18" i="28" l="1"/>
  <c r="V26" i="28"/>
  <c r="V15" i="28"/>
  <c r="V28" i="28"/>
  <c r="V21" i="28"/>
  <c r="V20" i="28"/>
  <c r="V19" i="28"/>
  <c r="V17" i="28"/>
  <c r="V22" i="28"/>
  <c r="V27" i="28"/>
  <c r="V23" i="28"/>
  <c r="V29" i="28"/>
  <c r="V30" i="28"/>
  <c r="V24" i="28"/>
  <c r="V16" i="28"/>
  <c r="V14" i="28"/>
  <c r="U9" i="28" s="1"/>
  <c r="V25" i="28"/>
  <c r="L25" i="28"/>
  <c r="L24" i="28"/>
  <c r="L29" i="28"/>
  <c r="L30" i="28"/>
  <c r="L21" i="28"/>
  <c r="L18" i="28"/>
  <c r="L27" i="28"/>
  <c r="L28" i="28"/>
  <c r="L23" i="28"/>
  <c r="L19" i="28"/>
  <c r="L14" i="28"/>
  <c r="L15" i="28"/>
  <c r="L20" i="28"/>
  <c r="L17" i="28"/>
  <c r="L26" i="28"/>
  <c r="L16" i="28"/>
  <c r="L22" i="28"/>
  <c r="T14" i="28"/>
  <c r="R19" i="28"/>
  <c r="F24" i="28"/>
  <c r="P28" i="28"/>
  <c r="P14" i="28"/>
  <c r="T24" i="28"/>
  <c r="N25" i="28"/>
  <c r="R23" i="28"/>
  <c r="N20" i="28"/>
  <c r="R14" i="28"/>
  <c r="P24" i="28"/>
  <c r="P19" i="28"/>
  <c r="R24" i="28"/>
  <c r="T28" i="28"/>
  <c r="N24" i="28"/>
  <c r="R20" i="28"/>
  <c r="P20" i="28"/>
  <c r="R16" i="28"/>
  <c r="T23" i="28"/>
  <c r="T29" i="28"/>
  <c r="F25" i="28"/>
  <c r="T16" i="28"/>
  <c r="N19" i="28"/>
  <c r="F28" i="28"/>
  <c r="T25" i="28"/>
  <c r="R25" i="28"/>
  <c r="N23" i="28"/>
  <c r="R29" i="28"/>
  <c r="N14" i="28"/>
  <c r="N28" i="28"/>
  <c r="F29" i="28"/>
  <c r="H15" i="28"/>
  <c r="T15" i="28"/>
  <c r="N21" i="28"/>
  <c r="J22" i="28"/>
  <c r="T22" i="28"/>
  <c r="J27" i="28"/>
  <c r="F27" i="28"/>
  <c r="R30" i="28"/>
  <c r="N30" i="28"/>
  <c r="T18" i="28"/>
  <c r="J17" i="28"/>
  <c r="P17" i="28"/>
  <c r="D26" i="28"/>
  <c r="R26" i="28"/>
  <c r="T27" i="28"/>
  <c r="J20" i="28"/>
  <c r="D29" i="28"/>
  <c r="P29" i="28"/>
  <c r="P16" i="28"/>
  <c r="H14" i="28"/>
  <c r="H25" i="28"/>
  <c r="T19" i="28"/>
  <c r="T20" i="28"/>
  <c r="P21" i="28"/>
  <c r="N22" i="28"/>
  <c r="R27" i="28"/>
  <c r="H18" i="28"/>
  <c r="R17" i="28"/>
  <c r="H26" i="28"/>
  <c r="P27" i="28"/>
  <c r="J29" i="28"/>
  <c r="J14" i="28"/>
  <c r="D25" i="28"/>
  <c r="J15" i="28"/>
  <c r="H21" i="28"/>
  <c r="T21" i="28"/>
  <c r="H22" i="28"/>
  <c r="R22" i="28"/>
  <c r="D27" i="28"/>
  <c r="D30" i="28"/>
  <c r="P30" i="28"/>
  <c r="N15" i="28"/>
  <c r="R18" i="28"/>
  <c r="H17" i="28"/>
  <c r="T17" i="28"/>
  <c r="J26" i="28"/>
  <c r="F30" i="28"/>
  <c r="F26" i="28"/>
  <c r="T26" i="28"/>
  <c r="H20" i="28"/>
  <c r="N29" i="28"/>
  <c r="J19" i="28"/>
  <c r="H24" i="28"/>
  <c r="D28" i="28"/>
  <c r="R28" i="28"/>
  <c r="P25" i="28"/>
  <c r="R15" i="28"/>
  <c r="J21" i="28"/>
  <c r="R21" i="28"/>
  <c r="P22" i="28"/>
  <c r="N27" i="28"/>
  <c r="J30" i="28"/>
  <c r="T30" i="28"/>
  <c r="J18" i="28"/>
  <c r="P18" i="28"/>
  <c r="N17" i="28"/>
  <c r="P26" i="28"/>
  <c r="H16" i="28"/>
  <c r="J23" i="28"/>
  <c r="H29" i="28"/>
  <c r="H19" i="28"/>
  <c r="J24" i="28"/>
  <c r="J25" i="28"/>
  <c r="J28" i="28"/>
  <c r="P15" i="28"/>
  <c r="H27" i="28"/>
  <c r="H30" i="28"/>
  <c r="N18" i="28"/>
  <c r="N26" i="28"/>
  <c r="J16" i="28"/>
  <c r="H23" i="28"/>
  <c r="N16" i="28"/>
  <c r="P23" i="28"/>
  <c r="D24" i="28"/>
  <c r="H28" i="28"/>
  <c r="F16" i="28"/>
  <c r="F22" i="28"/>
  <c r="D17" i="28"/>
  <c r="D15" i="28"/>
  <c r="D19" i="28"/>
  <c r="F17" i="28"/>
  <c r="F15" i="28"/>
  <c r="D21" i="28"/>
  <c r="F21" i="28"/>
  <c r="D23" i="28"/>
  <c r="D16" i="28"/>
  <c r="F19" i="28"/>
  <c r="D22" i="28"/>
  <c r="F23" i="28"/>
  <c r="D18" i="28"/>
  <c r="F18" i="28"/>
  <c r="F14" i="28"/>
  <c r="D14" i="28"/>
  <c r="D20" i="28"/>
  <c r="F20" i="28"/>
  <c r="K9" i="28" l="1"/>
  <c r="M9" i="28"/>
  <c r="Q9" i="28"/>
  <c r="I9" i="28"/>
  <c r="S9" i="28"/>
  <c r="O9" i="28"/>
  <c r="G9" i="28"/>
  <c r="C9" i="28"/>
  <c r="E9" i="28"/>
  <c r="K18" i="18"/>
  <c r="K22" i="18"/>
  <c r="I17" i="18"/>
  <c r="K17" i="18"/>
  <c r="I22" i="18" l="1"/>
  <c r="I13" i="18"/>
  <c r="I16" i="18"/>
  <c r="I15" i="18"/>
  <c r="I21" i="18"/>
  <c r="I19" i="18"/>
  <c r="I14" i="18"/>
  <c r="B5" i="28" l="1"/>
  <c r="V49" i="28" s="1"/>
  <c r="L42" i="28" l="1"/>
  <c r="N48" i="28"/>
  <c r="L36" i="28"/>
  <c r="L37" i="28"/>
  <c r="L39" i="28"/>
  <c r="V39" i="28"/>
  <c r="V41" i="28"/>
  <c r="V43" i="28"/>
  <c r="V51" i="28"/>
  <c r="V45" i="28"/>
  <c r="V42" i="28"/>
  <c r="V46" i="28"/>
  <c r="V40" i="28"/>
  <c r="L51" i="28"/>
  <c r="V56" i="28"/>
  <c r="V52" i="28"/>
  <c r="V65" i="28"/>
  <c r="V73" i="28"/>
  <c r="V72" i="28"/>
  <c r="V58" i="28"/>
  <c r="V70" i="28"/>
  <c r="V54" i="28"/>
  <c r="V60" i="28"/>
  <c r="V53" i="28"/>
  <c r="V66" i="28"/>
  <c r="V68" i="28"/>
  <c r="V67" i="28"/>
  <c r="V75" i="28"/>
  <c r="V57" i="28"/>
  <c r="V74" i="28"/>
  <c r="V61" i="28"/>
  <c r="V63" i="28"/>
  <c r="V69" i="28"/>
  <c r="V62" i="28"/>
  <c r="V59" i="28"/>
  <c r="V71" i="28"/>
  <c r="V64" i="28"/>
  <c r="V55" i="28"/>
  <c r="V78" i="28"/>
  <c r="V76" i="28"/>
  <c r="V77" i="28"/>
  <c r="V48" i="28"/>
  <c r="V50" i="28"/>
  <c r="V47" i="28"/>
  <c r="V44" i="28"/>
  <c r="V38" i="28"/>
  <c r="N47" i="28"/>
  <c r="L50" i="28"/>
  <c r="L47" i="28"/>
  <c r="L38" i="28"/>
  <c r="J45" i="28"/>
  <c r="L78" i="28"/>
  <c r="L64" i="28"/>
  <c r="L76" i="28"/>
  <c r="L73" i="28"/>
  <c r="L75" i="28"/>
  <c r="L52" i="28"/>
  <c r="L74" i="28"/>
  <c r="L55" i="28"/>
  <c r="L77" i="28"/>
  <c r="L67" i="28"/>
  <c r="L72" i="28"/>
  <c r="L57" i="28"/>
  <c r="L58" i="28"/>
  <c r="L69" i="28"/>
  <c r="L59" i="28"/>
  <c r="L65" i="28"/>
  <c r="L60" i="28"/>
  <c r="L61" i="28"/>
  <c r="L53" i="28"/>
  <c r="L54" i="28"/>
  <c r="L56" i="28"/>
  <c r="L66" i="28"/>
  <c r="L63" i="28"/>
  <c r="L70" i="28"/>
  <c r="L68" i="28"/>
  <c r="L62" i="28"/>
  <c r="L71" i="28"/>
  <c r="L45" i="28"/>
  <c r="L48" i="28"/>
  <c r="L46" i="28"/>
  <c r="L49" i="28"/>
  <c r="L41" i="28"/>
  <c r="L43" i="28"/>
  <c r="L44" i="28"/>
  <c r="L40" i="28"/>
  <c r="P36" i="28"/>
  <c r="H51" i="28"/>
  <c r="T40" i="28"/>
  <c r="H44" i="28"/>
  <c r="R39" i="28"/>
  <c r="P51" i="28"/>
  <c r="T37" i="28"/>
  <c r="R42" i="28"/>
  <c r="R41" i="28"/>
  <c r="H46" i="28"/>
  <c r="R43" i="28"/>
  <c r="J43" i="28"/>
  <c r="T44" i="28"/>
  <c r="P50" i="28"/>
  <c r="P38" i="28"/>
  <c r="P49" i="28"/>
  <c r="J49" i="28"/>
  <c r="T46" i="28"/>
  <c r="N45" i="28"/>
  <c r="H39" i="28"/>
  <c r="T42" i="28"/>
  <c r="T39" i="28"/>
  <c r="J39" i="28"/>
  <c r="T48" i="28"/>
  <c r="T41" i="28"/>
  <c r="R40" i="28"/>
  <c r="J40" i="28"/>
  <c r="T51" i="28"/>
  <c r="T47" i="28"/>
  <c r="J47" i="28"/>
  <c r="R36" i="28"/>
  <c r="P37" i="28"/>
  <c r="T43" i="28"/>
  <c r="N44" i="28"/>
  <c r="J44" i="28"/>
  <c r="R50" i="28"/>
  <c r="R38" i="28"/>
  <c r="T49" i="28"/>
  <c r="N46" i="28"/>
  <c r="J46" i="28"/>
  <c r="T45" i="28"/>
  <c r="P39" i="28"/>
  <c r="P40" i="28"/>
  <c r="P47" i="28"/>
  <c r="J36" i="28"/>
  <c r="N37" i="28"/>
  <c r="N43" i="28"/>
  <c r="P44" i="28"/>
  <c r="T50" i="28"/>
  <c r="J50" i="28"/>
  <c r="N38" i="28"/>
  <c r="N49" i="28"/>
  <c r="P46" i="28"/>
  <c r="P45" i="28"/>
  <c r="P73" i="28"/>
  <c r="N63" i="28"/>
  <c r="T78" i="28"/>
  <c r="T63" i="28"/>
  <c r="R53" i="28"/>
  <c r="R73" i="28"/>
  <c r="P75" i="28"/>
  <c r="R78" i="28"/>
  <c r="N59" i="28"/>
  <c r="N71" i="28"/>
  <c r="T66" i="28"/>
  <c r="P57" i="28"/>
  <c r="T53" i="28"/>
  <c r="P71" i="28"/>
  <c r="T77" i="28"/>
  <c r="T57" i="28"/>
  <c r="N60" i="28"/>
  <c r="T71" i="28"/>
  <c r="R54" i="28"/>
  <c r="R68" i="28"/>
  <c r="R55" i="28"/>
  <c r="N66" i="28"/>
  <c r="P74" i="28"/>
  <c r="N58" i="28"/>
  <c r="P69" i="28"/>
  <c r="N53" i="28"/>
  <c r="T54" i="28"/>
  <c r="P68" i="28"/>
  <c r="P53" i="28"/>
  <c r="P78" i="28"/>
  <c r="P55" i="28"/>
  <c r="P67" i="28"/>
  <c r="R65" i="28"/>
  <c r="N75" i="28"/>
  <c r="R63" i="28"/>
  <c r="T59" i="28"/>
  <c r="T61" i="28"/>
  <c r="N77" i="28"/>
  <c r="N57" i="28"/>
  <c r="H52" i="28"/>
  <c r="T56" i="28"/>
  <c r="J62" i="28"/>
  <c r="J64" i="28"/>
  <c r="R64" i="28"/>
  <c r="N70" i="28"/>
  <c r="N72" i="28"/>
  <c r="J76" i="28"/>
  <c r="R76" i="28"/>
  <c r="R60" i="28"/>
  <c r="J58" i="28"/>
  <c r="J54" i="28"/>
  <c r="J65" i="28"/>
  <c r="J69" i="28"/>
  <c r="R69" i="28"/>
  <c r="T67" i="28"/>
  <c r="N74" i="28"/>
  <c r="R52" i="28"/>
  <c r="J59" i="28"/>
  <c r="H61" i="28"/>
  <c r="H68" i="28"/>
  <c r="J77" i="28"/>
  <c r="T68" i="28"/>
  <c r="J57" i="28"/>
  <c r="H63" i="28"/>
  <c r="J73" i="28"/>
  <c r="H78" i="28"/>
  <c r="R57" i="28"/>
  <c r="P66" i="28"/>
  <c r="R66" i="28"/>
  <c r="R71" i="28"/>
  <c r="T62" i="28"/>
  <c r="R72" i="28"/>
  <c r="H54" i="28"/>
  <c r="T65" i="28"/>
  <c r="H55" i="28"/>
  <c r="R75" i="28"/>
  <c r="N78" i="28"/>
  <c r="N52" i="28"/>
  <c r="N56" i="28"/>
  <c r="N62" i="28"/>
  <c r="H64" i="28"/>
  <c r="H70" i="28"/>
  <c r="H72" i="28"/>
  <c r="T72" i="28"/>
  <c r="P76" i="28"/>
  <c r="P56" i="28"/>
  <c r="P60" i="28"/>
  <c r="T58" i="28"/>
  <c r="P54" i="28"/>
  <c r="N65" i="28"/>
  <c r="H69" i="28"/>
  <c r="J67" i="28"/>
  <c r="R67" i="28"/>
  <c r="R74" i="28"/>
  <c r="H59" i="28"/>
  <c r="J61" i="28"/>
  <c r="J68" i="28"/>
  <c r="H77" i="28"/>
  <c r="N55" i="28"/>
  <c r="R61" i="28"/>
  <c r="H57" i="28"/>
  <c r="J63" i="28"/>
  <c r="H73" i="28"/>
  <c r="J78" i="28"/>
  <c r="R77" i="28"/>
  <c r="N73" i="28"/>
  <c r="P63" i="28"/>
  <c r="P52" i="28"/>
  <c r="H56" i="28"/>
  <c r="R56" i="28"/>
  <c r="R62" i="28"/>
  <c r="T64" i="28"/>
  <c r="J70" i="28"/>
  <c r="J72" i="28"/>
  <c r="P72" i="28"/>
  <c r="N76" i="28"/>
  <c r="T70" i="28"/>
  <c r="J60" i="28"/>
  <c r="T60" i="28"/>
  <c r="R58" i="28"/>
  <c r="N54" i="28"/>
  <c r="P65" i="28"/>
  <c r="T69" i="28"/>
  <c r="H67" i="28"/>
  <c r="J74" i="28"/>
  <c r="T74" i="28"/>
  <c r="R70" i="28"/>
  <c r="P62" i="28"/>
  <c r="J55" i="28"/>
  <c r="H66" i="28"/>
  <c r="H75" i="28"/>
  <c r="P59" i="28"/>
  <c r="T75" i="28"/>
  <c r="R59" i="28"/>
  <c r="J53" i="28"/>
  <c r="J71" i="28"/>
  <c r="D78" i="28"/>
  <c r="N68" i="28"/>
  <c r="T55" i="28"/>
  <c r="F78" i="28"/>
  <c r="J52" i="28"/>
  <c r="T52" i="28"/>
  <c r="J56" i="28"/>
  <c r="H62" i="28"/>
  <c r="N64" i="28"/>
  <c r="P70" i="28"/>
  <c r="H76" i="28"/>
  <c r="P64" i="28"/>
  <c r="T76" i="28"/>
  <c r="H60" i="28"/>
  <c r="H58" i="28"/>
  <c r="H65" i="28"/>
  <c r="N69" i="28"/>
  <c r="N67" i="28"/>
  <c r="H74" i="28"/>
  <c r="P58" i="28"/>
  <c r="J66" i="28"/>
  <c r="J75" i="28"/>
  <c r="P77" i="28"/>
  <c r="H53" i="28"/>
  <c r="H71" i="28"/>
  <c r="P61" i="28"/>
  <c r="T73" i="28"/>
  <c r="N61" i="28"/>
  <c r="H48" i="28"/>
  <c r="H41" i="28"/>
  <c r="H40" i="28"/>
  <c r="H38" i="28"/>
  <c r="H50" i="28"/>
  <c r="H36" i="28"/>
  <c r="H42" i="28"/>
  <c r="H49" i="28"/>
  <c r="N42" i="28"/>
  <c r="P48" i="28"/>
  <c r="J48" i="28"/>
  <c r="P41" i="28"/>
  <c r="R51" i="28"/>
  <c r="J51" i="28"/>
  <c r="T36" i="28"/>
  <c r="P42" i="28"/>
  <c r="J42" i="28"/>
  <c r="N39" i="28"/>
  <c r="R48" i="28"/>
  <c r="N41" i="28"/>
  <c r="J41" i="28"/>
  <c r="N40" i="28"/>
  <c r="N51" i="28"/>
  <c r="H43" i="28"/>
  <c r="R47" i="28"/>
  <c r="N36" i="28"/>
  <c r="R37" i="28"/>
  <c r="J37" i="28"/>
  <c r="P43" i="28"/>
  <c r="R44" i="28"/>
  <c r="N50" i="28"/>
  <c r="T38" i="28"/>
  <c r="J38" i="28"/>
  <c r="R49" i="28"/>
  <c r="R46" i="28"/>
  <c r="R45" i="28"/>
  <c r="H47" i="28"/>
  <c r="D77" i="28"/>
  <c r="F77" i="28"/>
  <c r="F76" i="28"/>
  <c r="D76" i="28"/>
  <c r="F85" i="28"/>
  <c r="F75" i="28"/>
  <c r="D75" i="28"/>
  <c r="D85" i="28"/>
  <c r="F74" i="28"/>
  <c r="D74" i="28"/>
  <c r="D72" i="28"/>
  <c r="F72" i="28"/>
  <c r="F73" i="28"/>
  <c r="D73" i="28"/>
  <c r="D67" i="28"/>
  <c r="F67" i="28"/>
  <c r="D68" i="28"/>
  <c r="F68" i="28"/>
  <c r="F69" i="28"/>
  <c r="D69" i="28"/>
  <c r="F70" i="28"/>
  <c r="D70" i="28"/>
  <c r="F71" i="28"/>
  <c r="D71" i="28"/>
  <c r="D66" i="28"/>
  <c r="F66" i="28"/>
  <c r="F65" i="28"/>
  <c r="D65" i="28"/>
  <c r="D64" i="28"/>
  <c r="F64" i="28"/>
  <c r="D63" i="28"/>
  <c r="F63" i="28"/>
  <c r="F62" i="28"/>
  <c r="D62" i="28"/>
  <c r="D61" i="28"/>
  <c r="F61" i="28"/>
  <c r="F60" i="28"/>
  <c r="D60" i="28"/>
  <c r="D59" i="28"/>
  <c r="F59" i="28"/>
  <c r="D58" i="28"/>
  <c r="F58" i="28"/>
  <c r="F57" i="28"/>
  <c r="D57" i="28"/>
  <c r="F56" i="28"/>
  <c r="D56" i="28"/>
  <c r="D55" i="28"/>
  <c r="F55" i="28"/>
  <c r="F54" i="28"/>
  <c r="D54" i="28"/>
  <c r="D53" i="28"/>
  <c r="F53" i="28"/>
  <c r="D52" i="28"/>
  <c r="F52" i="28"/>
  <c r="D47" i="28"/>
  <c r="F50" i="28"/>
  <c r="D50" i="28"/>
  <c r="D46" i="28"/>
  <c r="D51" i="28"/>
  <c r="D48" i="28"/>
  <c r="D49" i="28"/>
  <c r="F46" i="28"/>
  <c r="F47" i="28"/>
  <c r="F45" i="28"/>
  <c r="F42" i="28"/>
  <c r="D43" i="28"/>
  <c r="F41" i="28"/>
  <c r="D42" i="28"/>
  <c r="F39" i="28"/>
  <c r="D39" i="28"/>
  <c r="D41" i="28"/>
  <c r="D40" i="28"/>
  <c r="D38" i="28"/>
  <c r="F38" i="28"/>
  <c r="D37" i="28"/>
  <c r="F37" i="28"/>
  <c r="F36" i="28"/>
  <c r="D44" i="28"/>
  <c r="F44" i="28"/>
  <c r="H37" i="28"/>
  <c r="F51" i="28"/>
  <c r="H45" i="28"/>
  <c r="F43" i="28"/>
  <c r="D36" i="28"/>
  <c r="D45" i="28"/>
  <c r="F40" i="28"/>
  <c r="F48" i="28"/>
  <c r="F49" i="28"/>
  <c r="S10" i="28" l="1"/>
  <c r="J21" i="18" s="1"/>
  <c r="Q10" i="28"/>
  <c r="M10" i="28"/>
  <c r="E10" i="28"/>
  <c r="E11" i="28" s="1"/>
  <c r="I10" i="28"/>
  <c r="C10" i="28"/>
  <c r="G10" i="28"/>
  <c r="U10" i="28"/>
  <c r="O10" i="28"/>
  <c r="K10" i="28"/>
  <c r="S11" i="28" l="1"/>
  <c r="J18" i="18"/>
  <c r="M11" i="28"/>
  <c r="I18" i="18" s="1"/>
  <c r="J20" i="18"/>
  <c r="Q11" i="28"/>
  <c r="I20" i="18" s="1"/>
  <c r="J14" i="18"/>
  <c r="G11" i="28"/>
  <c r="J15" i="18"/>
  <c r="K11" i="28"/>
  <c r="J17" i="18"/>
  <c r="L17" i="18" s="1"/>
  <c r="O11" i="28"/>
  <c r="J19" i="18"/>
  <c r="C11" i="28"/>
  <c r="J13" i="18"/>
  <c r="U11" i="28"/>
  <c r="J22" i="18"/>
  <c r="L22" i="18" s="1"/>
  <c r="I11" i="28"/>
  <c r="J16" i="18"/>
  <c r="L18" i="18" l="1"/>
  <c r="CR25" i="30"/>
  <c r="CR24" i="30" l="1"/>
  <c r="CR26" i="30" s="1"/>
  <c r="CG82" i="29"/>
  <c r="CP27" i="30"/>
  <c r="CH82" i="29" l="1"/>
  <c r="CH85" i="29" s="1"/>
  <c r="CJ82" i="29"/>
  <c r="CK82" i="29" s="1"/>
  <c r="CK85" i="29" s="1"/>
  <c r="K13" i="18"/>
  <c r="L13" i="18" s="1"/>
  <c r="K20" i="18"/>
  <c r="L20" i="18" s="1"/>
  <c r="K15" i="18"/>
  <c r="L15" i="18" s="1"/>
  <c r="K21" i="18"/>
  <c r="L21" i="18" s="1"/>
  <c r="K16" i="18"/>
  <c r="L16" i="18" s="1"/>
  <c r="K14" i="18"/>
  <c r="L14" i="18" s="1"/>
  <c r="K19" i="18"/>
  <c r="L19" i="18" s="1"/>
  <c r="K7" i="18"/>
  <c r="CH89" i="29" l="1"/>
  <c r="CH90" i="29"/>
  <c r="Q22" i="18"/>
  <c r="Q13" i="18"/>
  <c r="Q18" i="18"/>
  <c r="Q17" i="18"/>
  <c r="Q16" i="18"/>
  <c r="Q19" i="18"/>
  <c r="Q15" i="18"/>
  <c r="Q14" i="18"/>
  <c r="Q21" i="18"/>
  <c r="Q20" i="18"/>
  <c r="R13" i="18" l="1"/>
  <c r="R19" i="18"/>
  <c r="R20" i="18"/>
  <c r="R14" i="18"/>
  <c r="R17" i="18"/>
  <c r="R21" i="18"/>
  <c r="R15" i="18"/>
  <c r="R16" i="18"/>
  <c r="R18" i="18"/>
  <c r="R22" i="18"/>
  <c r="S16" i="18" l="1"/>
  <c r="S22" i="18"/>
  <c r="S20" i="18"/>
  <c r="S17" i="18"/>
  <c r="S19" i="18"/>
  <c r="S13" i="18"/>
  <c r="S15" i="18"/>
  <c r="S14" i="18"/>
  <c r="S21" i="18"/>
  <c r="S18" i="18"/>
  <c r="T18" i="18" l="1"/>
  <c r="T15" i="18"/>
  <c r="T13" i="18"/>
  <c r="T21" i="18"/>
  <c r="T19" i="18"/>
  <c r="T20" i="18"/>
  <c r="T17" i="18"/>
  <c r="T14" i="18"/>
  <c r="T22" i="18"/>
  <c r="T16" i="18"/>
  <c r="U22" i="18" l="1"/>
  <c r="U16" i="18"/>
  <c r="U20" i="18"/>
  <c r="U15" i="18"/>
  <c r="U19" i="18"/>
  <c r="U14" i="18"/>
  <c r="U17" i="18"/>
  <c r="U13" i="18"/>
  <c r="U18" i="18"/>
  <c r="U21" i="18"/>
  <c r="V14" i="18" l="1"/>
  <c r="V21" i="18"/>
  <c r="V22" i="18"/>
  <c r="V18" i="18"/>
  <c r="V13" i="18"/>
  <c r="V15" i="18"/>
  <c r="V19" i="18"/>
  <c r="V20" i="18"/>
  <c r="V17" i="18"/>
  <c r="V16" i="18"/>
  <c r="W13" i="18" l="1"/>
  <c r="W19" i="18"/>
  <c r="W15" i="18"/>
  <c r="W18" i="18"/>
  <c r="W17" i="18"/>
  <c r="W22" i="18"/>
  <c r="W16" i="18"/>
  <c r="W20" i="18"/>
  <c r="W21" i="18"/>
  <c r="W14" i="18"/>
  <c r="X17" i="18" l="1"/>
  <c r="X20" i="18"/>
  <c r="X13" i="18"/>
  <c r="X16" i="18"/>
  <c r="X19" i="18"/>
  <c r="X14" i="18"/>
  <c r="X18" i="18"/>
  <c r="X21" i="18"/>
  <c r="X22" i="18"/>
  <c r="X15" i="18"/>
  <c r="Y21" i="18" l="1"/>
  <c r="Y16" i="18"/>
  <c r="Y14" i="18"/>
  <c r="Y18" i="18"/>
  <c r="Y17" i="18"/>
  <c r="Y13" i="18"/>
  <c r="Y15" i="18"/>
  <c r="Y22" i="18"/>
  <c r="Y19" i="18"/>
  <c r="Y20" i="18"/>
  <c r="Z20" i="18" l="1"/>
  <c r="Z21" i="18"/>
  <c r="Z18" i="18"/>
  <c r="Z16" i="18"/>
  <c r="Z19" i="18"/>
  <c r="Z15" i="18"/>
  <c r="Z13" i="18"/>
  <c r="Z14" i="18"/>
  <c r="Z22" i="18"/>
  <c r="Z17" i="18"/>
  <c r="AA18" i="18" l="1"/>
  <c r="AA22" i="18"/>
  <c r="AA13" i="18"/>
  <c r="AA15" i="18"/>
  <c r="AA19" i="18"/>
  <c r="AA20" i="18"/>
  <c r="AA17" i="18"/>
  <c r="AA14" i="18"/>
  <c r="AA16" i="18"/>
  <c r="AA21" i="18"/>
  <c r="AB16" i="18" l="1"/>
  <c r="AB14" i="18"/>
  <c r="AB15" i="18"/>
  <c r="AB22" i="18"/>
  <c r="AB21" i="18"/>
  <c r="AB17" i="18"/>
  <c r="AB18" i="18"/>
  <c r="AB20" i="18"/>
  <c r="AB19" i="18"/>
  <c r="AB13" i="18"/>
  <c r="AC19" i="18" l="1"/>
  <c r="AC22" i="18"/>
  <c r="AC16" i="18"/>
  <c r="AC21" i="18"/>
  <c r="AC13" i="18"/>
  <c r="AC15" i="18"/>
  <c r="AC20" i="18"/>
  <c r="AC18" i="18"/>
  <c r="AC17" i="18"/>
  <c r="AC14" i="18"/>
  <c r="M22" i="18" l="1"/>
  <c r="AD14" i="18"/>
  <c r="AD16" i="18"/>
  <c r="AD18" i="18"/>
  <c r="AD15" i="18"/>
  <c r="AD13" i="18"/>
  <c r="M18" i="18" s="1"/>
  <c r="AD22" i="18"/>
  <c r="AD20" i="18"/>
  <c r="AD21" i="18"/>
  <c r="AD17" i="18"/>
  <c r="AD19" i="18"/>
  <c r="M17" i="18" l="1"/>
  <c r="M14" i="18"/>
  <c r="M19" i="18"/>
  <c r="M16" i="18"/>
  <c r="M21" i="18"/>
  <c r="M20" i="18"/>
  <c r="M15" i="18"/>
  <c r="M13" i="18"/>
</calcChain>
</file>

<file path=xl/comments1.xml><?xml version="1.0" encoding="utf-8"?>
<comments xmlns="http://schemas.openxmlformats.org/spreadsheetml/2006/main">
  <authors>
    <author>ssttoo3</author>
  </authors>
  <commentList>
    <comment ref="C8" authorId="0" shapeId="0">
      <text>
        <r>
          <rPr>
            <b/>
            <sz val="9"/>
            <color indexed="81"/>
            <rFont val="Tahoma"/>
            <family val="2"/>
          </rPr>
          <t>Fecha en la que se presupuesto.</t>
        </r>
      </text>
    </comment>
    <comment ref="M8" authorId="0" shapeId="0">
      <text>
        <r>
          <rPr>
            <b/>
            <sz val="9"/>
            <color indexed="81"/>
            <rFont val="Tahoma"/>
            <family val="2"/>
          </rPr>
          <t>Fecha en la que se presupuesto.</t>
        </r>
      </text>
    </comment>
    <comment ref="W8" authorId="0" shapeId="0">
      <text>
        <r>
          <rPr>
            <b/>
            <sz val="9"/>
            <color indexed="81"/>
            <rFont val="Tahoma"/>
            <family val="2"/>
          </rPr>
          <t>Fecha en la que se presupuesto.</t>
        </r>
      </text>
    </comment>
    <comment ref="AG8" authorId="0" shapeId="0">
      <text>
        <r>
          <rPr>
            <b/>
            <sz val="9"/>
            <color indexed="81"/>
            <rFont val="Tahoma"/>
            <family val="2"/>
          </rPr>
          <t>Fecha en la que se presupuesto.</t>
        </r>
      </text>
    </comment>
    <comment ref="AQ8" authorId="0" shapeId="0">
      <text>
        <r>
          <rPr>
            <b/>
            <sz val="9"/>
            <color indexed="81"/>
            <rFont val="Tahoma"/>
            <family val="2"/>
          </rPr>
          <t>Fecha en la que se presupuesto.</t>
        </r>
      </text>
    </comment>
    <comment ref="BA8" authorId="0" shapeId="0">
      <text>
        <r>
          <rPr>
            <b/>
            <sz val="9"/>
            <color indexed="81"/>
            <rFont val="Tahoma"/>
            <family val="2"/>
          </rPr>
          <t>Fecha en la que se presupuesto.</t>
        </r>
      </text>
    </comment>
    <comment ref="BK8" authorId="0" shapeId="0">
      <text>
        <r>
          <rPr>
            <b/>
            <sz val="9"/>
            <color indexed="81"/>
            <rFont val="Tahoma"/>
            <family val="2"/>
          </rPr>
          <t>Fecha en la que se presupuesto.</t>
        </r>
      </text>
    </comment>
    <comment ref="BU8" authorId="0" shapeId="0">
      <text>
        <r>
          <rPr>
            <b/>
            <sz val="9"/>
            <color indexed="81"/>
            <rFont val="Tahoma"/>
            <family val="2"/>
          </rPr>
          <t>Fecha en la que se presupuesto.</t>
        </r>
      </text>
    </comment>
    <comment ref="CE8" authorId="0" shapeId="0">
      <text>
        <r>
          <rPr>
            <b/>
            <sz val="9"/>
            <color indexed="81"/>
            <rFont val="Tahoma"/>
            <family val="2"/>
          </rPr>
          <t>Fecha en la que se presupuesto.</t>
        </r>
      </text>
    </comment>
    <comment ref="CO8" authorId="0" shapeId="0">
      <text>
        <r>
          <rPr>
            <b/>
            <sz val="9"/>
            <color indexed="81"/>
            <rFont val="Tahoma"/>
            <family val="2"/>
          </rPr>
          <t>Fecha en la que se presupuesto.</t>
        </r>
      </text>
    </comment>
  </commentList>
</comments>
</file>

<file path=xl/comments2.xml><?xml version="1.0" encoding="utf-8"?>
<comments xmlns="http://schemas.openxmlformats.org/spreadsheetml/2006/main">
  <authors>
    <author>ssttoo3</author>
  </authors>
  <commentList>
    <comment ref="H23" authorId="0" shapeId="0">
      <text>
        <r>
          <rPr>
            <sz val="9"/>
            <color indexed="81"/>
            <rFont val="Swis721 LtCn BT"/>
            <family val="2"/>
          </rPr>
          <t>Ingresar valor total de los costos directos.</t>
        </r>
        <r>
          <rPr>
            <sz val="9"/>
            <color indexed="81"/>
            <rFont val="Tahoma"/>
            <family val="2"/>
          </rPr>
          <t xml:space="preserve">
</t>
        </r>
      </text>
    </comment>
    <comment ref="S23" authorId="0" shapeId="0">
      <text>
        <r>
          <rPr>
            <sz val="9"/>
            <color indexed="81"/>
            <rFont val="Swis721 LtCn BT"/>
            <family val="2"/>
          </rPr>
          <t>Ingresar valor total de los costos directos.</t>
        </r>
        <r>
          <rPr>
            <sz val="9"/>
            <color indexed="81"/>
            <rFont val="Tahoma"/>
            <family val="2"/>
          </rPr>
          <t xml:space="preserve">
</t>
        </r>
      </text>
    </comment>
    <comment ref="AD23" authorId="0" shapeId="0">
      <text>
        <r>
          <rPr>
            <sz val="9"/>
            <color indexed="81"/>
            <rFont val="Swis721 LtCn BT"/>
            <family val="2"/>
          </rPr>
          <t>Ingresar valor total de los costos directos.</t>
        </r>
        <r>
          <rPr>
            <sz val="9"/>
            <color indexed="81"/>
            <rFont val="Tahoma"/>
            <family val="2"/>
          </rPr>
          <t xml:space="preserve">
</t>
        </r>
      </text>
    </comment>
    <comment ref="AO23" authorId="0" shapeId="0">
      <text>
        <r>
          <rPr>
            <sz val="9"/>
            <color indexed="81"/>
            <rFont val="Swis721 LtCn BT"/>
            <family val="2"/>
          </rPr>
          <t>Ingresar valor total de los costos directos.</t>
        </r>
        <r>
          <rPr>
            <sz val="9"/>
            <color indexed="81"/>
            <rFont val="Tahoma"/>
            <family val="2"/>
          </rPr>
          <t xml:space="preserve">
</t>
        </r>
      </text>
    </comment>
    <comment ref="AZ23" authorId="0" shapeId="0">
      <text>
        <r>
          <rPr>
            <sz val="9"/>
            <color indexed="81"/>
            <rFont val="Swis721 LtCn BT"/>
            <family val="2"/>
          </rPr>
          <t>Ingresar valor total de los costos directos.</t>
        </r>
        <r>
          <rPr>
            <sz val="9"/>
            <color indexed="81"/>
            <rFont val="Tahoma"/>
            <family val="2"/>
          </rPr>
          <t xml:space="preserve">
</t>
        </r>
      </text>
    </comment>
    <comment ref="BK23" authorId="0" shapeId="0">
      <text>
        <r>
          <rPr>
            <sz val="9"/>
            <color indexed="81"/>
            <rFont val="Swis721 LtCn BT"/>
            <family val="2"/>
          </rPr>
          <t>Ingresar valor total de los costos directos.</t>
        </r>
        <r>
          <rPr>
            <sz val="9"/>
            <color indexed="81"/>
            <rFont val="Tahoma"/>
            <family val="2"/>
          </rPr>
          <t xml:space="preserve">
</t>
        </r>
      </text>
    </comment>
    <comment ref="BV23" authorId="0" shapeId="0">
      <text>
        <r>
          <rPr>
            <sz val="9"/>
            <color indexed="81"/>
            <rFont val="Swis721 LtCn BT"/>
            <family val="2"/>
          </rPr>
          <t>Ingresar valor total de los costos directos.</t>
        </r>
        <r>
          <rPr>
            <sz val="9"/>
            <color indexed="81"/>
            <rFont val="Tahoma"/>
            <family val="2"/>
          </rPr>
          <t xml:space="preserve">
</t>
        </r>
      </text>
    </comment>
    <comment ref="CG23" authorId="0" shapeId="0">
      <text>
        <r>
          <rPr>
            <sz val="9"/>
            <color indexed="81"/>
            <rFont val="Swis721 LtCn BT"/>
            <family val="2"/>
          </rPr>
          <t>Ingresar valor total de los costos directos.</t>
        </r>
        <r>
          <rPr>
            <sz val="9"/>
            <color indexed="81"/>
            <rFont val="Tahoma"/>
            <family val="2"/>
          </rPr>
          <t xml:space="preserve">
</t>
        </r>
      </text>
    </comment>
    <comment ref="CR23" authorId="0" shapeId="0">
      <text>
        <r>
          <rPr>
            <sz val="9"/>
            <color indexed="81"/>
            <rFont val="Swis721 LtCn BT"/>
            <family val="2"/>
          </rPr>
          <t>Ingresar valor total de los costos directos.</t>
        </r>
        <r>
          <rPr>
            <sz val="9"/>
            <color indexed="81"/>
            <rFont val="Tahoma"/>
            <family val="2"/>
          </rPr>
          <t xml:space="preserve">
</t>
        </r>
      </text>
    </comment>
    <comment ref="DC23" authorId="0" shapeId="0">
      <text>
        <r>
          <rPr>
            <sz val="9"/>
            <color indexed="81"/>
            <rFont val="Swis721 LtCn BT"/>
            <family val="2"/>
          </rPr>
          <t>Ingresar valor total de los costos directos.</t>
        </r>
        <r>
          <rPr>
            <sz val="9"/>
            <color indexed="81"/>
            <rFont val="Tahoma"/>
            <family val="2"/>
          </rPr>
          <t xml:space="preserve">
</t>
        </r>
      </text>
    </comment>
  </commentList>
</comments>
</file>

<file path=xl/sharedStrings.xml><?xml version="1.0" encoding="utf-8"?>
<sst xmlns="http://schemas.openxmlformats.org/spreadsheetml/2006/main" count="3368" uniqueCount="654">
  <si>
    <t>EN PESOS</t>
  </si>
  <si>
    <t>EN SMMLV</t>
  </si>
  <si>
    <t>TOTAL</t>
  </si>
  <si>
    <t>OFERENTE</t>
  </si>
  <si>
    <t>2</t>
  </si>
  <si>
    <t>3</t>
  </si>
  <si>
    <t>4</t>
  </si>
  <si>
    <t>UNIVERSIDAD DE ANTIOQUIA</t>
  </si>
  <si>
    <t>5</t>
  </si>
  <si>
    <t>ACTIVO CORRIENTE</t>
  </si>
  <si>
    <t>PASIVO CORRIENTE</t>
  </si>
  <si>
    <t>INDICADOR 1</t>
  </si>
  <si>
    <t>INDICADOR 2</t>
  </si>
  <si>
    <t>PASIVO TOTAL</t>
  </si>
  <si>
    <t>ACTIVO TOTAL</t>
  </si>
  <si>
    <t>LIQUIDEZ</t>
  </si>
  <si>
    <t>INDICADOR 3</t>
  </si>
  <si>
    <t>PROPONENTE</t>
  </si>
  <si>
    <t>Numeral</t>
  </si>
  <si>
    <t>OBSERVACIONES</t>
  </si>
  <si>
    <t xml:space="preserve">No tener antecedentes judiciales en la Policía Nacional de Colombia. </t>
  </si>
  <si>
    <t>Item</t>
  </si>
  <si>
    <t>N° DEL CONSECUTIVO DEL REPORTE DEL CONTRATO EJECUTADO EN EL RUP (1)</t>
  </si>
  <si>
    <t>N° de Folio en el RUP (2)</t>
  </si>
  <si>
    <t>CONTRATO (3)</t>
  </si>
  <si>
    <t>CONTRATANTE (4)</t>
  </si>
  <si>
    <t>EN SMMLV (5)</t>
  </si>
  <si>
    <t>FORMA DE
EJECUCIÓN (6)</t>
  </si>
  <si>
    <t>% de Participación (7)</t>
  </si>
  <si>
    <t>TOTAL EXPERIENCIA ESPECÍFICA EN SMMLV</t>
  </si>
  <si>
    <t>6</t>
  </si>
  <si>
    <t>LISTADO DE OFERENTES</t>
  </si>
  <si>
    <t>INDICE SUMATORIA CONTRATOS/PRESUPUESTO OFICIAL</t>
  </si>
  <si>
    <t>NRO</t>
  </si>
  <si>
    <t>Presupuesto Total</t>
  </si>
  <si>
    <t>TRM día siguiente</t>
  </si>
  <si>
    <t>ORDEN</t>
  </si>
  <si>
    <t>Nro</t>
  </si>
  <si>
    <t>VALOR TOTAL</t>
  </si>
  <si>
    <t>NOMBRE OFERENTE</t>
  </si>
  <si>
    <t>PROPONENTES</t>
  </si>
  <si>
    <t>PRESUPUESTO OFICIAL</t>
  </si>
  <si>
    <t>EXPERIENCIA GENERAL</t>
  </si>
  <si>
    <t>OBSERVACIONES CON RESPECTO A PROPUESTA ECONÓMICA</t>
  </si>
  <si>
    <t>N°</t>
  </si>
  <si>
    <t>RADICADO</t>
  </si>
  <si>
    <t>HORA DE RECIBIDO</t>
  </si>
  <si>
    <t>NIT/CC</t>
  </si>
  <si>
    <t>REPRESENTANTE LEGAL</t>
  </si>
  <si>
    <t>NUMERO DE FOLIOS DE LA PROPUESTA</t>
  </si>
  <si>
    <t>COSTO TOTAL CON IVA</t>
  </si>
  <si>
    <t>Compañía aseguradora</t>
  </si>
  <si>
    <t>Número de póliza</t>
  </si>
  <si>
    <t>Valor asegurado</t>
  </si>
  <si>
    <t>ENDEUDAMIENTO</t>
  </si>
  <si>
    <t>NIT O CÉDULA</t>
  </si>
  <si>
    <t>Precio Unitario</t>
  </si>
  <si>
    <t>Valor Total</t>
  </si>
  <si>
    <t>3.1</t>
  </si>
  <si>
    <t>4.2</t>
  </si>
  <si>
    <t>3.1.1</t>
  </si>
  <si>
    <t>4.0</t>
  </si>
  <si>
    <t xml:space="preserve">POLIZAS </t>
  </si>
  <si>
    <t>UTILIDAD. [U]</t>
  </si>
  <si>
    <t>EVALUACIÓN EXPERIENCIA - INDICADORES FINANCIEROS</t>
  </si>
  <si>
    <t>APERTURA DE SOBRES</t>
  </si>
  <si>
    <t>EVALUACIÓN ECONÓMICA - DEFINICIÓN DE MÉTODO DE EVALUACIÓN Y CÁLCULO DE Pt1</t>
  </si>
  <si>
    <t>Fecha</t>
  </si>
  <si>
    <r>
      <t>PUNTAJE (Pt</t>
    </r>
    <r>
      <rPr>
        <b/>
        <vertAlign val="subscript"/>
        <sz val="12"/>
        <rFont val="Calibri"/>
        <family val="2"/>
        <scheme val="minor"/>
      </rPr>
      <t>1</t>
    </r>
    <r>
      <rPr>
        <b/>
        <sz val="12"/>
        <rFont val="Calibri"/>
        <family val="2"/>
        <scheme val="minor"/>
      </rPr>
      <t>)</t>
    </r>
  </si>
  <si>
    <t>MÉTODO DE EVALUACIÓN DE ACUERDO A TRM</t>
  </si>
  <si>
    <t>CAPITAL DE TRABAJO</t>
  </si>
  <si>
    <t>GASTOS FIJOS OFICINA</t>
  </si>
  <si>
    <t>Auxiliar contable</t>
  </si>
  <si>
    <t>Valor de la prima</t>
  </si>
  <si>
    <t>VALOR/MES/BASE</t>
  </si>
  <si>
    <t>FACTOR PRESTACIONAL</t>
  </si>
  <si>
    <t>CANTIDAD</t>
  </si>
  <si>
    <t>Garantía de seriedad de la oferta</t>
  </si>
  <si>
    <t xml:space="preserve">Número de póliza </t>
  </si>
  <si>
    <t>PUNTAJE TOTAL</t>
  </si>
  <si>
    <r>
      <t>PUNTAJE (Pt</t>
    </r>
    <r>
      <rPr>
        <b/>
        <vertAlign val="subscript"/>
        <sz val="12"/>
        <rFont val="Calibri"/>
        <family val="2"/>
        <scheme val="minor"/>
      </rPr>
      <t>3</t>
    </r>
    <r>
      <rPr>
        <b/>
        <sz val="12"/>
        <rFont val="Calibri"/>
        <family val="2"/>
        <scheme val="minor"/>
      </rPr>
      <t>)</t>
    </r>
  </si>
  <si>
    <t>Número total de ítems</t>
  </si>
  <si>
    <t>Proponente</t>
  </si>
  <si>
    <t>*H=Habilitado  NH=No habilitado</t>
  </si>
  <si>
    <t>ESTADO*</t>
  </si>
  <si>
    <r>
      <rPr>
        <b/>
        <sz val="10"/>
        <rFont val="Arial"/>
        <family val="2"/>
      </rPr>
      <t>OBSERVACIÓN:</t>
    </r>
    <r>
      <rPr>
        <sz val="10"/>
        <rFont val="Arial"/>
        <family val="2"/>
      </rPr>
      <t xml:space="preserve">
</t>
    </r>
  </si>
  <si>
    <t>m2</t>
  </si>
  <si>
    <t>SUBTOTAL GASTOS ADMINISTRATIVOS</t>
  </si>
  <si>
    <t>VALOR TOTAL COSTOS DIRECTOS DE LA OBRA</t>
  </si>
  <si>
    <t>(A)</t>
  </si>
  <si>
    <t>(U)</t>
  </si>
  <si>
    <t>CLASIFICACIÓN DEL OBJETO DEL CONTRATO (8)</t>
  </si>
  <si>
    <t>m</t>
  </si>
  <si>
    <t>und</t>
  </si>
  <si>
    <t>CHEQUEO POR VALORES UNITARIOS EN CERO</t>
  </si>
  <si>
    <t>Estar inscrito en el Registro Único Tributario</t>
  </si>
  <si>
    <t>Vigencia desde - hasta</t>
  </si>
  <si>
    <t>Media aritmética</t>
  </si>
  <si>
    <t># propuestas (n)</t>
  </si>
  <si>
    <t>Asignar de acuerdo al proceso</t>
  </si>
  <si>
    <t>CHEQUEO DEL VALOR DEL CONTRATO INCLUIDO IVA</t>
  </si>
  <si>
    <t>ASIGNACIÓN DE PUNTAJE PARA Pt3:</t>
  </si>
  <si>
    <t>IR</t>
  </si>
  <si>
    <t>(IR) Ítems representativos</t>
  </si>
  <si>
    <t>(IRES) Ítems restantes</t>
  </si>
  <si>
    <t>IRES</t>
  </si>
  <si>
    <t>(IR) ITEMS REPRESENTATIVOS</t>
  </si>
  <si>
    <t>(IRES) ITEMS RESTANTES</t>
  </si>
  <si>
    <t>Estado</t>
  </si>
  <si>
    <t>EVALUACIÓN DE REQUISITOS JURÍDICOS</t>
  </si>
  <si>
    <t>EVALUACIÓN DE EXPERIENCIA GENERAL</t>
  </si>
  <si>
    <t>EVALUACIÓN DE REQUISITOS COMERCIALES</t>
  </si>
  <si>
    <t>SALARIO MÍNIMO</t>
  </si>
  <si>
    <t>COCIENTE EVALUACIÓN</t>
  </si>
  <si>
    <t>LIQ = AC/PC &gt;
Siendo AC = activo corriente 
PC = pasivo corriente</t>
  </si>
  <si>
    <t>ESTADO</t>
  </si>
  <si>
    <t>NE = PT/AT &lt;=
Siendo PT = pasivo total 
AT = activo total</t>
  </si>
  <si>
    <t>CT = AC-PC &gt; X*PO
Siendo PO = Presupuesto Oficial</t>
  </si>
  <si>
    <t>REQUISITOS JURÍDICOS DE PARTICIPACIÓN  (personas naturales y jurídicas) numeral 4.1</t>
  </si>
  <si>
    <t>4.1.1 Requisitos personas naturales</t>
  </si>
  <si>
    <t>4.1.2. Requisitos personas jurídicas</t>
  </si>
  <si>
    <t>CHEQUEO POR VALORES EN CERO DENTRO DEL FORMULARIO</t>
  </si>
  <si>
    <t>MÁXIMO PUNTAJE A ASIGNAR PARA Pti</t>
  </si>
  <si>
    <t>Max. % AU</t>
  </si>
  <si>
    <r>
      <t>PUNTAJE (Pt</t>
    </r>
    <r>
      <rPr>
        <b/>
        <vertAlign val="subscript"/>
        <sz val="12"/>
        <rFont val="Calibri"/>
        <family val="2"/>
        <scheme val="minor"/>
      </rPr>
      <t>2A</t>
    </r>
    <r>
      <rPr>
        <b/>
        <sz val="12"/>
        <rFont val="Calibri"/>
        <family val="2"/>
        <scheme val="minor"/>
      </rPr>
      <t>)</t>
    </r>
  </si>
  <si>
    <r>
      <t>PUNTAJE (Pt</t>
    </r>
    <r>
      <rPr>
        <b/>
        <vertAlign val="subscript"/>
        <sz val="12"/>
        <rFont val="Calibri"/>
        <family val="2"/>
        <scheme val="minor"/>
      </rPr>
      <t>2B</t>
    </r>
    <r>
      <rPr>
        <b/>
        <sz val="12"/>
        <rFont val="Calibri"/>
        <family val="2"/>
        <scheme val="minor"/>
      </rPr>
      <t>)</t>
    </r>
  </si>
  <si>
    <t>Pt2A</t>
  </si>
  <si>
    <t>Pt2 TOTAL</t>
  </si>
  <si>
    <t>Pt2B</t>
  </si>
  <si>
    <t>Desviación estándar</t>
  </si>
  <si>
    <t>% AU</t>
  </si>
  <si>
    <t>Método de evaluación</t>
  </si>
  <si>
    <t>CALCULO DE Pt2</t>
  </si>
  <si>
    <t>No estar en mora en el Sistema de Registro Nacional de Medidas Correctivas RNMC de la Policía Nacional de Colombia (artículo 183 de la 1801 de 2016)</t>
  </si>
  <si>
    <t>No estar reportada al Boletín de Responsables Fiscales de la Contraloría General de la República (Art. 60 Ley 610 de 2000; Círcular 005 del 25 de febrero de 2008)</t>
  </si>
  <si>
    <t>Ser en PESOS COLOMBIANOS.</t>
  </si>
  <si>
    <t>Incluir todos los costos, gastos impuestos, tasas y contribuciones en los que deba incurrir el PROPONENTE para cumplir el objeto de la INVITACIÓN.</t>
  </si>
  <si>
    <t>No modificar los formatos del Proceso de Contratación, salvo autorización expresa.</t>
  </si>
  <si>
    <t>1.2</t>
  </si>
  <si>
    <t>1.3</t>
  </si>
  <si>
    <t>1.4</t>
  </si>
  <si>
    <t>1.5</t>
  </si>
  <si>
    <t>1.6</t>
  </si>
  <si>
    <t>1.7</t>
  </si>
  <si>
    <t>1.8</t>
  </si>
  <si>
    <t>TECHOS EN TEJA DE BARRO</t>
  </si>
  <si>
    <t>3.4</t>
  </si>
  <si>
    <t>8</t>
  </si>
  <si>
    <t>8.3</t>
  </si>
  <si>
    <t>9</t>
  </si>
  <si>
    <t>9.2</t>
  </si>
  <si>
    <t>9.3</t>
  </si>
  <si>
    <t>9.4</t>
  </si>
  <si>
    <t>9.5</t>
  </si>
  <si>
    <t>9.6</t>
  </si>
  <si>
    <t>SUBTOTAL AU</t>
  </si>
  <si>
    <t>1.0</t>
  </si>
  <si>
    <t>PERSONAL PROFESIONAL Y ADMINISTRATIVOS.</t>
  </si>
  <si>
    <t>1.1</t>
  </si>
  <si>
    <t>Profesionales de Obra Civil</t>
  </si>
  <si>
    <t xml:space="preserve">Residente de Obra </t>
  </si>
  <si>
    <t>3.0</t>
  </si>
  <si>
    <t>INSTALACIONES PROVISIONALES, SEÑALIZACIÓN Y SISOMA</t>
  </si>
  <si>
    <t>Profesionales SISOMA</t>
  </si>
  <si>
    <t>3.2</t>
  </si>
  <si>
    <t>3.2.1</t>
  </si>
  <si>
    <t>4.1.1</t>
  </si>
  <si>
    <t>Gastos oficina en obra</t>
  </si>
  <si>
    <t>4.2.2</t>
  </si>
  <si>
    <t>4.2.3</t>
  </si>
  <si>
    <t>Invitación Pública N° VA-012-2019</t>
  </si>
  <si>
    <t>OBJETO: “Realizar las obras civiles, hidráulicas, eléctricas, de mantenimiento, adecuaciones, reparaciones y obras complementarias para la infraestructura de la sede Carmen de Viboral. Seccional Oriente, por la modalidad de precios unitarios fijos no reajustables, conforma con las especificaciones técnicas de construcción (ver anexo 1)”</t>
  </si>
  <si>
    <r>
      <t xml:space="preserve">Se aceptarán aquellas propuestas que certifiquen experiencia GENERAL acreditada en hasta cinco (5) certificados de contratos terminados o liquidados, que dentro de su objeto o alcance incluyan construcción o mantenimiento de edificaciones nuevas o existentes, y que mínimo uno de los cinco contratos sea de mantenimiento en edificaciones en los últimos CINCO (5) años anteriores al cierre de la Invitación:
</t>
    </r>
    <r>
      <rPr>
        <u/>
        <sz val="12"/>
        <rFont val="Arial"/>
        <family val="2"/>
      </rPr>
      <t xml:space="preserve">Sumatoria (Del valor total de cinco (5) contratos liquidados que certifiquen clasificación en alguno de los códigos requeridos en SMMLV) </t>
    </r>
    <r>
      <rPr>
        <sz val="12"/>
        <rFont val="Arial"/>
        <family val="2"/>
      </rPr>
      <t xml:space="preserve">   &gt;3,5
                                                                  Valor del presupuesto total oficial en SMLMV 2019</t>
    </r>
  </si>
  <si>
    <t>Costo Directo</t>
  </si>
  <si>
    <t xml:space="preserve">ADMINISTRACIÓN </t>
  </si>
  <si>
    <t xml:space="preserve">UTILIDAD </t>
  </si>
  <si>
    <t>IVA % SOBRE UTILIDAD</t>
  </si>
  <si>
    <t xml:space="preserve"> </t>
  </si>
  <si>
    <t>LOGO DEL PROPONENTE</t>
  </si>
  <si>
    <t>SECCIONAL ORIENTE</t>
  </si>
  <si>
    <t xml:space="preserve">OBJETO: </t>
  </si>
  <si>
    <t xml:space="preserve"> obras civiles, hidráulicas, eléctricas, de mantenimiento, adecuaciones, reparaciones y obras complementarias para la infraestructura de la sede Carmen de Viboral. Seccional Oriente</t>
  </si>
  <si>
    <t xml:space="preserve">                                                           </t>
  </si>
  <si>
    <t>Descripcion de la Actividad</t>
  </si>
  <si>
    <t>Unidad</t>
  </si>
  <si>
    <t>Cantidad</t>
  </si>
  <si>
    <t>Valor y Porcentaje por Capitulo</t>
  </si>
  <si>
    <t xml:space="preserve">SEDE CARMEN DE VIBORAL. </t>
  </si>
  <si>
    <t>EXCAVACIONES, DEMOLICIONES Y RETIROS</t>
  </si>
  <si>
    <r>
      <t xml:space="preserve">Suministro e Instalación de CERRAMIENTO PROVISIONAL </t>
    </r>
    <r>
      <rPr>
        <i/>
        <sz val="11"/>
        <rFont val="Arial"/>
        <family val="2"/>
      </rPr>
      <t>en Sarán verde, o similar con una altura de 2,1 m. y estructura en larguero de madera común de 1" x 2", cada 1.5 m. Incluye suministro, transporte, instalación y desmonte, excavación manual en cualquier material y todos los demás elementos necesarios para su correcta instalación.</t>
    </r>
  </si>
  <si>
    <r>
      <rPr>
        <b/>
        <sz val="11"/>
        <rFont val="Swis721 LtCn BT"/>
        <family val="2"/>
      </rPr>
      <t>EXCAVACIÓN MANUAL de material heterogéneo DE 0-2 m</t>
    </r>
    <r>
      <rPr>
        <sz val="11"/>
        <rFont val="Swis721 LtCn BT"/>
        <family val="2"/>
      </rPr>
      <t>., bajo cualquier grado de humedad. Incluye: roca descompuesta, bolas de roca de volumen inferior a 0.35 m³., incluye cargue y transporte interno y su medida será en el sitio.  INCLUYE BOTADERO. No incluye entibado.</t>
    </r>
  </si>
  <si>
    <t>m3</t>
  </si>
  <si>
    <r>
      <rPr>
        <b/>
        <sz val="11"/>
        <rFont val="Swis721 LtCn BT"/>
        <family val="2"/>
      </rPr>
      <t>DESMONTAR TEJA EXISTENTE, con recuperación</t>
    </r>
    <r>
      <rPr>
        <sz val="11"/>
        <rFont val="Swis721 LtCn BT"/>
        <family val="2"/>
      </rPr>
      <t>,</t>
    </r>
    <r>
      <rPr>
        <i/>
        <sz val="11"/>
        <rFont val="Swis721 LtCn BT"/>
        <family val="2"/>
      </rPr>
      <t xml:space="preserve"> incluye: levantar teja existente, retiro de manto de impermeabilización, ubicación adecuada de la teja durante el tiempo que se ejecute la actividad, aseo y limpieza general del techo,  herramienta y equipo necesario para realizar la actividad, Incluye: andamios multidireccionales certificados, empaque en costales, transporte horizontal y vertical, de material sobrante, desde el lugar de intervención hasta el acopio de la universidad y todo lo necesario para su correcta ejecución.</t>
    </r>
  </si>
  <si>
    <r>
      <rPr>
        <b/>
        <sz val="11"/>
        <rFont val="Swis721 LtCn BT"/>
        <family val="2"/>
      </rPr>
      <t>DEMOLICIÓN MAMPOSTERÍA</t>
    </r>
    <r>
      <rPr>
        <sz val="11"/>
        <rFont val="Swis721 LtCn BT"/>
        <family val="2"/>
      </rPr>
      <t xml:space="preserve"> en bloque de concreto ó ladrillo de 10 a 20 cm de espesor, incluye, demolición de CALADOS, revoques y enchapes, instalaciones embebidas, dinteles, sillares, vigas y columnetas en concreto que se encuentren en el muro a demoler, Tambien incluye recuperación de los materiales aprovechables o su transporte hasta el sitio que lo indique la interventoría; se debe de utilizar cortadora para garantizar que los filetes de la demolición queden ortogonales.Incluye desmonte de ventana existente.</t>
    </r>
  </si>
  <si>
    <r>
      <t xml:space="preserve">DEMOLICIÓN de  CUNETAS en concreto, </t>
    </r>
    <r>
      <rPr>
        <sz val="11"/>
        <rFont val="Swis721 LtCn BT"/>
        <family val="2"/>
      </rPr>
      <t>cargue, transporte y botada de escombros,en botaderos oficiales, manual o mecánicamente, desarrollo máximo de 0.70m, y un espesor hasta 0.15m. Incluye compresor neumático con martillo, retiro de refuerzo e instalaciones embebidas. Además recuperación de los materiales aprovechables o su transporte hasta el sitio que lo indique la interventoría.</t>
    </r>
  </si>
  <si>
    <r>
      <rPr>
        <b/>
        <sz val="11"/>
        <rFont val="Swis721 LtCn BT"/>
        <family val="2"/>
      </rPr>
      <t>DEMOLICIÓN ANDENES, PISOS EN CONCRETO, O CAPA ASFÁLTICA CON DESGASTE.</t>
    </r>
    <r>
      <rPr>
        <sz val="11"/>
        <rFont val="Swis721 LtCn BT"/>
        <family val="2"/>
      </rPr>
      <t xml:space="preserve"> </t>
    </r>
    <r>
      <rPr>
        <i/>
        <sz val="11"/>
        <rFont val="Swis721 LtCn BT"/>
        <family val="2"/>
      </rPr>
      <t>cargue, transporte y botada de escombros de ESPESOR MÁXIMO DE 0.25m. Incluye retiro de cordones, retiro de enchape (baldosa, baldosín forros en arenón, madera, vinilo, granito esmerilado, concreto, pisos en gres, entre otros), placa de concreto si existe, entresuelo de recebo; retiro y reinstalación de tapas de medidores de acueducto cualquier diámetro, tapas de energía y tapas cajas de teléfono. Incluye  recuperación de los materiales aprovechables, transporte, carque y botada,o hasta el sitio que lo indique la interventoría.</t>
    </r>
  </si>
  <si>
    <r>
      <rPr>
        <b/>
        <sz val="11"/>
        <rFont val="Swis721 LtCn BT"/>
        <family val="2"/>
      </rPr>
      <t>Desmonte y retiro de cielo falso en DryWall y/o Superboard</t>
    </r>
    <r>
      <rPr>
        <sz val="11"/>
        <rFont val="Swis721 LtCn BT"/>
        <family val="2"/>
      </rPr>
      <t xml:space="preserve"> en zona de circulación y/o espacios interiores. Incluye: andamios multidireccionales certificados,  desmonte de placa existente y su estructura cuando se requiera, el transporte vertical y horizontal, cargue del material hasta el lugar de acopio, herramienta, equipo y todos los elementos necesarios para la ejecución de los trabajos.</t>
    </r>
  </si>
  <si>
    <r>
      <rPr>
        <b/>
        <sz val="11"/>
        <rFont val="Swis721 LtCn BT"/>
        <family val="2"/>
      </rPr>
      <t>Cargue y botada de tierra y/o escombros</t>
    </r>
    <r>
      <rPr>
        <sz val="11"/>
        <rFont val="Swis721 LtCn BT"/>
        <family val="2"/>
      </rPr>
      <t xml:space="preserve">, en sitios debidamente certificados por la autoridad ambiental competente, incluye: Transporte tanto vertical como horizontal, aseo general, señalizacion con balizas reflectivas, cinta de seguridad y ayudantes que cuenten con el pago de prestaciones sociales al día .                                                                                                    </t>
    </r>
    <r>
      <rPr>
        <b/>
        <sz val="11"/>
        <rFont val="Swis721 LtCn BT"/>
        <family val="2"/>
      </rPr>
      <t>Nota: Éste ítem aplica para actividades o ítem, que no contemplen dicha descripción.</t>
    </r>
  </si>
  <si>
    <t>LLENOS</t>
  </si>
  <si>
    <r>
      <rPr>
        <b/>
        <sz val="11"/>
        <rFont val="Swis721 LtCn BT"/>
        <family val="2"/>
      </rPr>
      <t>LLENOS EN MATERIAL PROVENIENTES DE LA EXCAVACIÓN</t>
    </r>
    <r>
      <rPr>
        <sz val="11"/>
        <rFont val="Swis721 LtCn BT"/>
        <family val="2"/>
      </rPr>
      <t>, compactados, manual, o mecánicamente hasta obtener una densidad del 90% de la máxima obtenida en el ensayo del próctor modificado. Y un espesor de 15cms para zonas peatonales y 20 cms para zonas vehiculares, Incluye transporte interno. Su medida será en sitio ya compactado</t>
    </r>
  </si>
  <si>
    <t>2.2</t>
  </si>
  <si>
    <r>
      <rPr>
        <b/>
        <sz val="11"/>
        <rFont val="Swis721 LtCn BT"/>
        <family val="2"/>
      </rPr>
      <t>Suministro, transporte y colocación de Sub base granular</t>
    </r>
    <r>
      <rPr>
        <sz val="11"/>
        <rFont val="Swis721 LtCn BT"/>
        <family val="2"/>
      </rPr>
      <t xml:space="preserve"> de máximo Ø 1½", reacomodado con medios mecánicos y compactado al 90% mínimo del ensayo del proctor modificado, según normas para la construcción de pavimentos del INVIAS, con un espesor minimo de 15cms para zonas peatonales y 20 cms para zonas vehiculares, o lo que indiquen los diseños cuando existan. y todo lo necesario para su correcta construcción y funcionamiento. Su medida será tomada en sitio ya compactado.</t>
    </r>
  </si>
  <si>
    <r>
      <t xml:space="preserve">Suministro Transporte y colocación de manto 3mm de espesor </t>
    </r>
    <r>
      <rPr>
        <sz val="11"/>
        <rFont val="Swis721 LtCn BT"/>
        <family val="2"/>
      </rPr>
      <t xml:space="preserve"> a base de asfaltos modificados  (polímeros y elastómeros),  reforzado con fibras de poliéster para cubiertas en teja de barro, incluye: Retiro de manto existente,  Manto 3mm tipo fiberglass o similar, machihembrado, imprimación con emulsión asfáltica, herramienta y equipo necesario para realizar la actividad,  transporte vertical, transporte horizontal, andamios multidireccionales certificados, y todo lo necesario para su correcta instalación y funcionamiento. </t>
    </r>
  </si>
  <si>
    <r>
      <rPr>
        <b/>
        <sz val="11"/>
        <rFont val="Swis721 LtCn BT"/>
        <family val="2"/>
      </rPr>
      <t>Suministro e instalación de teja nueva y posterior alineación</t>
    </r>
    <r>
      <rPr>
        <sz val="11"/>
        <rFont val="Swis721 LtCn BT"/>
        <family val="2"/>
      </rPr>
      <t>, incluye: teja de barro maquinada,colocación de mortero 1:5,  andamios multidireccionales certificados, herramienta y equipo necesario para realizar la actividad,   transporte vertical, transporte horizontal y todo lo necesario para su correcta instalación y funcionamiento.</t>
    </r>
  </si>
  <si>
    <t>3.3</t>
  </si>
  <si>
    <r>
      <rPr>
        <b/>
        <sz val="11"/>
        <rFont val="Swis721 LtCn BT"/>
        <family val="2"/>
      </rPr>
      <t>Colocación de teja existente y posterior  alineación</t>
    </r>
    <r>
      <rPr>
        <sz val="11"/>
        <rFont val="Swis721 LtCn BT"/>
        <family val="2"/>
      </rPr>
      <t>, .incluye: mortero 1:5, herramienta y equipo necesario para realizar la actividad, transporte vertical, transporte horizontal, andamios multidireccionales certificados,  y todo lo necesario para su correcta instalación y funcionamiento.</t>
    </r>
  </si>
  <si>
    <r>
      <rPr>
        <b/>
        <sz val="11"/>
        <rFont val="Swis721 LtCn BT"/>
        <family val="2"/>
      </rPr>
      <t>Emboquillado de Aleros,Caballetes,y otros Incluye: Mortero 1:5,</t>
    </r>
    <r>
      <rPr>
        <sz val="11"/>
        <rFont val="Swis721 LtCn BT"/>
        <family val="2"/>
      </rPr>
      <t xml:space="preserve"> aditivo impermeabilizante para mortero, andamios multidireccionales certificados, herramienta y equipo necesario para realizar la actividad, transporte vertical, transporte horizontal  y todos los elementos necesarios para su correcta instalación y funcionamiento.</t>
    </r>
  </si>
  <si>
    <t>PINTURAS,  ESTUCOS Y CIELO FALSO</t>
  </si>
  <si>
    <t>4.1</t>
  </si>
  <si>
    <r>
      <rPr>
        <b/>
        <sz val="11"/>
        <rFont val="Swis721 LtCn BT"/>
        <family val="2"/>
      </rPr>
      <t>Suministro, RESANE,REPINTE Y APLICACIÓN de PINTURA A BASE DE AGUA EN MUROS Y CIELO, CON VINILO TIPO 1</t>
    </r>
    <r>
      <rPr>
        <sz val="11"/>
        <rFont val="Swis721 LtCn BT"/>
        <family val="2"/>
      </rPr>
      <t xml:space="preserve"> ( Viniltex o equivalente),de primera calidad sobre muros y cielos,sobre ladrillo, concreto, revoque y/o estuco, tres manos o las necesarias hasta obtener una superficie pareja y homogénea. Incluye suministro y transporte de los materiales, resanes,algamasa,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andamios multidireccionales certificados, herramienta, equipo y todos los elementos necesarios para su correcta aplicación.</t>
    </r>
  </si>
  <si>
    <r>
      <rPr>
        <b/>
        <sz val="11"/>
        <rFont val="Swis721 LtCn BT"/>
        <family val="2"/>
      </rPr>
      <t xml:space="preserve">RESANE Y REPINTE de PINTURA ACRÍLICA EN MUROS exteriores Y CIELO,(Tipo Koraza doble vida 10 años, o equivalente.) </t>
    </r>
    <r>
      <rPr>
        <sz val="11"/>
        <rFont val="Swis721 LtCn BT"/>
        <family val="2"/>
      </rPr>
      <t>,de primera calidad sobre muros y cielos,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andamios multidireccionales certificados, herramienta, equipo y todos los elementos necesarios para su correcta aplicación.</t>
    </r>
  </si>
  <si>
    <t>4.3</t>
  </si>
  <si>
    <r>
      <rPr>
        <b/>
        <sz val="11"/>
        <rFont val="Swis721 LtCn BT"/>
        <family val="2"/>
      </rPr>
      <t>Suministro, resane y repinte de ESMALTE A BASE DE ACEITE,</t>
    </r>
    <r>
      <rPr>
        <sz val="11"/>
        <rFont val="Swis721 LtCn BT"/>
        <family val="2"/>
      </rPr>
      <t xml:space="preserve"> </t>
    </r>
    <r>
      <rPr>
        <i/>
        <sz val="11"/>
        <rFont val="Swis721 LtCn BT"/>
        <family val="2"/>
      </rPr>
      <t>sobre elementos metálicos, pasamanos ,puertas, canoas y los que indique la interventoría., anticorrosivo tipo  Washprimer. Dos manos o las necesarias hasta obtener una superficie pareja y homogénea. Incluye :andamios multidireccionales certificados,:suministro y transporte de los materiales, disolvente para pinturas a base de aceite, adecuación de la superficie a intervenir hasta obtener una superficie pareja y homogénea, color existente o definir según aprobación de la interventoría.las fajas se pagarán a mitad de precio.</t>
    </r>
  </si>
  <si>
    <t>4.4</t>
  </si>
  <si>
    <r>
      <rPr>
        <b/>
        <i/>
        <sz val="11"/>
        <rFont val="Swis721 LtCn BT"/>
        <family val="2"/>
      </rPr>
      <t>Aplicación de pintura transparente antigraffiti, Tipo Sherwin Williams o equivalente</t>
    </r>
    <r>
      <rPr>
        <sz val="11"/>
        <rFont val="Swis721 LtCn BT"/>
        <family val="2"/>
      </rPr>
      <t>, sobre muros de concreto para protección antigrafiti, tres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andamios multidireccionales certificados. Se aplicará en zonas exteriores y de alcance directo al publico o donde indique la interventoría. Se deben seguir todas las especificaciones y recomendaciones del fabricante.</t>
    </r>
  </si>
  <si>
    <t>4.5</t>
  </si>
  <si>
    <r>
      <rPr>
        <b/>
        <sz val="11"/>
        <rFont val="Swis721 LtCn BT"/>
        <family val="2"/>
      </rPr>
      <t>Suministro, Resane y Repinte de PINTURA EPOXIPOLIAMIDA EN PISOS DE CONCRETO</t>
    </r>
    <r>
      <rPr>
        <sz val="11"/>
        <rFont val="Swis721 LtCn BT"/>
        <family val="2"/>
      </rPr>
      <t xml:space="preserve"> (dos componentes) tipo Pintu-coat color gris de pintuco o equivalente, dos  manos o las necesarias para lograr una superficie pareja a satisfacción de la interventoría.Incluye movimiento, o boredeado de elementos que componen las instalaciones de la planta.</t>
    </r>
  </si>
  <si>
    <t>4.6</t>
  </si>
  <si>
    <r>
      <t>Suministro, Resane y Repinte de Pintura en elementos de madera Puertas, ventanas, columnas techos (</t>
    </r>
    <r>
      <rPr>
        <i/>
        <sz val="11"/>
        <rFont val="Swis721 LtCn BT"/>
        <family val="2"/>
      </rPr>
      <t>Alfardas, cargueras, caballetes, cerchas, tablilla, etc.) con Profilan color plus teca-nogal  o equivalente.Tres manos. Medida en plano inclinado del techo y sin considerar altura de cantos de los elementos en madera (alfardas, caballetes y cargueras), Incluye transportes internos tanto verticales como horizontales,andamios multidireccionales certificados.</t>
    </r>
  </si>
  <si>
    <t>4.7</t>
  </si>
  <si>
    <r>
      <t>Suministro, Resane y Repinte de Pintura en elementos de madera Para Puente, tres manos.</t>
    </r>
    <r>
      <rPr>
        <i/>
        <sz val="11"/>
        <rFont val="Swis721 LtCn BT"/>
        <family val="2"/>
      </rPr>
      <t>(columnas techo</t>
    </r>
    <r>
      <rPr>
        <b/>
        <i/>
        <sz val="11"/>
        <rFont val="Swis721 LtCn BT"/>
        <family val="2"/>
      </rPr>
      <t xml:space="preserve"> </t>
    </r>
    <r>
      <rPr>
        <i/>
        <sz val="11"/>
        <rFont val="Swis721 LtCn BT"/>
        <family val="2"/>
      </rPr>
      <t>Alfardas, cargueras, caballetes, cerchas, tablilla,pasamanosvigas, riostras y todos los elementos en madera que lo componen.) con Profilan color plus teca-nogal  o equivalente.Tres manos todas las caras y cantos de los elementos.Incluye la limpieza de la superficie antes de su aplicación. Medida en plano inclinado de los elementos y sin considerar altura de cantos de los elementos en madera (alfardas, caballetes y cargueras, etc.), Incluye transportes internos tanto verticales como horizontales, andamios multidireccionales certificados,Cada m2 se tomará de acuerdo a los elementos que contiene el área de este.</t>
    </r>
  </si>
  <si>
    <t>4.8</t>
  </si>
  <si>
    <r>
      <rPr>
        <b/>
        <i/>
        <sz val="11"/>
        <rFont val="Swis721 LtCn BT"/>
        <family val="2"/>
      </rPr>
      <t>Suministro y aplicación de: Pintura vitriflex base de agua, Semi-mate, tráfico Alto, dos componentes, para piso en madera</t>
    </r>
    <r>
      <rPr>
        <sz val="11"/>
        <rFont val="Swis721 LtCn BT"/>
        <family val="2"/>
      </rPr>
      <t>, tres manos, se de entonar con color igual a la pintura existente de ser necesario, incluye todos los elementos necesarios para su correcta ejecucion y acabado, a satisfacción de la interventoría</t>
    </r>
  </si>
  <si>
    <t>4.9</t>
  </si>
  <si>
    <r>
      <rPr>
        <b/>
        <sz val="11"/>
        <rFont val="Swis721 LtCn BT"/>
        <family val="2"/>
      </rPr>
      <t>Colocación y Resanes de ESTUCO ACRÍLICO EXTERIOR PROFESIONAL, SOBRE MUROS y CIELOS REVOCADOS y/0 ESTUCADOS, Y PINTADOS</t>
    </r>
    <r>
      <rPr>
        <sz val="11"/>
        <rFont val="Swis721 LtCn BT"/>
        <family val="2"/>
      </rPr>
      <t>, 3 manos mínimo, o las que sean necesarias para obtener una superficie pareja y homogénea. Incluye:andamios multidireccionales certificados, suministro y transporte de los materiales, ranuras, filetes, dilataciones y todos los elementos necesarios para su correcta aplicación y funcionamiento.</t>
    </r>
  </si>
  <si>
    <t>4.10</t>
  </si>
  <si>
    <r>
      <t xml:space="preserve">Resane y repinte en esmalte de  poliuretano sobre escalas metálicas Bloque 3. Tipo Pintuco, o equivalente.3 manos </t>
    </r>
    <r>
      <rPr>
        <i/>
        <sz val="11"/>
        <rFont val="Swis721 LtCn BT"/>
        <family val="2"/>
      </rPr>
      <t>Incluye lijada, y/o raspada, limpieza de la superficie, acondicionador de la superficie, andamios multidireccionales certificados, herramientas, equipo y todos los equipos necesarios para su correcta aplicación. Nota. La pintura se debe entonar hasta alcanzar el color existente o el color indicado por la interventoria, Los elementos con un desarrollo hasta de 0,5 m se pagaran por ml a mitad de precio</t>
    </r>
  </si>
  <si>
    <t>4.11</t>
  </si>
  <si>
    <r>
      <t xml:space="preserve">Suministro, transporte y colocación de cielo falso en Dry Wall 1/2. </t>
    </r>
    <r>
      <rPr>
        <i/>
        <sz val="11"/>
        <rFont val="Swis721 LtCn BT"/>
        <family val="2"/>
      </rPr>
      <t>Incluye, masillado, pintura 3 manos, perfilería de lámina galvanizada para soporte con distancia de 61 cm, chazos, cintas, ángulos, cortes, andamios multidireccionales certificados, canes y todo los demás elementos  necesario para su correcta instalación y funcionamiento.</t>
    </r>
  </si>
  <si>
    <t>IMPERMEABILIZACIONES</t>
  </si>
  <si>
    <t>5.1</t>
  </si>
  <si>
    <r>
      <t>Suministro, transporte e impermeabilización de tanques con membrana de PVC tipo Sikaplan 12 NTR</t>
    </r>
    <r>
      <rPr>
        <i/>
        <sz val="11"/>
        <rFont val="Swis721 LtCn BT"/>
        <family val="2"/>
      </rPr>
      <t xml:space="preserve"> o equivalente de espesor de 1,2mm. Incluye membrana a base de PVC plastificado y reforzado con armadura de poliéster para la impermeabilización de tanques de agua, debe de cumplir con las normas: UNE 104303, DIN 16938, ASTM 1003, DIN 53370, DIN 4062, ICONTEC 1500 para agua potable. Las uniones entre láminas deberán realizarse mediante soldadura termoplástica con aire caliente. Cuando se proceda a soldar 2 láminas, deberán disponerse de tal manera que el ancho del traslapo sea igual o mayor de 5 cm, por lo que la soldadura deberá tener en cualquier punto 4 cm como mínimo. Una vez que las superficies de las láminas que vayan a estar en contacto estén limpias y secas, se procederá a la unión (soldadura). Los traslapos, inmediatamente después de la soldadura, se presionan uniformemente con un rodillo para obtener así una unión homogénea. Incluye Sikaplan 12 NT o equivalente, Geotextil Sika PP 1800 o equivalente, perfil de fondo, perfil de borde, Sika Primer 215 o equivalente, Sikaflex Construction o equivalente, anclajes y todos los elementos necesarios para su correcta instalación y funcionamiento.Incluye prueba de estanqueidad.LA INSTALACIÓN, DEBE SER REALIZADA, POR PERSONAL QUE POSEA, CERTIFICADO DE INSTALADOR DE LA EMPRESA FABRICANTE DEL PRODUCTO A INSTALAR.</t>
    </r>
  </si>
  <si>
    <t>5.2</t>
  </si>
  <si>
    <r>
      <rPr>
        <b/>
        <sz val="11"/>
        <rFont val="Swis721 LtCn BT"/>
        <family val="2"/>
      </rPr>
      <t>Suministro, transporte e impermeabilización de losa en concreto expuesta a la intemperie, con membrana de PVC de alta reflectividad ( protección UV), tipo Sarnafil S327-15L White</t>
    </r>
    <r>
      <rPr>
        <sz val="11"/>
        <rFont val="Swis721 LtCn BT"/>
        <family val="2"/>
      </rPr>
      <t xml:space="preserve"> o equivalente, espesor 1.5 mm. con refuerzo en poliester, Fijación mecánica, geotextil Sika PP 2500 o equivalente,  Sika Metal Sheet (perfil plano). Incluye desperdicio, Geotextil, Sikaflex Premier- 429/202, SikaFlex 1A, Termo soldadura y mano de obra. Incluye preparación de la superficie. andamios multidireccionales certificados,  y todos los demás elementos necesarios para su correcta aplicación. La aplicación técnica se debe hacer siguiendo todas las instrucciones y recomendaciones del fabricante. Incluye: Juntas estructurales, tolerancias, desniveles, bordes de losa,emboquillados de bajantes, gargolas, tragantes. bordeado de columnas, tubos, muretes, y cualquier otro elemento independiente de su forma, ubicado en la losa. El personal que realice la aplicación del recubrimiento debe estar certificado por el Fabricante.Para el recibo de las obras por parte de la interventoría</t>
    </r>
  </si>
  <si>
    <t>5.3</t>
  </si>
  <si>
    <r>
      <rPr>
        <b/>
        <sz val="11"/>
        <rFont val="Swis721 LtCn BT"/>
        <family val="2"/>
      </rPr>
      <t>Suministro, transporte e impermeabilización de losa en concreto con Membrana elastomérica de poliuretano, de bajo olor y bajo VOC  tipo VULKEM 350/351 NF</t>
    </r>
    <r>
      <rPr>
        <sz val="11"/>
        <rFont val="Swis721 LtCn BT"/>
        <family val="2"/>
      </rPr>
      <t xml:space="preserve"> o equivalente. Incluye preparación de la superficie, regatas y todos los demás elementos necesarios para su correcta aplicación. VULKEM 350 NF rinde 2.32 m2/gal de producto o cada cuñete de 5 galones alcanza para 11.6 m2 con un espesor de 60 mils, andamios multidireccionales certificados,
</t>
    </r>
  </si>
  <si>
    <t>PISOS</t>
  </si>
  <si>
    <t>6.1</t>
  </si>
  <si>
    <r>
      <rPr>
        <b/>
        <sz val="11"/>
        <rFont val="Swis721 LtCn BT"/>
        <family val="2"/>
      </rPr>
      <t>Colocación de PISO EN ADOQUÍN RECTANGULAR 10X20X8., COLOR GRIS.</t>
    </r>
    <r>
      <rPr>
        <sz val="11"/>
        <rFont val="Swis721 LtCn BT"/>
        <family val="2"/>
      </rPr>
      <t xml:space="preserve"> Incluye suministro y transporte de los materiales, arena de pega para cama de 5 cms, arena de revoque de sello, cortes a máquina, compactación y todos los demás elementos necesarios para su correcta instalación. Según diseño y recomendaciones MEP.  El adoquín deberá resellarse por 2 veces con un lapso de 2 meses luego de su instalación y cumplir con la norma NTC 2017.</t>
    </r>
  </si>
  <si>
    <t>6.2</t>
  </si>
  <si>
    <r>
      <rPr>
        <b/>
        <sz val="11"/>
        <rFont val="Swis721 LtCn BT"/>
        <family val="2"/>
      </rPr>
      <t>Suministro, transporte y colocación de cordón prefabricado de 0.15 x 0.45 x 0.80 m.</t>
    </r>
    <r>
      <rPr>
        <sz val="11"/>
        <rFont val="Swis721 LtCn BT"/>
        <family val="2"/>
      </rPr>
      <t xml:space="preserve"> de concreto de 21 Mpa, tres caras, juntas ranuradas, referencia Bordillo Barrera Recto </t>
    </r>
    <r>
      <rPr>
        <b/>
        <sz val="11"/>
        <rFont val="Swis721 LtCn BT"/>
        <family val="2"/>
      </rPr>
      <t>Tipo U50 (según M.E.P)</t>
    </r>
    <r>
      <rPr>
        <sz val="11"/>
        <rFont val="Swis721 LtCn BT"/>
        <family val="2"/>
      </rPr>
      <t>. Incluye excavación, conformación del terreno, ajustes de concreto o pavimento donde sea necesario, mortero 1:4  de asiento y pega en las longitudes más adecuadas para el desarrollo de la obra, y todo lo necesario para su correcta construcción y funcionamiento. Según diseño.</t>
    </r>
  </si>
  <si>
    <t>6.3</t>
  </si>
  <si>
    <r>
      <rPr>
        <b/>
        <sz val="11"/>
        <rFont val="Swis721 LtCn BT"/>
        <family val="2"/>
      </rPr>
      <t>Construcción de PISO EN MORTERO IMPERMEABILIZADO 1:5 de NIVELACIÓN</t>
    </r>
    <r>
      <rPr>
        <sz val="11"/>
        <rFont val="Swis721 LtCn BT"/>
        <family val="2"/>
      </rPr>
      <t>, Pendientado, espesor promedio de 0.07m. Incluye suministro y transporte de los materiales y todo lo necesario para su correcta construcción, curado y funcionamiento.</t>
    </r>
  </si>
  <si>
    <t>6.4</t>
  </si>
  <si>
    <r>
      <rPr>
        <b/>
        <sz val="11"/>
        <rFont val="Swis721 LtCn BT"/>
        <family val="2"/>
      </rPr>
      <t>Construcción de ANDÉN en concreto de 21 Mpa. espesor de 0.10m pendientado.</t>
    </r>
    <r>
      <rPr>
        <sz val="11"/>
        <rFont val="Swis721 LtCn BT"/>
        <family val="2"/>
      </rPr>
      <t xml:space="preserve"> con vaciado alternado cada metro. Incluye suministro y transporte de los materiales, nivelación del terreno y adecuación de la superficie, acabado escobillado y llaneado 0.10m en los bordes, malla electrosoldada D-84,  curado y todo lo necesario para su correcta construcción y funcionamiento. Según diseño. Las excavaciones o descapotes se pagarán en su ítem respectivo.</t>
    </r>
  </si>
  <si>
    <t>CARPINTERIA EN MADERA/ METÁLICA</t>
  </si>
  <si>
    <t>7.1</t>
  </si>
  <si>
    <r>
      <t>Cambio de tabilla</t>
    </r>
    <r>
      <rPr>
        <sz val="11"/>
        <rFont val="Swis721 LtCn BT"/>
        <family val="2"/>
      </rPr>
      <t xml:space="preserve"> incluye retiro, suministro, transporte e instalación de  tablilla del tipo aserrada en pino pátula inmunizada al vacío presión  o por el proceso Bethell o Célula Llena de dimensiones (1.0 cms de espesor y 8 cms de ancho) La pintura se paga aparte. Incluye: andamios multidireccionales certificados, herramienta y equipo necesario para realizar la actividad,  transporte horizontal, transporte vertical  y todo lo necesario para su correcta ejecución.</t>
    </r>
  </si>
  <si>
    <t>7.2</t>
  </si>
  <si>
    <r>
      <rPr>
        <b/>
        <sz val="11"/>
        <rFont val="Swis721 LtCn BT"/>
        <family val="2"/>
      </rPr>
      <t>Suministro, transporte e instalación de canoa metálica en U, con traslapo al manto de minimo 30 cms,</t>
    </r>
    <r>
      <rPr>
        <sz val="11"/>
        <rFont val="Swis721 LtCn BT"/>
        <family val="2"/>
      </rPr>
      <t xml:space="preserve"> incluye: Retiro del tramo de canoa a reemplazar, suministro de canoas calibre 20 + embudos, pintadas con anticorrosivo epoxi poliamida y esmalte, aplicación de acondicionador para mejorar la adherencia tipo Wash Primer o equivalente, incluye gancho externo e interno con hasta 1,00 m de desarrollo,  transporte horizontal, transporte vertical,  andamios multidireccionales certificados, sello con material elástico tipo poliuretano, herramienta y equipo necesario para realizar la actividad y todos los elementos necesarios para su correcta instalación y funcionamiento. Los tramos de canoa instalados, deben quedar perfectamente soldados y alineados.</t>
    </r>
  </si>
  <si>
    <t>7.3</t>
  </si>
  <si>
    <r>
      <rPr>
        <b/>
        <sz val="11"/>
        <rFont val="Swis721 LtCn BT"/>
        <family val="2"/>
      </rPr>
      <t>Suministro, transporte e instalación de canoa Central metálica en U, con traslapo al manto de minimo 20 cms,</t>
    </r>
    <r>
      <rPr>
        <sz val="11"/>
        <rFont val="Swis721 LtCn BT"/>
        <family val="2"/>
      </rPr>
      <t xml:space="preserve"> incluye: Retiro de los tramo de canoa a reemplazar, suministro de canoa calibre 20 + embudos,con 1,40 m de desarrollo,  pintada con anticorrosivo epoxi poliamida y esmalte, aplicación de acondicionador para mejorar la adherencia tipo Wash Primer o equivalente, incluye gancho externo e interno ,  transporte horizontal, transporte vertical, andamios multidireccionales certificados, sello con material elástico tipo poliuretano, herramienta y equipo necesario para realizar la actividad y todos los elementos necesarios para su correcta instalación y funcionamiento. Los tramos de canoa instalados, deben quedar perfectamente soldados y alineados.</t>
    </r>
  </si>
  <si>
    <t>OBRAS  HIDROSANITARIAS</t>
  </si>
  <si>
    <t>8.1</t>
  </si>
  <si>
    <r>
      <rPr>
        <b/>
        <sz val="11"/>
        <rFont val="Swis721 LtCn BT"/>
        <family val="2"/>
      </rPr>
      <t>Suministro, transporte e instalación de TUBERÍA PVC-SANITARIA, con un DIÁMETRO DE 4"</t>
    </r>
    <r>
      <rPr>
        <sz val="11"/>
        <rFont val="Swis721 LtCn BT"/>
        <family val="2"/>
      </rPr>
      <t>,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r>
  </si>
  <si>
    <t>8.2</t>
  </si>
  <si>
    <r>
      <rPr>
        <b/>
        <sz val="11"/>
        <rFont val="Swis721 LtCn BT"/>
        <family val="2"/>
      </rPr>
      <t>Suministro, transporte e instalación de TUBERÍA PVC-SANITARIA, con un DIÁMETRO DE 3"</t>
    </r>
    <r>
      <rPr>
        <sz val="11"/>
        <rFont val="Swis721 LtCn BT"/>
        <family val="2"/>
      </rPr>
      <t>,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r>
  </si>
  <si>
    <r>
      <rPr>
        <b/>
        <sz val="11"/>
        <rFont val="Swis721 LtCn BT"/>
        <family val="2"/>
      </rPr>
      <t>Suministro, transporte e instalación de Kit silla Yee de 250 x 160</t>
    </r>
    <r>
      <rPr>
        <sz val="11"/>
        <rFont val="Swis721 LtCn BT"/>
        <family val="2"/>
      </rPr>
      <t>. EMPALME A RED NOVAFORT DE 250mm A 4". Incluye todos los elementos necesarios para su correcta instalación y funcionamiento.</t>
    </r>
  </si>
  <si>
    <t>un</t>
  </si>
  <si>
    <t>8.4</t>
  </si>
  <si>
    <r>
      <t>Suministro, transporte e Instalación de Trampa de Grasas en polietileno de 200 a 250 Litros. Tipo Colempaques o Equivalente.</t>
    </r>
    <r>
      <rPr>
        <sz val="11"/>
        <rFont val="Swis721 LtCn BT"/>
        <family val="2"/>
      </rPr>
      <t>Incluye,accesorios, empalmes, y  todos los elementos necesarios para su correcta instalación y funcionamiento.las excavaciones y llenos se pagarán en sus items correspondientes</t>
    </r>
  </si>
  <si>
    <t>8.5</t>
  </si>
  <si>
    <r>
      <t xml:space="preserve">Suministro, transporte e instalación de Sistema Séptico Integrado Cilíndrico Horizontal de 3.000 litros, en polietileno de alta resistencia y caja de distribucuón de 40 litros. </t>
    </r>
    <r>
      <rPr>
        <sz val="11"/>
        <rFont val="Swis721 LtCn BT"/>
        <family val="2"/>
      </rPr>
      <t>Incluye accesorios, empalmes, y  todos los elementos necesarios para su correcta instalación y funcionamiento. las excavaciones y llenos se pagarán en sus items correspondientes</t>
    </r>
  </si>
  <si>
    <t>8.6</t>
  </si>
  <si>
    <r>
      <t xml:space="preserve">Colocación de MATERIAL GRANULAR limpio de 3/4" a 1"(Triturado) </t>
    </r>
    <r>
      <rPr>
        <sz val="11"/>
        <rFont val="Swis721 LtCn BT"/>
        <family val="2"/>
      </rPr>
      <t>para filtros, camas de triturado, reemplazos de suelo o la aplicación para la cual sea necesario. Incluye el suministro y transporte interno y externo del material y todo lo necesario para su correcta instalación según diseño y especificaciones de la interventoría. Su medida será en sitio</t>
    </r>
    <r>
      <rPr>
        <b/>
        <sz val="11"/>
        <rFont val="Swis721 LtCn BT"/>
        <family val="2"/>
      </rPr>
      <t>.</t>
    </r>
  </si>
  <si>
    <t>8.7</t>
  </si>
  <si>
    <r>
      <t>Suministro, transporte e instalación de  tubería PVC Corrugada</t>
    </r>
    <r>
      <rPr>
        <sz val="11"/>
        <rFont val="Arial"/>
        <family val="2"/>
      </rPr>
      <t xml:space="preserve"> Agricola, tipo Pavco o similar, con un diámetro de 65 mm- 2.1/2",  para drenajes (filtro). Incluyen las respectivas conexiones y accesorios y todo lo necesario para su correcta instalación y funcionamiento.</t>
    </r>
  </si>
  <si>
    <t>8.8</t>
  </si>
  <si>
    <r>
      <t>Suministro, transporte e instalación de macromedidor tipo turbina de diametro 1 1/2".</t>
    </r>
    <r>
      <rPr>
        <sz val="11"/>
        <rFont val="Arial"/>
        <family val="2"/>
      </rPr>
      <t xml:space="preserve"> De acuerdo a norma EPM según especificacion 708. Incluye: niples brida - brida, niples brida - liso, válvulas de compuerta sello elastico de vástogo ascendente en HD, válvula de admisión de aire camara sencilla en HD roscada, filtro en YEE en HD extremo brida - brida, Uniones universales tipo Dresser y los demas elementos que describe la norma citada para su correcta instalación y funcionamiento.</t>
    </r>
  </si>
  <si>
    <t>8.9</t>
  </si>
  <si>
    <r>
      <t xml:space="preserve">Suministro, transporte e instalación de macromedidor tipo turbina de diametro  3". </t>
    </r>
    <r>
      <rPr>
        <sz val="11"/>
        <rFont val="Arial"/>
        <family val="2"/>
      </rPr>
      <t>De acuerdo a norma EPM según especificacion 708. Incluye: niples brida - brida, niples brida - liso, válvulas de compuerta sello elastico de vástogo ascendente en HD, válvula de admisión de aire camara sencilla en HD roscada, filtro en YEE en HD extremo brida - brida, Uniones universales tipo Dresser y los demas elementos que describe la norma citada para su correcta instalación y funcionamiento.</t>
    </r>
  </si>
  <si>
    <t>8.10</t>
  </si>
  <si>
    <r>
      <t xml:space="preserve">Construcción de caja para medidor de red de acueducto. </t>
    </r>
    <r>
      <rPr>
        <sz val="11"/>
        <rFont val="Arial"/>
        <family val="2"/>
      </rPr>
      <t>De acuerdo a norma EPM según especificacion 710, en bloque estructural. Para medidor de 1 1/2</t>
    </r>
    <r>
      <rPr>
        <b/>
        <sz val="11"/>
        <rFont val="Arial"/>
        <family val="2"/>
      </rPr>
      <t>"</t>
    </r>
  </si>
  <si>
    <t>8.11</t>
  </si>
  <si>
    <r>
      <t>Construcción de caja para medidor de red de acueducto.</t>
    </r>
    <r>
      <rPr>
        <sz val="11"/>
        <rFont val="Arial"/>
        <family val="2"/>
      </rPr>
      <t xml:space="preserve"> De acuerdo a norma EPM según especificacion 710, en bloque estructural. Para medidor de 3"</t>
    </r>
  </si>
  <si>
    <t>8.12</t>
  </si>
  <si>
    <r>
      <t>Suministro, transporte e instalacion de válvula de bola de 3/4",</t>
    </r>
    <r>
      <rPr>
        <sz val="11"/>
        <rFont val="Arial"/>
        <family val="2"/>
      </rPr>
      <t xml:space="preserve"> industrial tipo pesado, paso total, cuerpo en latón, mango de acero plastificado; incluyen los accesorios de instalacion.</t>
    </r>
  </si>
  <si>
    <t>8.13</t>
  </si>
  <si>
    <r>
      <t xml:space="preserve">Suministro, transporte e instalación de válvula de bola de 1/2" </t>
    </r>
    <r>
      <rPr>
        <sz val="11"/>
        <rFont val="Arial"/>
        <family val="2"/>
      </rPr>
      <t>industrial tipo pesado, paso total, cuerpo en latón, mango de acero plastificado; incluyen los accesorios de instalacion.</t>
    </r>
  </si>
  <si>
    <t>OBRAS VARIAS</t>
  </si>
  <si>
    <t>9.1</t>
  </si>
  <si>
    <r>
      <rPr>
        <b/>
        <sz val="11"/>
        <rFont val="Swis721 LtCn BT"/>
        <family val="2"/>
      </rPr>
      <t>Construcción de CUNETA</t>
    </r>
    <r>
      <rPr>
        <sz val="11"/>
        <rFont val="Swis721 LtCn BT"/>
        <family val="2"/>
      </rPr>
      <t xml:space="preserve"> Según la Existente,</t>
    </r>
    <r>
      <rPr>
        <i/>
        <sz val="11"/>
        <rFont val="Swis721 LtCn BT"/>
        <family val="2"/>
      </rPr>
      <t xml:space="preserve"> en concreto de 21 Mpa, con un DESARROLLO DE hasta 0.70 cm y un ESPESOR DE 10 cm. Incluye entresuelo de 15 cm en piedra de 2" a 4" y 5 cm en arenilla y todos los demás elementos necesarios para su correcta construcción.Suministro, transporte e instalación de ACERO DE REFUERZO FIGURADO FY= 420 Mpa-60000 PSI, corrugado, alambre de amarrar</t>
    </r>
  </si>
  <si>
    <t>ml</t>
  </si>
  <si>
    <r>
      <rPr>
        <b/>
        <sz val="11"/>
        <rFont val="Swis721 LtCn BT"/>
        <family val="2"/>
      </rPr>
      <t>Construcción de MAMPOSTERÍA EN LADRILLO PARA REVOCAR O ENCHAPAR</t>
    </r>
    <r>
      <rPr>
        <sz val="11"/>
        <rFont val="Swis721 LtCn BT"/>
        <family val="2"/>
      </rPr>
      <t xml:space="preserve"> </t>
    </r>
    <r>
      <rPr>
        <i/>
        <sz val="11"/>
        <rFont val="Swis721 LtCn BT"/>
        <family val="2"/>
      </rPr>
      <t>una cara o dos caras, DE 15 x 20 x 40 cm. ESPESOR DE 15 cm. Incluye el suministro y transporte del ladrillo, el mortero de pega 1:4 espesor max=0.02 m y todos los demás elementos necesarios para su correcta construcción y funcionamiento.</t>
    </r>
  </si>
  <si>
    <r>
      <rPr>
        <b/>
        <sz val="11"/>
        <rFont val="Swis721 LtCn BT"/>
        <family val="2"/>
      </rPr>
      <t>Suministro, transporte y aplicación de ácido nítrico e hidrosolve</t>
    </r>
    <r>
      <rPr>
        <sz val="11"/>
        <rFont val="Swis721 LtCn BT"/>
        <family val="2"/>
      </rPr>
      <t xml:space="preserve"> proporción 1:1:5 para lavada de estructuras de concreto a la vista en fachadas, con todos los elementos necesarios para su correcta instalación y funcionamiento. andamios multidireccionales certificados,Solo donde lo indique la interventoría</t>
    </r>
  </si>
  <si>
    <r>
      <rPr>
        <b/>
        <sz val="11"/>
        <rFont val="Swis721 LtCn BT"/>
        <family val="2"/>
      </rPr>
      <t>Suministro, transporte y aplicación de hidrófugo impermeabilizante</t>
    </r>
    <r>
      <rPr>
        <sz val="11"/>
        <rFont val="Swis721 LtCn BT"/>
        <family val="2"/>
      </rPr>
      <t xml:space="preserve"> del tipo siliconite (Sika transparente o equivalente) o equivalente para estructuras de concreto a la vista en fachadas, gran durabilidad (10 años) con todos los elementos necesarios para su correcta instalación y funcionamiento. andamios multidireccionales certificados, Solo donde lo indique la interventoría</t>
    </r>
  </si>
  <si>
    <r>
      <rPr>
        <b/>
        <sz val="11"/>
        <rFont val="Swis721 LtCn BT"/>
        <family val="2"/>
      </rPr>
      <t>Colocación de REVOQUE con mortero 1:4 IMPERMEABILIZADO</t>
    </r>
    <r>
      <rPr>
        <sz val="11"/>
        <rFont val="Swis721 LtCn BT"/>
        <family val="2"/>
      </rPr>
      <t xml:space="preserve"> con Sika 1 o equivalente, EN MUROS. Incluye, pelada y/o picada de revoque existente hasta obtener superficie adcuada para la adherencia, del nuevo revoque, suministro y transporte de los materiales, fajas, ranuras, filetes, y todos los demás elementos necesarios para su correcta construcción.</t>
    </r>
  </si>
  <si>
    <r>
      <t xml:space="preserve">Construcción de cajas de registro de 60 x 60 x altura hasta 100 cm. en concreto de 21Mpa. </t>
    </r>
    <r>
      <rPr>
        <sz val="11"/>
        <rFont val="Swis721 LtCn BT"/>
        <family val="2"/>
      </rPr>
      <t>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se pagarán en su ítem respectivo.</t>
    </r>
  </si>
  <si>
    <t>10</t>
  </si>
  <si>
    <t>INSTALACIONES ELÉCTRICAS</t>
  </si>
  <si>
    <t>10.1</t>
  </si>
  <si>
    <t>Interruptor automático (breaker) bipolar enchufable 2x15,2x20,2x30, A, Icc&gt;10 kA, 220 V. Incluye cintas y anillos de marcación</t>
  </si>
  <si>
    <t>10.2</t>
  </si>
  <si>
    <t>Cable encauchetado libre de halógeno y retardante en llama 3x10AWG  HFFR/LSHF  600V 75°C apto para uso en bandejas portacables. Incluye: Conetores, terminales, elementos de fijación y marcación.</t>
  </si>
  <si>
    <t>10.3</t>
  </si>
  <si>
    <t xml:space="preserve">Salida eléctrica para toma corriente con polo a tierra color blanco NEMA 6-20R, 250V, 20A en canaleta metálica. Incluye: 1m de cable de cobre 3xN°10 AWG LSHF, tapa troquelada para canaleta 12cmx5cm con troquel universal, aparato con tapa, conectores tipo resorte, accesorios de fijación y demás elementos para su correcta instalación.  NO Incluye canaleta. </t>
  </si>
  <si>
    <t>10.4</t>
  </si>
  <si>
    <t xml:space="preserve">Troquel sencillo universal para canaleta metalica 12cmx5cm. Incluye: tapa troquelada para canaleta 12cmx5cm con troquel universal, accesorios de fijación y demás elementos para su correcta instalación.  NO Incluye canaleta. </t>
  </si>
  <si>
    <t>10.5</t>
  </si>
  <si>
    <t>Coraza metálica flexible 3/4". Incluye: Conectores rectos y curvos, y demas elementos para su correcto funcionamiento y sujeción(grapas, tornillos, correas, etc).</t>
  </si>
  <si>
    <t>10.6</t>
  </si>
  <si>
    <t>Canaleta metálica de 12x5cm con división central (con doblez),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</si>
  <si>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TOTAL COSTO DIRECTO</t>
  </si>
  <si>
    <t>CHEQUEO POR COSTO DIRECTO</t>
  </si>
  <si>
    <t>ANALISIS DETALLADO ADMINISTRACIÓN</t>
  </si>
  <si>
    <t>ÍTEM</t>
  </si>
  <si>
    <t>DESCRIPCIÓN</t>
  </si>
  <si>
    <t>%DEDICACIÓN MENSUAL</t>
  </si>
  <si>
    <t xml:space="preserve">DURACIÓN (meses) </t>
  </si>
  <si>
    <t>1.1.4</t>
  </si>
  <si>
    <r>
      <rPr>
        <b/>
        <sz val="9"/>
        <rFont val="Swis721 LtCn BT"/>
        <family val="2"/>
      </rPr>
      <t xml:space="preserve">Tecnología en seguridad e higiene ocupacional o afínes </t>
    </r>
    <r>
      <rPr>
        <sz val="9"/>
        <rFont val="Swis721 LtCn BT"/>
        <family val="2"/>
      </rPr>
      <t xml:space="preserve">
</t>
    </r>
    <r>
      <rPr>
        <u/>
        <sz val="9"/>
        <rFont val="Swis721 LtCn BT"/>
        <family val="2"/>
      </rPr>
      <t/>
    </r>
  </si>
  <si>
    <t>Inversión ambiental</t>
  </si>
  <si>
    <t>Implementación de sistema de gestión de seguridad y salud en el trabajo e inversión ambiental (Incluye valla informativa del proyecto)</t>
  </si>
  <si>
    <t>Personal administrativo</t>
  </si>
  <si>
    <t>4.1.3</t>
  </si>
  <si>
    <t>Conductor</t>
  </si>
  <si>
    <t>Papeleria y fotocopias</t>
  </si>
  <si>
    <t>Computadores y software</t>
  </si>
  <si>
    <t>CHEQUEO POR SALARIOS</t>
  </si>
  <si>
    <t>GUSTAVO ADOLFO CARMONA ALARCON</t>
  </si>
  <si>
    <t>VERTICES INGENIERIA</t>
  </si>
  <si>
    <t>INGENIERIA DE ALTURA S.A.S</t>
  </si>
  <si>
    <t>URBANICO S.A.S</t>
  </si>
  <si>
    <t>LUIS ENRIQUE OYOLA QUINTERO</t>
  </si>
  <si>
    <t>INGAP S.A.S</t>
  </si>
  <si>
    <t>GUSTAVO ENRIQUE CARDONA VERGARA</t>
  </si>
  <si>
    <t>ASESORES EMPRESARIALES Y CONSTRUCTORES S.A.S</t>
  </si>
  <si>
    <t>DANIEL JOSE NIEVES VERGARA</t>
  </si>
  <si>
    <t>BETEL INGENIEROS S.A.S</t>
  </si>
  <si>
    <t xml:space="preserve">CIERRE: 21/05/2019
HORA: 10:00 A.M </t>
  </si>
  <si>
    <t>NA</t>
  </si>
  <si>
    <t>Entrega CD y propuesta física (una unidad)</t>
  </si>
  <si>
    <t>900.165.937-9</t>
  </si>
  <si>
    <t>NICOLAS GIRALDO BEDOYA</t>
  </si>
  <si>
    <t>900.615.667-7</t>
  </si>
  <si>
    <t>MIRIAM DEL SOCORRO MUNERA ORTEGA</t>
  </si>
  <si>
    <t>900.066.226-6</t>
  </si>
  <si>
    <t>JOHN ALBERTO CALLE GALLEGO</t>
  </si>
  <si>
    <t>Entrega CD y propuesta física (dos unidades)</t>
  </si>
  <si>
    <t>811.047.188-0</t>
  </si>
  <si>
    <t>MARIA YORLENY PALACIO LOPERA</t>
  </si>
  <si>
    <t>825.002.360-9</t>
  </si>
  <si>
    <t>ALEXANDER AREVALO MUÑOZ</t>
  </si>
  <si>
    <t>900.674.636-0</t>
  </si>
  <si>
    <t>JOHN JAIRO GARCIA ARCILA</t>
  </si>
  <si>
    <t>Resúmen: se recibieron 10 propuestas. EQUIPO TÉCNICO DE EVALUACIÓN
DIVISIÓN DE INFRAESTRUCTURA FÍSICA</t>
  </si>
  <si>
    <t>4600055640 de 2014</t>
  </si>
  <si>
    <t>293 de 2014</t>
  </si>
  <si>
    <t>Bienestar 2016-0920</t>
  </si>
  <si>
    <t>Municipio de Medellín</t>
  </si>
  <si>
    <t>Gobernación de Antioquia VIVA</t>
  </si>
  <si>
    <t>Fundación UdeA</t>
  </si>
  <si>
    <t>I</t>
  </si>
  <si>
    <t>721015, 721029, 721033, 721211, 721214</t>
  </si>
  <si>
    <t>721015, 721029, 721033, 721214</t>
  </si>
  <si>
    <t>Presenta error en el anexo 4 en el numero de SMMLV, por lo anterior se corrige en este formulario.</t>
  </si>
  <si>
    <t>Municipio de Medellín - Secretaria de Educación</t>
  </si>
  <si>
    <t>1055 de 2014</t>
  </si>
  <si>
    <t>47 de 2014</t>
  </si>
  <si>
    <t>48 de 2014</t>
  </si>
  <si>
    <t>065-DISAN-ARC-2016</t>
  </si>
  <si>
    <t>194 DE 2016</t>
  </si>
  <si>
    <t>Sena Regional Quindio</t>
  </si>
  <si>
    <t>Instituto Nacional de Salud</t>
  </si>
  <si>
    <t>C</t>
  </si>
  <si>
    <t>Instituto de Infraestructura y Concesiones de Cundinamarca</t>
  </si>
  <si>
    <t>Dirección de Sanidad Militar</t>
  </si>
  <si>
    <t>Es de aclarar que los documentos solicitados por la UdeA para soportar la experiencia, son el RUP y las actas de liquidación; Verificado el certificado para acreditar el 40% del porcentaje de participación dentro del consorcio, el documento de constitución consorcial no corresponde al objeto.</t>
  </si>
  <si>
    <t>10-6-10011-16</t>
  </si>
  <si>
    <t>Policia Nacional Metropolitana de Bogotá</t>
  </si>
  <si>
    <t>Gobernación de Antioquia</t>
  </si>
  <si>
    <t>016 de 2009</t>
  </si>
  <si>
    <t>Empresas Públicas de la Ceja E.S.P</t>
  </si>
  <si>
    <t>UT</t>
  </si>
  <si>
    <t>026-2012</t>
  </si>
  <si>
    <t>CORNARE</t>
  </si>
  <si>
    <t>2015-OO-13-0001</t>
  </si>
  <si>
    <t>Secretaria de Cultura Ciudadana Municipio de Medellín</t>
  </si>
  <si>
    <t>140 de 2015</t>
  </si>
  <si>
    <t>Distriseguridad</t>
  </si>
  <si>
    <t>721015, 721029, 721033,  721214</t>
  </si>
  <si>
    <t>2013-00-18-0002</t>
  </si>
  <si>
    <t>2013-00-18-0001</t>
  </si>
  <si>
    <t>COP013-2017</t>
  </si>
  <si>
    <t>SIF-LP-OP-001-2017</t>
  </si>
  <si>
    <t>Municipio de Anorí</t>
  </si>
  <si>
    <t>Municipio de Amalfi</t>
  </si>
  <si>
    <t>721015, 721214</t>
  </si>
  <si>
    <t>De acuerdo a lo definido en los términos de referencia del proceso, la experiencia  debe acreditarse en los ultimos 5 años, de acuerdo al certificado la fecha de terminación y liquidación supera los 5 años requeridos.</t>
  </si>
  <si>
    <t>219-ARC-DIABA-2012</t>
  </si>
  <si>
    <t>310-ARC-DIABA-2012</t>
  </si>
  <si>
    <t>209-ARC-DIABA-2014</t>
  </si>
  <si>
    <t>MECARSAMC No.72-6-10047</t>
  </si>
  <si>
    <t>Armada Nacional</t>
  </si>
  <si>
    <t>Policia Metropolitana de Cartagena</t>
  </si>
  <si>
    <t>Dirección abastecimiento Armada</t>
  </si>
  <si>
    <t>013 DE 2013</t>
  </si>
  <si>
    <t>014 DE 2014</t>
  </si>
  <si>
    <t>001 DE 2015</t>
  </si>
  <si>
    <t>Universidad de la Guajira</t>
  </si>
  <si>
    <t>SENA</t>
  </si>
  <si>
    <t>721015, 721029,  721214</t>
  </si>
  <si>
    <t>721015, 721033,  721214</t>
  </si>
  <si>
    <t>0555-2014</t>
  </si>
  <si>
    <t>MP-OP-004-2013</t>
  </si>
  <si>
    <t>MP-OP-004-2014</t>
  </si>
  <si>
    <t>00-0154-2018</t>
  </si>
  <si>
    <t>Municipio de Purisima- Cordoba</t>
  </si>
  <si>
    <t>Municipio de San Antero-Cordoba</t>
  </si>
  <si>
    <t>DIAN de Santa Marta</t>
  </si>
  <si>
    <t>721015, 721029,  721214, 721211</t>
  </si>
  <si>
    <t>Orden Religiosa de las Escuelas Pias</t>
  </si>
  <si>
    <t>721015,  721033,721214</t>
  </si>
  <si>
    <t>Carlos Andres Acevedo Escobar</t>
  </si>
  <si>
    <t>Universidad Cooperativa de Colombia</t>
  </si>
  <si>
    <t>721015, 721029, 721033, 721211</t>
  </si>
  <si>
    <t>H</t>
  </si>
  <si>
    <t>NH</t>
  </si>
  <si>
    <t>Suministro e Instalación de CERRAMIENTO PROVISIONAL en Sarán verde, o similar con una altura de 2,1 m. y estructura en larguero de madera común de 1" x 2", cada 1.5 m. Incluye suministro, transporte, instalación y desmonte, excavación manual en cualquier material y todos los demás elementos necesarios para su correcta instalación.</t>
  </si>
  <si>
    <r>
      <rPr>
        <b/>
        <sz val="11"/>
        <rFont val="Swis721 Cn BT"/>
        <family val="2"/>
      </rPr>
      <t>EXCAVACIÓN MANUAL de material heterogéneo DE 0-2 m</t>
    </r>
    <r>
      <rPr>
        <sz val="11"/>
        <rFont val="Swis721 Cn BT"/>
        <family val="2"/>
      </rPr>
      <t>., bajo cualquier grado de humedad. Incluye: roca descompuesta, bolas de roca de volumen inferior a 0.35 m³., incluye cargue y transporte interno y su medida será en el sitio.  INCLUYE BOTADERO. No incluye entibado.</t>
    </r>
  </si>
  <si>
    <r>
      <rPr>
        <b/>
        <sz val="11"/>
        <rFont val="Swis721 Cn BT"/>
        <family val="2"/>
      </rPr>
      <t>DESMONTAR TEJA EXISTENTE, con recuperación</t>
    </r>
    <r>
      <rPr>
        <sz val="11"/>
        <rFont val="Swis721 Cn BT"/>
        <family val="2"/>
      </rPr>
      <t>, incluye: levantar teja existente, retiro de manto de impermeabilización, ubicación adecuada de la teja durante el tiempo que se ejecute la actividad, aseo y limpieza general del techo,  herramienta y equipo necesario para realizar la actividad, Incluye: andamios multidireccionales certificados, empaque en costales, transporte horizontal y vertical, de material sobrante, desde el lugar de intervención hasta el acopio de la universidad y todo lo necesario para su correcta ejecución.</t>
    </r>
  </si>
  <si>
    <r>
      <rPr>
        <b/>
        <sz val="11"/>
        <rFont val="Swis721 Cn BT"/>
        <family val="2"/>
      </rPr>
      <t>DEMOLICIÓN MAMPOSTERÍA</t>
    </r>
    <r>
      <rPr>
        <sz val="11"/>
        <rFont val="Swis721 Cn BT"/>
        <family val="2"/>
      </rPr>
      <t xml:space="preserve"> en bloque de concreto ó ladrillo de 10 a 20 cm de espesor, incluye, demolición de CALADOS, revoques y enchapes, instalaciones embebidas, dinteles, sillares, vigas y columnetas en concreto que se encuentren en el muro a demoler, Tambien incluye recuperación de los materiales aprovechables o su transporte hasta el sitio que lo indique la interventoría; se debe de utilizar cortadora para garantizar que los filetes de la demolición queden ortogonales.Incluye desmonte de ventana existente.</t>
    </r>
  </si>
  <si>
    <r>
      <t xml:space="preserve">DEMOLICIÓN de  CUNETAS en concreto, </t>
    </r>
    <r>
      <rPr>
        <sz val="11"/>
        <rFont val="Swis721 Cn BT"/>
        <family val="2"/>
      </rPr>
      <t>cargue, transporte y botada de escombros,en botaderos oficiales, manual o mecánicamente, desarrollo máximo de 0.70m, y un espesor hasta 0.15m. Incluye compresor neumático con martillo, retiro de refuerzo e instalaciones embebidas. Además recuperación de los materiales aprovechables o su transporte hasta el sitio que lo indique la interventoría.</t>
    </r>
  </si>
  <si>
    <r>
      <rPr>
        <b/>
        <sz val="11"/>
        <rFont val="Swis721 Cn BT"/>
        <family val="2"/>
      </rPr>
      <t>DEMOLICIÓN ANDENES, PISOS EN CONCRETO, O CAPA ASFÁLTICA CON DESGASTE.</t>
    </r>
    <r>
      <rPr>
        <sz val="11"/>
        <rFont val="Swis721 Cn BT"/>
        <family val="2"/>
      </rPr>
      <t xml:space="preserve"> cargue, transporte y botada de escombros de ESPESOR MÁXIMO DE 0.25m. Incluye retiro de cordones, retiro de enchape (baldosa, baldosín forros en arenón, madera, vinilo, granito esmerilado, concreto, pisos en gres, entre otros), placa de concreto si existe, entresuelo de recebo; retiro y reinstalación de tapas de medidores de acueducto cualquier diámetro, tapas de energía y tapas cajas de teléfono. Incluye  recuperación de los materiales aprovechables, transporte, carque y botada,o hasta el sitio que lo indique la interventoría.</t>
    </r>
  </si>
  <si>
    <r>
      <rPr>
        <b/>
        <sz val="11"/>
        <rFont val="Swis721 Cn BT"/>
        <family val="2"/>
      </rPr>
      <t>Desmonte y retiro de cielo falso en DryWall y/o Superboard</t>
    </r>
    <r>
      <rPr>
        <sz val="11"/>
        <rFont val="Swis721 Cn BT"/>
        <family val="2"/>
      </rPr>
      <t xml:space="preserve"> en zona de circulación y/o espacios interiores. Incluye: andamios multidireccionales certificados,  desmonte de placa existente y su estructura cuando se requiera, el transporte vertical y horizontal, cargue del material hasta el lugar de acopio, herramienta, equipo y todos los elementos necesarios para la ejecución de los trabajos.</t>
    </r>
  </si>
  <si>
    <r>
      <rPr>
        <b/>
        <sz val="11"/>
        <rFont val="Swis721 Cn BT"/>
        <family val="2"/>
      </rPr>
      <t>Cargue y botada de tierra y/o escombros</t>
    </r>
    <r>
      <rPr>
        <sz val="11"/>
        <rFont val="Swis721 Cn BT"/>
        <family val="2"/>
      </rPr>
      <t xml:space="preserve">, en sitios debidamente certificados por la autoridad ambiental competente, incluye: Transporte tanto vertical como horizontal, aseo general, señalizacion con balizas reflectivas, cinta de seguridad y ayudantes que cuenten con el pago de prestaciones sociales al día .                                                                                                    </t>
    </r>
    <r>
      <rPr>
        <b/>
        <sz val="11"/>
        <rFont val="Swis721 Cn BT"/>
        <family val="2"/>
      </rPr>
      <t>Nota: Éste ítem aplica para actividades o ítem, que no contemplen dicha descripción.</t>
    </r>
  </si>
  <si>
    <r>
      <rPr>
        <b/>
        <sz val="11"/>
        <rFont val="Swis721 Cn BT"/>
        <family val="2"/>
      </rPr>
      <t>LLENOS EN MATERIAL PROVENIENTES DE LA EXCAVACIÓN</t>
    </r>
    <r>
      <rPr>
        <sz val="11"/>
        <rFont val="Swis721 Cn BT"/>
        <family val="2"/>
      </rPr>
      <t>, compactados, manual, o mecánicamente hasta obtener una densidad del 90% de la máxima obtenida en el ensayo del próctor modificado. Y un espesor de 15cms para zonas peatonales y 20 cms para zonas vehiculares, Incluye transporte interno. Su medida será en sitio ya compactado</t>
    </r>
  </si>
  <si>
    <r>
      <rPr>
        <b/>
        <sz val="11"/>
        <rFont val="Swis721 Cn BT"/>
        <family val="2"/>
      </rPr>
      <t>Suministro, transporte y colocación de Sub base granular</t>
    </r>
    <r>
      <rPr>
        <sz val="11"/>
        <rFont val="Swis721 Cn BT"/>
        <family val="2"/>
      </rPr>
      <t xml:space="preserve"> de máximo Ø 1½", reacomodado con medios mecánicos y compactado al 90% mínimo del ensayo del proctor modificado, según normas para la construcción de pavimentos del INVIAS, con un espesor minimo de 15cms para zonas peatonales y 20 cms para zonas vehiculares, o lo que indiquen los diseños cuando existan. y todo lo necesario para su correcta construcción y funcionamiento. Su medida será tomada en sitio ya compactado.</t>
    </r>
  </si>
  <si>
    <r>
      <t xml:space="preserve">Suministro Transporte y colocación de manto 3mm de espesor </t>
    </r>
    <r>
      <rPr>
        <sz val="11"/>
        <rFont val="Swis721 Cn BT"/>
        <family val="2"/>
      </rPr>
      <t xml:space="preserve"> a base de asfaltos modificados  (polímeros y elastómeros),  reforzado con fibras de poliéster para cubiertas en teja de barro, incluye: Retiro de manto existente,  Manto 3mm tipo fiberglass o similar, machihembrado, imprimación con emulsión asfáltica, herramienta y equipo necesario para realizar la actividad,  transporte vertical, transporte horizontal, andamios multidireccionales certificados, y todo lo necesario para su correcta instalación y funcionamiento. </t>
    </r>
  </si>
  <si>
    <r>
      <rPr>
        <b/>
        <sz val="11"/>
        <rFont val="Swis721 Cn BT"/>
        <family val="2"/>
      </rPr>
      <t>Suministro e instalación de teja nueva y posterior alineación</t>
    </r>
    <r>
      <rPr>
        <sz val="11"/>
        <rFont val="Swis721 Cn BT"/>
        <family val="2"/>
      </rPr>
      <t>, incluye: teja de barro maquinada,colocación de mortero 1:5,  andamios multidireccionales certificados, herramienta y equipo necesario para realizar la actividad,   transporte vertical, transporte horizontal y todo lo necesario para su correcta instalación y funcionamiento.</t>
    </r>
  </si>
  <si>
    <r>
      <rPr>
        <b/>
        <sz val="11"/>
        <rFont val="Swis721 Cn BT"/>
        <family val="2"/>
      </rPr>
      <t>Colocación de teja existente y posterior  alineación</t>
    </r>
    <r>
      <rPr>
        <sz val="11"/>
        <rFont val="Swis721 Cn BT"/>
        <family val="2"/>
      </rPr>
      <t>, .incluye: mortero 1:5, herramienta y equipo necesario para realizar la actividad, transporte vertical, transporte horizontal, andamios multidireccionales certificados,  y todo lo necesario para su correcta instalación y funcionamiento.</t>
    </r>
  </si>
  <si>
    <r>
      <rPr>
        <b/>
        <sz val="11"/>
        <rFont val="Swis721 Cn BT"/>
        <family val="2"/>
      </rPr>
      <t>Emboquillado de Aleros,Caballetes,y otros Incluye: Mortero 1:5,</t>
    </r>
    <r>
      <rPr>
        <sz val="11"/>
        <rFont val="Swis721 Cn BT"/>
        <family val="2"/>
      </rPr>
      <t xml:space="preserve"> aditivo impermeabilizante para mortero, andamios multidireccionales certificados, herramienta y equipo necesario para realizar la actividad, transporte vertical, transporte horizontal  y todos los elementos necesarios para su correcta instalación y funcionamiento.</t>
    </r>
  </si>
  <si>
    <r>
      <rPr>
        <b/>
        <sz val="11"/>
        <rFont val="Swis721 Cn BT"/>
        <family val="2"/>
      </rPr>
      <t>Suministro, RESANE,REPINTE Y APLICACIÓN de PINTURA A BASE DE AGUA EN MUROS Y CIELO, CON VINILO TIPO 1</t>
    </r>
    <r>
      <rPr>
        <sz val="11"/>
        <rFont val="Swis721 Cn BT"/>
        <family val="2"/>
      </rPr>
      <t xml:space="preserve"> ( Viniltex o equivalente),de primera calidad sobre muros y cielos,sobre ladrillo, concreto, revoque y/o estuco, tres manos o las necesarias hasta obtener una superficie pareja y homogénea. Incluye suministro y transporte de los materiales, resanes,algamasa,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andamios multidireccionales certificados, herramienta, equipo y todos los elementos necesarios para su correcta aplicación.</t>
    </r>
  </si>
  <si>
    <r>
      <rPr>
        <b/>
        <sz val="11"/>
        <rFont val="Swis721 Cn BT"/>
        <family val="2"/>
      </rPr>
      <t xml:space="preserve">RESANE Y REPINTE de PINTURA ACRÍLICA EN MUROS exteriores Y CIELO,(Tipo Koraza doble vida 10 años, o equivalente.) </t>
    </r>
    <r>
      <rPr>
        <sz val="11"/>
        <rFont val="Swis721 Cn BT"/>
        <family val="2"/>
      </rPr>
      <t>,de primera calidad sobre muros y cielos,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andamios multidireccionales certificados, herramienta, equipo y todos los elementos necesarios para su correcta aplicación.</t>
    </r>
  </si>
  <si>
    <r>
      <rPr>
        <b/>
        <sz val="11"/>
        <rFont val="Swis721 Cn BT"/>
        <family val="2"/>
      </rPr>
      <t>Suministro, resane y repinte de ESMALTE A BASE DE ACEITE,</t>
    </r>
    <r>
      <rPr>
        <sz val="11"/>
        <rFont val="Swis721 Cn BT"/>
        <family val="2"/>
      </rPr>
      <t xml:space="preserve"> sobre elementos metálicos, pasamanos ,puertas, canoas y los que indique la interventoría., anticorrosivo tipo  Washprimer. Dos manos o las necesarias hasta obtener una superficie pareja y homogénea. Incluye :andamios multidireccionales certificados,:suministro y transporte de los materiales, disolvente para pinturas a base de aceite, adecuación de la superficie a intervenir hasta obtener una superficie pareja y homogénea, color existente o definir según aprobación de la interventoría.las fajas se pagarán a mitad de precio.</t>
    </r>
  </si>
  <si>
    <r>
      <rPr>
        <b/>
        <sz val="11"/>
        <rFont val="Swis721 Cn BT"/>
        <family val="2"/>
      </rPr>
      <t>Aplicación de pintura transparente antigraffiti, Tipo Sherwin Williams o equivalente</t>
    </r>
    <r>
      <rPr>
        <sz val="11"/>
        <rFont val="Swis721 Cn BT"/>
        <family val="2"/>
      </rPr>
      <t>, sobre muros de concreto para protección antigrafiti, tres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andamios multidireccionales certificados. Se aplicará en zonas exteriores y de alcance directo al publico o donde indique la interventoría. Se deben seguir todas las especificaciones y recomendaciones del fabricante.</t>
    </r>
  </si>
  <si>
    <r>
      <rPr>
        <b/>
        <sz val="11"/>
        <rFont val="Swis721 Cn BT"/>
        <family val="2"/>
      </rPr>
      <t>Suministro, Resane y Repinte de PINTURA EPOXIPOLIAMIDA EN PISOS DE CONCRETO</t>
    </r>
    <r>
      <rPr>
        <sz val="11"/>
        <rFont val="Swis721 Cn BT"/>
        <family val="2"/>
      </rPr>
      <t xml:space="preserve"> (dos componentes) tipo Pintu-coat color gris de pintuco o equivalente, dos  manos o las necesarias para lograr una superficie pareja a satisfacción de la interventoría.Incluye movimiento, o boredeado de elementos que componen las instalaciones de la planta.</t>
    </r>
  </si>
  <si>
    <r>
      <t>Suministro, Resane y Repinte de Pintura en elementos de madera Puertas, ventanas, columnas techos (</t>
    </r>
    <r>
      <rPr>
        <sz val="11"/>
        <rFont val="Swis721 Cn BT"/>
        <family val="2"/>
      </rPr>
      <t>Alfardas, cargueras, caballetes, cerchas, tablilla, etc.) con Profilan color plus teca-nogal  o equivalente.Tres manos. Medida en plano inclinado del techo y sin considerar altura de cantos de los elementos en madera (alfardas, caballetes y cargueras), Incluye transportes internos tanto verticales como horizontales,andamios multidireccionales certificados.</t>
    </r>
  </si>
  <si>
    <r>
      <t>Suministro, Resane y Repinte de Pintura en elementos de madera Para Puente, tres manos.</t>
    </r>
    <r>
      <rPr>
        <sz val="11"/>
        <rFont val="Swis721 Cn BT"/>
        <family val="2"/>
      </rPr>
      <t>(columnas techo</t>
    </r>
    <r>
      <rPr>
        <b/>
        <sz val="11"/>
        <rFont val="Swis721 Cn BT"/>
        <family val="2"/>
      </rPr>
      <t xml:space="preserve"> </t>
    </r>
    <r>
      <rPr>
        <sz val="11"/>
        <rFont val="Swis721 Cn BT"/>
        <family val="2"/>
      </rPr>
      <t>Alfardas, cargueras, caballetes, cerchas, tablilla,pasamanosvigas, riostras y todos los elementos en madera que lo componen.) con Profilan color plus teca-nogal  o equivalente.Tres manos todas las caras y cantos de los elementos.Incluye la limpieza de la superficie antes de su aplicación. Medida en plano inclinado de los elementos y sin considerar altura de cantos de los elementos en madera (alfardas, caballetes y cargueras, etc.), Incluye transportes internos tanto verticales como horizontales, andamios multidireccionales certificados,Cada m2 se tomará de acuerdo a los elementos que contiene el área de este.</t>
    </r>
  </si>
  <si>
    <r>
      <rPr>
        <b/>
        <sz val="11"/>
        <rFont val="Swis721 Cn BT"/>
        <family val="2"/>
      </rPr>
      <t>Suministro y aplicación de: Pintura vitriflex base de agua, Semi-mate, tráfico Alto, dos componentes, para piso en madera</t>
    </r>
    <r>
      <rPr>
        <sz val="11"/>
        <rFont val="Swis721 Cn BT"/>
        <family val="2"/>
      </rPr>
      <t>, tres manos, se de entonar con color igual a la pintura existente de ser necesario, incluye todos los elementos necesarios para su correcta ejecucion y acabado, a satisfacción de la interventoría</t>
    </r>
  </si>
  <si>
    <r>
      <rPr>
        <b/>
        <sz val="11"/>
        <rFont val="Swis721 Cn BT"/>
        <family val="2"/>
      </rPr>
      <t>Colocación y Resanes de ESTUCO ACRÍLICO EXTERIOR PROFESIONAL, SOBRE MUROS y CIELOS REVOCADOS y/0 ESTUCADOS, Y PINTADOS</t>
    </r>
    <r>
      <rPr>
        <sz val="11"/>
        <rFont val="Swis721 Cn BT"/>
        <family val="2"/>
      </rPr>
      <t>, 3 manos mínimo, o las que sean necesarias para obtener una superficie pareja y homogénea. Incluye:andamios multidireccionales certificados, suministro y transporte de los materiales, ranuras, filetes, dilataciones y todos los elementos necesarios para su correcta aplicación y funcionamiento.</t>
    </r>
  </si>
  <si>
    <r>
      <t xml:space="preserve">Resane y repinte en esmalte de  poliuretano sobre escalas metálicas Bloque 3. Tipo Pintuco, o equivalente.3 manos </t>
    </r>
    <r>
      <rPr>
        <sz val="11"/>
        <rFont val="Swis721 Cn BT"/>
        <family val="2"/>
      </rPr>
      <t>Incluye lijada, y/o raspada, limpieza de la superficie, acondicionador de la superficie, andamios multidireccionales certificados, herramientas, equipo y todos los equipos necesarios para su correcta aplicación. Nota. La pintura se debe entonar hasta alcanzar el color existente o el color indicado por la interventoria, Los elementos con un desarrollo hasta de 0,5 m se pagaran por ml a mitad de precio</t>
    </r>
  </si>
  <si>
    <r>
      <t xml:space="preserve">Suministro, transporte y colocación de cielo falso en Dry Wall 1/2. </t>
    </r>
    <r>
      <rPr>
        <sz val="11"/>
        <rFont val="Swis721 Cn BT"/>
        <family val="2"/>
      </rPr>
      <t>Incluye, masillado, pintura 3 manos, perfilería de lámina galvanizada para soporte con distancia de 61 cm, chazos, cintas, ángulos, cortes, andamios multidireccionales certificados, canes y todo los demás elementos  necesario para su correcta instalación y funcionamiento.</t>
    </r>
  </si>
  <si>
    <r>
      <rPr>
        <b/>
        <sz val="11"/>
        <rFont val="Swis721 Cn BT"/>
        <family val="2"/>
      </rPr>
      <t>Colocación de PISO EN ADOQUÍN RECTANGULAR 10X20X8., COLOR GRIS.</t>
    </r>
    <r>
      <rPr>
        <sz val="11"/>
        <rFont val="Swis721 Cn BT"/>
        <family val="2"/>
      </rPr>
      <t xml:space="preserve"> Incluye suministro y transporte de los materiales, arena de pega para cama de 5 cms, arena de revoque de sello, cortes a máquina, compactación y todos los demás elementos necesarios para su correcta instalación. Según diseño y recomendaciones MEP.  El adoquín deberá resellarse por 2 veces con un lapso de 2 meses luego de su instalación y cumplir con la norma NTC 2017.</t>
    </r>
  </si>
  <si>
    <r>
      <rPr>
        <b/>
        <sz val="11"/>
        <rFont val="Swis721 Cn BT"/>
        <family val="2"/>
      </rPr>
      <t>Suministro, transporte y colocación de cordón prefabricado de 0.15 x 0.45 x 0.80 m.</t>
    </r>
    <r>
      <rPr>
        <sz val="11"/>
        <rFont val="Swis721 Cn BT"/>
        <family val="2"/>
      </rPr>
      <t xml:space="preserve"> de concreto de 21 Mpa, tres caras, juntas ranuradas, referencia Bordillo Barrera Recto </t>
    </r>
    <r>
      <rPr>
        <b/>
        <sz val="11"/>
        <rFont val="Swis721 Cn BT"/>
        <family val="2"/>
      </rPr>
      <t>Tipo U50 (según M.E.P)</t>
    </r>
    <r>
      <rPr>
        <sz val="11"/>
        <rFont val="Swis721 Cn BT"/>
        <family val="2"/>
      </rPr>
      <t>. Incluye excavación, conformación del terreno, ajustes de concreto o pavimento donde sea necesario, mortero 1:4  de asiento y pega en las longitudes más adecuadas para el desarrollo de la obra, y todo lo necesario para su correcta construcción y funcionamiento. Según diseño.</t>
    </r>
  </si>
  <si>
    <r>
      <rPr>
        <b/>
        <sz val="11"/>
        <rFont val="Swis721 Cn BT"/>
        <family val="2"/>
      </rPr>
      <t>Construcción de PISO EN MORTERO IMPERMEABILIZADO 1:5 de NIVELACIÓN</t>
    </r>
    <r>
      <rPr>
        <sz val="11"/>
        <rFont val="Swis721 Cn BT"/>
        <family val="2"/>
      </rPr>
      <t>, Pendientado, espesor promedio de 0.07m. Incluye suministro y transporte de los materiales y todo lo necesario para su correcta construcción, curado y funcionamiento.</t>
    </r>
  </si>
  <si>
    <r>
      <rPr>
        <b/>
        <sz val="11"/>
        <rFont val="Swis721 Cn BT"/>
        <family val="2"/>
      </rPr>
      <t>Construcción de ANDÉN en concreto de 21 Mpa. espesor de 0.10m pendientado.</t>
    </r>
    <r>
      <rPr>
        <sz val="11"/>
        <rFont val="Swis721 Cn BT"/>
        <family val="2"/>
      </rPr>
      <t xml:space="preserve"> con vaciado alternado cada metro. Incluye suministro y transporte de los materiales, nivelación del terreno y adecuación de la superficie, acabado escobillado y llaneado 0.10m en los bordes, malla electrosoldada D-84,  curado y todo lo necesario para su correcta construcción y funcionamiento. Según diseño. Las excavaciones o descapotes se pagarán en su ítem respectivo.</t>
    </r>
  </si>
  <si>
    <r>
      <t>Cambio de tabilla</t>
    </r>
    <r>
      <rPr>
        <sz val="11"/>
        <rFont val="Swis721 Cn BT"/>
        <family val="2"/>
      </rPr>
      <t xml:space="preserve"> incluye retiro, suministro, transporte e instalación de  tablilla del tipo aserrada en pino pátula inmunizada al vacío presión  o por el proceso Bethell o Célula Llena de dimensiones (1.0 cms de espesor y 8 cms de ancho) La pintura se paga aparte. Incluye: andamios multidireccionales certificados, herramienta y equipo necesario para realizar la actividad,  transporte horizontal, transporte vertical  y todo lo necesario para su correcta ejecución.</t>
    </r>
  </si>
  <si>
    <r>
      <rPr>
        <b/>
        <sz val="11"/>
        <rFont val="Swis721 Cn BT"/>
        <family val="2"/>
      </rPr>
      <t>Suministro, transporte e instalación de canoa metálica en U, con traslapo al manto de minimo 30 cms,</t>
    </r>
    <r>
      <rPr>
        <sz val="11"/>
        <rFont val="Swis721 Cn BT"/>
        <family val="2"/>
      </rPr>
      <t xml:space="preserve"> incluye: Retiro del tramo de canoa a reemplazar, suministro de canoas calibre 20 + embudos, pintadas con anticorrosivo epoxi poliamida y esmalte, aplicación de acondicionador para mejorar la adherencia tipo Wash Primer o equivalente, incluye gancho externo e interno con hasta 1,00 m de desarrollo,  transporte horizontal, transporte vertical,  andamios multidireccionales certificados, sello con material elástico tipo poliuretano, herramienta y equipo necesario para realizar la actividad y todos los elementos necesarios para su correcta instalación y funcionamiento. Los tramos de canoa instalados, deben quedar perfectamente soldados y alineados.</t>
    </r>
  </si>
  <si>
    <r>
      <rPr>
        <b/>
        <sz val="11"/>
        <rFont val="Swis721 Cn BT"/>
        <family val="2"/>
      </rPr>
      <t>Suministro, transporte e instalación de canoa Central metálica en U, con traslapo al manto de minimo 20 cms,</t>
    </r>
    <r>
      <rPr>
        <sz val="11"/>
        <rFont val="Swis721 Cn BT"/>
        <family val="2"/>
      </rPr>
      <t xml:space="preserve"> incluye: Retiro de los tramo de canoa a reemplazar, suministro de canoa calibre 20 + embudos,con 1,40 m de desarrollo,  pintada con anticorrosivo epoxi poliamida y esmalte, aplicación de acondicionador para mejorar la adherencia tipo Wash Primer o equivalente, incluye gancho externo e interno ,  transporte horizontal, transporte vertical, andamios multidireccionales certificados, sello con material elástico tipo poliuretano, herramienta y equipo necesario para realizar la actividad y todos los elementos necesarios para su correcta instalación y funcionamiento. Los tramos de canoa instalados, deben quedar perfectamente soldados y alineados.</t>
    </r>
  </si>
  <si>
    <r>
      <rPr>
        <b/>
        <sz val="11"/>
        <rFont val="Swis721 Cn BT"/>
        <family val="2"/>
      </rPr>
      <t>Suministro, transporte e instalación de TUBERÍA PVC-SANITARIA, con un DIÁMETRO DE 4"</t>
    </r>
    <r>
      <rPr>
        <sz val="11"/>
        <rFont val="Swis721 Cn BT"/>
        <family val="2"/>
      </rPr>
      <t>,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r>
  </si>
  <si>
    <r>
      <rPr>
        <b/>
        <sz val="11"/>
        <rFont val="Swis721 Cn BT"/>
        <family val="2"/>
      </rPr>
      <t>Suministro, transporte e instalación de TUBERÍA PVC-SANITARIA, con un DIÁMETRO DE 3"</t>
    </r>
    <r>
      <rPr>
        <sz val="11"/>
        <rFont val="Swis721 Cn BT"/>
        <family val="2"/>
      </rPr>
      <t>,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r>
  </si>
  <si>
    <r>
      <rPr>
        <b/>
        <sz val="11"/>
        <rFont val="Swis721 Cn BT"/>
        <family val="2"/>
      </rPr>
      <t>Suministro, transporte e instalación de Kit silla Yee de 250 x 160</t>
    </r>
    <r>
      <rPr>
        <sz val="11"/>
        <rFont val="Swis721 Cn BT"/>
        <family val="2"/>
      </rPr>
      <t>. EMPALME A RED NOVAFORT DE 250mm A 4". Incluye todos los elementos necesarios para su correcta instalación y funcionamiento.</t>
    </r>
  </si>
  <si>
    <r>
      <t>Suministro, transporte e Instalación de Trampa de Grasas en polietileno de 200 a 250 Litros. Tipo Colempaques o Equivalente.</t>
    </r>
    <r>
      <rPr>
        <sz val="11"/>
        <rFont val="Swis721 Cn BT"/>
        <family val="2"/>
      </rPr>
      <t>Incluye,accesorios, empalmes, y  todos los elementos necesarios para su correcta instalación y funcionamiento.las excavaciones y llenos se pagarán en sus items correspondientes</t>
    </r>
  </si>
  <si>
    <r>
      <t xml:space="preserve">Suministro, transporte e instalación de Sistema Séptico Integrado Cilíndrico Horizontal de 3.000 litros, en polietileno de alta resistencia y caja de distribucuón de 40 litros. </t>
    </r>
    <r>
      <rPr>
        <sz val="11"/>
        <rFont val="Swis721 Cn BT"/>
        <family val="2"/>
      </rPr>
      <t>Incluye accesorios, empalmes, y  todos los elementos necesarios para su correcta instalación y funcionamiento. las excavaciones y llenos se pagarán en sus items correspondientes</t>
    </r>
  </si>
  <si>
    <r>
      <t xml:space="preserve">Colocación de MATERIAL GRANULAR limpio de 3/4" a 1"(Triturado) </t>
    </r>
    <r>
      <rPr>
        <sz val="11"/>
        <rFont val="Swis721 Cn BT"/>
        <family val="2"/>
      </rPr>
      <t>para filtros, camas de triturado, reemplazos de suelo o la aplicación para la cual sea necesario. Incluye el suministro y transporte interno y externo del material y todo lo necesario para su correcta instalación según diseño y especificaciones de la interventoría. Su medida será en sitio</t>
    </r>
    <r>
      <rPr>
        <b/>
        <sz val="11"/>
        <rFont val="Swis721 Cn BT"/>
        <family val="2"/>
      </rPr>
      <t>.</t>
    </r>
  </si>
  <si>
    <r>
      <t>Suministro, transporte e instalación de  tubería PVC Corrugada</t>
    </r>
    <r>
      <rPr>
        <sz val="11"/>
        <rFont val="Swis721 Cn BT"/>
        <family val="2"/>
      </rPr>
      <t xml:space="preserve"> Agricola, tipo Pavco o similar, con un diámetro de 65 mm- 2.1/2",  para drenajes (filtro). Incluyen las respectivas conexiones y accesorios y todo lo necesario para su correcta instalación y funcionamiento.</t>
    </r>
  </si>
  <si>
    <r>
      <t>Suministro, transporte e instalación de macromedidor tipo turbina de diametro 1 1/2".</t>
    </r>
    <r>
      <rPr>
        <sz val="11"/>
        <rFont val="Swis721 Cn BT"/>
        <family val="2"/>
      </rPr>
      <t xml:space="preserve"> De acuerdo a norma EPM según especificacion 708. Incluye: niples brida - brida, niples brida - liso, válvulas de compuerta sello elastico de vástogo ascendente en HD, válvula de admisión de aire camara sencilla en HD roscada, filtro en YEE en HD extremo brida - brida, Uniones universales tipo Dresser y los demas elementos que describe la norma citada para su correcta instalación y funcionamiento.</t>
    </r>
  </si>
  <si>
    <r>
      <t xml:space="preserve">Suministro, transporte e instalación de macromedidor tipo turbina de diametro  3". </t>
    </r>
    <r>
      <rPr>
        <sz val="11"/>
        <rFont val="Swis721 Cn BT"/>
        <family val="2"/>
      </rPr>
      <t>De acuerdo a norma EPM según especificacion 708. Incluye: niples brida - brida, niples brida - liso, válvulas de compuerta sello elastico de vástogo ascendente en HD, válvula de admisión de aire camara sencilla en HD roscada, filtro en YEE en HD extremo brida - brida, Uniones universales tipo Dresser y los demas elementos que describe la norma citada para su correcta instalación y funcionamiento.</t>
    </r>
  </si>
  <si>
    <r>
      <t xml:space="preserve">Construcción de caja para medidor de red de acueducto. </t>
    </r>
    <r>
      <rPr>
        <sz val="11"/>
        <rFont val="Swis721 Cn BT"/>
        <family val="2"/>
      </rPr>
      <t>De acuerdo a norma EPM según especificacion 710, en bloque estructural. Para medidor de 1 1/2</t>
    </r>
    <r>
      <rPr>
        <b/>
        <sz val="11"/>
        <rFont val="Swis721 Cn BT"/>
        <family val="2"/>
      </rPr>
      <t>"</t>
    </r>
  </si>
  <si>
    <r>
      <t>Construcción de caja para medidor de red de acueducto.</t>
    </r>
    <r>
      <rPr>
        <sz val="11"/>
        <rFont val="Swis721 Cn BT"/>
        <family val="2"/>
      </rPr>
      <t xml:space="preserve"> De acuerdo a norma EPM según especificacion 710, en bloque estructural. Para medidor de 3"</t>
    </r>
  </si>
  <si>
    <r>
      <t>Suministro, transporte e instalacion de válvula de bola de 3/4",</t>
    </r>
    <r>
      <rPr>
        <sz val="11"/>
        <rFont val="Swis721 Cn BT"/>
        <family val="2"/>
      </rPr>
      <t xml:space="preserve"> industrial tipo pesado, paso total, cuerpo en latón, mango de acero plastificado; incluyen los accesorios de instalacion.</t>
    </r>
  </si>
  <si>
    <r>
      <t xml:space="preserve">Suministro, transporte e instalación de válvula de bola de 1/2" </t>
    </r>
    <r>
      <rPr>
        <sz val="11"/>
        <rFont val="Swis721 Cn BT"/>
        <family val="2"/>
      </rPr>
      <t>industrial tipo pesado, paso total, cuerpo en latón, mango de acero plastificado; incluyen los accesorios de instalacion.</t>
    </r>
  </si>
  <si>
    <r>
      <rPr>
        <b/>
        <sz val="11"/>
        <rFont val="Swis721 Cn BT"/>
        <family val="2"/>
      </rPr>
      <t>Construcción de CUNETA</t>
    </r>
    <r>
      <rPr>
        <sz val="11"/>
        <rFont val="Swis721 Cn BT"/>
        <family val="2"/>
      </rPr>
      <t xml:space="preserve"> Según la Existente, en concreto de 21 Mpa, con un DESARROLLO DE hasta 0.70 cm y un ESPESOR DE 10 cm. Incluye entresuelo de 15 cm en piedra de 2" a 4" y 5 cm en arenilla y todos los demás elementos necesarios para su correcta construcción.Suministro, transporte e instalación de ACERO DE REFUERZO FIGURADO FY= 420 Mpa-60000 PSI, corrugado, alambre de amarrar</t>
    </r>
  </si>
  <si>
    <r>
      <rPr>
        <b/>
        <sz val="11"/>
        <rFont val="Swis721 Cn BT"/>
        <family val="2"/>
      </rPr>
      <t>Construcción de MAMPOSTERÍA EN LADRILLO PARA REVOCAR O ENCHAPAR</t>
    </r>
    <r>
      <rPr>
        <sz val="11"/>
        <rFont val="Swis721 Cn BT"/>
        <family val="2"/>
      </rPr>
      <t xml:space="preserve"> una cara o dos caras, DE 15 x 20 x 40 cm. ESPESOR DE 15 cm. Incluye el suministro y transporte del ladrillo, el mortero de pega 1:4 espesor max=0.02 m y todos los demás elementos necesarios para su correcta construcción y funcionamiento.</t>
    </r>
  </si>
  <si>
    <r>
      <rPr>
        <b/>
        <sz val="11"/>
        <rFont val="Swis721 Cn BT"/>
        <family val="2"/>
      </rPr>
      <t>Suministro, transporte y aplicación de ácido nítrico e hidrosolve</t>
    </r>
    <r>
      <rPr>
        <sz val="11"/>
        <rFont val="Swis721 Cn BT"/>
        <family val="2"/>
      </rPr>
      <t xml:space="preserve"> proporción 1:1:5 para lavada de estructuras de concreto a la vista en fachadas, con todos los elementos necesarios para su correcta instalación y funcionamiento. andamios multidireccionales certificados,Solo donde lo indique la interventoría</t>
    </r>
  </si>
  <si>
    <r>
      <rPr>
        <b/>
        <sz val="11"/>
        <rFont val="Swis721 Cn BT"/>
        <family val="2"/>
      </rPr>
      <t>Suministro, transporte y aplicación de hidrófugo impermeabilizante</t>
    </r>
    <r>
      <rPr>
        <sz val="11"/>
        <rFont val="Swis721 Cn BT"/>
        <family val="2"/>
      </rPr>
      <t xml:space="preserve"> del tipo siliconite (Sika transparente o equivalente) o equivalente para estructuras de concreto a la vista en fachadas, gran durabilidad (10 años) con todos los elementos necesarios para su correcta instalación y funcionamiento. andamios multidireccionales certificados, Solo donde lo indique la interventoría</t>
    </r>
  </si>
  <si>
    <r>
      <rPr>
        <b/>
        <sz val="11"/>
        <rFont val="Swis721 Cn BT"/>
        <family val="2"/>
      </rPr>
      <t>Colocación de REVOQUE con mortero 1:4 IMPERMEABILIZADO</t>
    </r>
    <r>
      <rPr>
        <sz val="11"/>
        <rFont val="Swis721 Cn BT"/>
        <family val="2"/>
      </rPr>
      <t xml:space="preserve"> con Sika 1 o equivalente, EN MUROS. Incluye, pelada y/o picada de revoque existente hasta obtener superficie adcuada para la adherencia, del nuevo revoque, suministro y transporte de los materiales, fajas, ranuras, filetes, y todos los demás elementos necesarios para su correcta construcción.</t>
    </r>
  </si>
  <si>
    <r>
      <t xml:space="preserve">Construcción de cajas de registro de 60 x 60 x altura hasta 100 cm. en concreto de 21Mpa. </t>
    </r>
    <r>
      <rPr>
        <sz val="11"/>
        <rFont val="Swis721 Cn BT"/>
        <family val="2"/>
      </rPr>
      <t>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se pagarán en su ítem respectivo.</t>
    </r>
  </si>
  <si>
    <t>PORCENTAJE ADMINISTRACIÓN. [A]</t>
  </si>
  <si>
    <t>PORCENTAJE TOTAL A.U</t>
  </si>
  <si>
    <r>
      <t xml:space="preserve">Suministro e Instalación de CERRAMIENTO PROVISIONAL </t>
    </r>
    <r>
      <rPr>
        <i/>
        <sz val="11"/>
        <color theme="1"/>
        <rFont val="Arial"/>
        <family val="2"/>
      </rPr>
      <t>en Sarán verde, o similar con una altura de 2,1 m. y estructura en larguero de madera común de 1" x 2", cada 1.5 m. Incluye suministro, transporte, instalación y desmonte, excavación manual en cualquier material y todos los demás elementos necesarios para su correcta instalación.</t>
    </r>
  </si>
  <si>
    <r>
      <rPr>
        <b/>
        <sz val="11"/>
        <color theme="1"/>
        <rFont val="Swis721 LtCn BT"/>
        <family val="2"/>
      </rPr>
      <t>EXCAVACIÓN MANUAL de material heterogéneo DE 0-2 m</t>
    </r>
    <r>
      <rPr>
        <sz val="11"/>
        <color theme="1"/>
        <rFont val="Swis721 LtCn BT"/>
        <family val="2"/>
      </rPr>
      <t>., bajo cualquier grado de humedad. Incluye: roca descompuesta, bolas de roca de volumen inferior a 0.35 m³., incluye cargue y transporte interno y su medida será en el sitio.  INCLUYE BOTADERO. No incluye entibado.</t>
    </r>
  </si>
  <si>
    <r>
      <rPr>
        <b/>
        <sz val="11"/>
        <color theme="1"/>
        <rFont val="Swis721 LtCn BT"/>
        <family val="2"/>
      </rPr>
      <t>DESMONTAR TEJA EXISTENTE, con recuperación</t>
    </r>
    <r>
      <rPr>
        <sz val="11"/>
        <color theme="1"/>
        <rFont val="Swis721 LtCn BT"/>
        <family val="2"/>
      </rPr>
      <t>,</t>
    </r>
    <r>
      <rPr>
        <i/>
        <sz val="11"/>
        <color theme="1"/>
        <rFont val="Swis721 LtCn BT"/>
        <family val="2"/>
      </rPr>
      <t xml:space="preserve"> incluye: levantar teja existente, retiro de manto de impermeabilización, ubicación adecuada de la teja durante el tiempo que se ejecute la actividad, aseo y limpieza general del techo,  herramienta y equipo necesario para realizar la actividad, Incluye: andamios multidireccionales certificados, empaque en costales, transporte horizontal y vertical, de material sobrante, desde el lugar de intervención hasta el acopio de la universidad y todo lo necesario para su correcta ejecución.</t>
    </r>
  </si>
  <si>
    <r>
      <rPr>
        <b/>
        <sz val="11"/>
        <color theme="1"/>
        <rFont val="Swis721 LtCn BT"/>
        <family val="2"/>
      </rPr>
      <t>DEMOLICIÓN MAMPOSTERÍA</t>
    </r>
    <r>
      <rPr>
        <sz val="11"/>
        <color theme="1"/>
        <rFont val="Swis721 LtCn BT"/>
        <family val="2"/>
      </rPr>
      <t xml:space="preserve"> en bloque de concreto ó ladrillo de 10 a 20 cm de espesor, incluye, demolición de CALADOS, revoques y enchapes, instalaciones embebidas, dinteles, sillares, vigas y columnetas en concreto que se encuentren en el muro a demoler, Tambien incluye recuperación de los materiales aprovechables o su transporte hasta el sitio que lo indique la interventoría; se debe de utilizar cortadora para garantizar que los filetes de la demolición queden ortogonales.Incluye desmonte de ventana existente.</t>
    </r>
  </si>
  <si>
    <r>
      <t xml:space="preserve">DEMOLICIÓN de  CUNETAS en concreto, </t>
    </r>
    <r>
      <rPr>
        <sz val="11"/>
        <color theme="1"/>
        <rFont val="Swis721 LtCn BT"/>
        <family val="2"/>
      </rPr>
      <t>cargue, transporte y botada de escombros,en botaderos oficiales, manual o mecánicamente, desarrollo máximo de 0.70m, y un espesor hasta 0.15m. Incluye compresor neumático con martillo, retiro de refuerzo e instalaciones embebidas. Además recuperación de los materiales aprovechables o su transporte hasta el sitio que lo indique la interventoría.</t>
    </r>
  </si>
  <si>
    <r>
      <rPr>
        <b/>
        <sz val="11"/>
        <color theme="1"/>
        <rFont val="Swis721 LtCn BT"/>
        <family val="2"/>
      </rPr>
      <t>DEMOLICIÓN ANDENES, PISOS EN CONCRETO, O CAPA ASFÁLTICA CON DESGASTE.</t>
    </r>
    <r>
      <rPr>
        <sz val="11"/>
        <color theme="1"/>
        <rFont val="Swis721 LtCn BT"/>
        <family val="2"/>
      </rPr>
      <t xml:space="preserve"> </t>
    </r>
    <r>
      <rPr>
        <i/>
        <sz val="11"/>
        <color theme="1"/>
        <rFont val="Swis721 LtCn BT"/>
        <family val="2"/>
      </rPr>
      <t>cargue, transporte y botada de escombros de ESPESOR MÁXIMO DE 0.25m. Incluye retiro de cordones, retiro de enchape (baldosa, baldosín forros en arenón, madera, vinilo, granito esmerilado, concreto, pisos en gres, entre otros), placa de concreto si existe, entresuelo de recebo; retiro y reinstalación de tapas de medidores de acueducto cualquier diámetro, tapas de energía y tapas cajas de teléfono. Incluye  recuperación de los materiales aprovechables, transporte, carque y botada,o hasta el sitio que lo indique la interventoría.</t>
    </r>
  </si>
  <si>
    <r>
      <rPr>
        <b/>
        <sz val="11"/>
        <color theme="1"/>
        <rFont val="Swis721 LtCn BT"/>
        <family val="2"/>
      </rPr>
      <t>Desmonte y retiro de cielo falso en DryWall y/o Superboard</t>
    </r>
    <r>
      <rPr>
        <sz val="11"/>
        <color theme="1"/>
        <rFont val="Swis721 LtCn BT"/>
        <family val="2"/>
      </rPr>
      <t xml:space="preserve"> en zona de circulación y/o espacios interiores. Incluye: andamios multidireccionales certificados,  desmonte de placa existente y su estructura cuando se requiera, el transporte vertical y horizontal, cargue del material hasta el lugar de acopio, herramienta, equipo y todos los elementos necesarios para la ejecución de los trabajos.</t>
    </r>
  </si>
  <si>
    <r>
      <rPr>
        <b/>
        <sz val="11"/>
        <color theme="1"/>
        <rFont val="Swis721 LtCn BT"/>
        <family val="2"/>
      </rPr>
      <t>Cargue y botada de tierra y/o escombros</t>
    </r>
    <r>
      <rPr>
        <sz val="11"/>
        <color theme="1"/>
        <rFont val="Swis721 LtCn BT"/>
        <family val="2"/>
      </rPr>
      <t xml:space="preserve">, en sitios debidamente certificados por la autoridad ambiental competente, incluye: Transporte tanto vertical como horizontal, aseo general, señalizacion con balizas reflectivas, cinta de seguridad y ayudantes que cuenten con el pago de prestaciones sociales al día .                                                                                                    </t>
    </r>
    <r>
      <rPr>
        <b/>
        <sz val="11"/>
        <color theme="1"/>
        <rFont val="Swis721 LtCn BT"/>
        <family val="2"/>
      </rPr>
      <t>Nota: Éste ítem aplica para actividades o ítem, que no contemplen dicha descripción.</t>
    </r>
  </si>
  <si>
    <r>
      <rPr>
        <b/>
        <sz val="11"/>
        <color theme="1"/>
        <rFont val="Swis721 LtCn BT"/>
        <family val="2"/>
      </rPr>
      <t>LLENOS EN MATERIAL PROVENIENTES DE LA EXCAVACIÓN</t>
    </r>
    <r>
      <rPr>
        <sz val="11"/>
        <color theme="1"/>
        <rFont val="Swis721 LtCn BT"/>
        <family val="2"/>
      </rPr>
      <t>, compactados, manual, o mecánicamente hasta obtener una densidad del 90% de la máxima obtenida en el ensayo del próctor modificado. Y un espesor de 15cms para zonas peatonales y 20 cms para zonas vehiculares, Incluye transporte interno. Su medida será en sitio ya compactado</t>
    </r>
  </si>
  <si>
    <r>
      <rPr>
        <b/>
        <sz val="11"/>
        <color theme="1"/>
        <rFont val="Swis721 LtCn BT"/>
        <family val="2"/>
      </rPr>
      <t>Suministro, transporte y colocación de Sub base granular</t>
    </r>
    <r>
      <rPr>
        <sz val="11"/>
        <color theme="1"/>
        <rFont val="Swis721 LtCn BT"/>
        <family val="2"/>
      </rPr>
      <t xml:space="preserve"> de máximo Ø 1½", reacomodado con medios mecánicos y compactado al 90% mínimo del ensayo del proctor modificado, según normas para la construcción de pavimentos del INVIAS, con un espesor minimo de 15cms para zonas peatonales y 20 cms para zonas vehiculares, o lo que indiquen los diseños cuando existan. y todo lo necesario para su correcta construcción y funcionamiento. Su medida será tomada en sitio ya compactado.</t>
    </r>
  </si>
  <si>
    <r>
      <t xml:space="preserve">Suministro Transporte y colocación de manto 3mm de espesor </t>
    </r>
    <r>
      <rPr>
        <sz val="11"/>
        <color theme="1"/>
        <rFont val="Swis721 LtCn BT"/>
        <family val="2"/>
      </rPr>
      <t xml:space="preserve"> a base de asfaltos modificados  (polímeros y elastómeros),  reforzado con fibras de poliéster para cubiertas en teja de barro, incluye: Retiro de manto existente,  Manto 3mm tipo fiberglass o similar, machihembrado, imprimación con emulsión asfáltica, herramienta y equipo necesario para realizar la actividad,  transporte vertical, transporte horizontal, andamios multidireccionales certificados, y todo lo necesario para su correcta instalación y funcionamiento. </t>
    </r>
  </si>
  <si>
    <r>
      <rPr>
        <b/>
        <sz val="11"/>
        <color theme="1"/>
        <rFont val="Swis721 LtCn BT"/>
        <family val="2"/>
      </rPr>
      <t>Suministro e instalación de teja nueva y posterior alineación</t>
    </r>
    <r>
      <rPr>
        <sz val="11"/>
        <color theme="1"/>
        <rFont val="Swis721 LtCn BT"/>
        <family val="2"/>
      </rPr>
      <t>, incluye: teja de barro maquinada,colocación de mortero 1:5,  andamios multidireccionales certificados, herramienta y equipo necesario para realizar la actividad,   transporte vertical, transporte horizontal y todo lo necesario para su correcta instalación y funcionamiento.</t>
    </r>
  </si>
  <si>
    <r>
      <rPr>
        <b/>
        <sz val="11"/>
        <color theme="1"/>
        <rFont val="Swis721 LtCn BT"/>
        <family val="2"/>
      </rPr>
      <t>Colocación de teja existente y posterior  alineación</t>
    </r>
    <r>
      <rPr>
        <sz val="11"/>
        <color theme="1"/>
        <rFont val="Swis721 LtCn BT"/>
        <family val="2"/>
      </rPr>
      <t>, .incluye: mortero 1:5, herramienta y equipo necesario para realizar la actividad, transporte vertical, transporte horizontal, andamios multidireccionales certificados,  y todo lo necesario para su correcta instalación y funcionamiento.</t>
    </r>
  </si>
  <si>
    <r>
      <rPr>
        <b/>
        <sz val="11"/>
        <color theme="1"/>
        <rFont val="Swis721 LtCn BT"/>
        <family val="2"/>
      </rPr>
      <t>Emboquillado de Aleros,Caballetes,y otros Incluye: Mortero 1:5,</t>
    </r>
    <r>
      <rPr>
        <sz val="11"/>
        <color theme="1"/>
        <rFont val="Swis721 LtCn BT"/>
        <family val="2"/>
      </rPr>
      <t xml:space="preserve"> aditivo impermeabilizante para mortero, andamios multidireccionales certificados, herramienta y equipo necesario para realizar la actividad, transporte vertical, transporte horizontal  y todos los elementos necesarios para su correcta instalación y funcionamiento.</t>
    </r>
  </si>
  <si>
    <r>
      <rPr>
        <b/>
        <sz val="11"/>
        <color theme="1"/>
        <rFont val="Swis721 LtCn BT"/>
        <family val="2"/>
      </rPr>
      <t>Suministro, RESANE,REPINTE Y APLICACIÓN de PINTURA A BASE DE AGUA EN MUROS Y CIELO, CON VINILO TIPO 1</t>
    </r>
    <r>
      <rPr>
        <sz val="11"/>
        <color theme="1"/>
        <rFont val="Swis721 LtCn BT"/>
        <family val="2"/>
      </rPr>
      <t xml:space="preserve"> ( Viniltex o equivalente),de primera calidad sobre muros y cielos,sobre ladrillo, concreto, revoque y/o estuco, tres manos o las necesarias hasta obtener una superficie pareja y homogénea. Incluye suministro y transporte de los materiales, resanes,algamasa,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andamios multidireccionales certificados, herramienta, equipo y todos los elementos necesarios para su correcta aplicación.</t>
    </r>
  </si>
  <si>
    <r>
      <rPr>
        <b/>
        <sz val="11"/>
        <color theme="1"/>
        <rFont val="Swis721 LtCn BT"/>
        <family val="2"/>
      </rPr>
      <t xml:space="preserve">RESANE Y REPINTE de PINTURA ACRÍLICA EN MUROS exteriores Y CIELO,(Tipo Koraza doble vida 10 años, o equivalente.) </t>
    </r>
    <r>
      <rPr>
        <sz val="11"/>
        <color theme="1"/>
        <rFont val="Swis721 LtCn BT"/>
        <family val="2"/>
      </rPr>
      <t>,de primera calidad sobre muros y cielos,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andamios multidireccionales certificados, herramienta, equipo y todos los elementos necesarios para su correcta aplicación.</t>
    </r>
  </si>
  <si>
    <r>
      <rPr>
        <b/>
        <sz val="11"/>
        <color theme="1"/>
        <rFont val="Swis721 LtCn BT"/>
        <family val="2"/>
      </rPr>
      <t>Suministro, resane y repinte de ESMALTE A BASE DE ACEITE,</t>
    </r>
    <r>
      <rPr>
        <sz val="11"/>
        <color theme="1"/>
        <rFont val="Swis721 LtCn BT"/>
        <family val="2"/>
      </rPr>
      <t xml:space="preserve"> </t>
    </r>
    <r>
      <rPr>
        <i/>
        <sz val="11"/>
        <color theme="1"/>
        <rFont val="Swis721 LtCn BT"/>
        <family val="2"/>
      </rPr>
      <t>sobre elementos metálicos, pasamanos ,puertas, canoas y los que indique la interventoría., anticorrosivo tipo  Washprimer. Dos manos o las necesarias hasta obtener una superficie pareja y homogénea. Incluye :andamios multidireccionales certificados,:suministro y transporte de los materiales, disolvente para pinturas a base de aceite, adecuación de la superficie a intervenir hasta obtener una superficie pareja y homogénea, color existente o definir según aprobación de la interventoría.las fajas se pagarán a mitad de precio.</t>
    </r>
  </si>
  <si>
    <r>
      <rPr>
        <b/>
        <i/>
        <sz val="11"/>
        <color theme="1"/>
        <rFont val="Swis721 LtCn BT"/>
        <family val="2"/>
      </rPr>
      <t>Aplicación de pintura transparente antigraffiti, Tipo Sherwin Williams o equivalente</t>
    </r>
    <r>
      <rPr>
        <sz val="11"/>
        <color theme="1"/>
        <rFont val="Swis721 LtCn BT"/>
        <family val="2"/>
      </rPr>
      <t>, sobre muros de concreto para protección antigrafiti, tres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andamios multidireccionales certificados. Se aplicará en zonas exteriores y de alcance directo al publico o donde indique la interventoría. Se deben seguir todas las especificaciones y recomendaciones del fabricante.</t>
    </r>
  </si>
  <si>
    <r>
      <rPr>
        <b/>
        <sz val="11"/>
        <color theme="1"/>
        <rFont val="Swis721 LtCn BT"/>
        <family val="2"/>
      </rPr>
      <t>Suministro, Resane y Repinte de PINTURA EPOXIPOLIAMIDA EN PISOS DE CONCRETO</t>
    </r>
    <r>
      <rPr>
        <sz val="11"/>
        <color theme="1"/>
        <rFont val="Swis721 LtCn BT"/>
        <family val="2"/>
      </rPr>
      <t xml:space="preserve"> (dos componentes) tipo Pintu-coat color gris de pintuco o equivalente, dos  manos o las necesarias para lograr una superficie pareja a satisfacción de la interventoría.Incluye movimiento, o boredeado de elementos que componen las instalaciones de la planta.</t>
    </r>
  </si>
  <si>
    <r>
      <t>Suministro, Resane y Repinte de Pintura en elementos de madera Puertas, ventanas, columnas techos (</t>
    </r>
    <r>
      <rPr>
        <i/>
        <sz val="11"/>
        <color theme="1"/>
        <rFont val="Swis721 LtCn BT"/>
        <family val="2"/>
      </rPr>
      <t>Alfardas, cargueras, caballetes, cerchas, tablilla, etc.) con Profilan color plus teca-nogal  o equivalente.Tres manos. Medida en plano inclinado del techo y sin considerar altura de cantos de los elementos en madera (alfardas, caballetes y cargueras), Incluye transportes internos tanto verticales como horizontales,andamios multidireccionales certificados.</t>
    </r>
  </si>
  <si>
    <r>
      <t>Suministro, Resane y Repinte de Pintura en elementos de madera Para Puente, tres manos.</t>
    </r>
    <r>
      <rPr>
        <i/>
        <sz val="11"/>
        <color theme="1"/>
        <rFont val="Swis721 LtCn BT"/>
        <family val="2"/>
      </rPr>
      <t>(columnas techo</t>
    </r>
    <r>
      <rPr>
        <b/>
        <i/>
        <sz val="11"/>
        <color theme="1"/>
        <rFont val="Swis721 LtCn BT"/>
        <family val="2"/>
      </rPr>
      <t xml:space="preserve"> </t>
    </r>
    <r>
      <rPr>
        <i/>
        <sz val="11"/>
        <color theme="1"/>
        <rFont val="Swis721 LtCn BT"/>
        <family val="2"/>
      </rPr>
      <t>Alfardas, cargueras, caballetes, cerchas, tablilla,pasamanosvigas, riostras y todos los elementos en madera que lo componen.) con Profilan color plus teca-nogal  o equivalente.Tres manos todas las caras y cantos de los elementos.Incluye la limpieza de la superficie antes de su aplicación. Medida en plano inclinado de los elementos y sin considerar altura de cantos de los elementos en madera (alfardas, caballetes y cargueras, etc.), Incluye transportes internos tanto verticales como horizontales, andamios multidireccionales certificados,Cada m2 se tomará de acuerdo a los elementos que contiene el área de este.</t>
    </r>
  </si>
  <si>
    <r>
      <rPr>
        <b/>
        <i/>
        <sz val="11"/>
        <color theme="1"/>
        <rFont val="Swis721 LtCn BT"/>
        <family val="2"/>
      </rPr>
      <t>Suministro y aplicación de: Pintura vitriflex base de agua, Semi-mate, tráfico Alto, dos componentes, para piso en madera</t>
    </r>
    <r>
      <rPr>
        <sz val="11"/>
        <color theme="1"/>
        <rFont val="Swis721 LtCn BT"/>
        <family val="2"/>
      </rPr>
      <t>, tres manos, se de entonar con color igual a la pintura existente de ser necesario, incluye todos los elementos necesarios para su correcta ejecucion y acabado, a satisfacción de la interventoría</t>
    </r>
  </si>
  <si>
    <r>
      <rPr>
        <b/>
        <sz val="11"/>
        <color theme="1"/>
        <rFont val="Swis721 LtCn BT"/>
        <family val="2"/>
      </rPr>
      <t>Colocación y Resanes de ESTUCO ACRÍLICO EXTERIOR PROFESIONAL, SOBRE MUROS y CIELOS REVOCADOS y/0 ESTUCADOS, Y PINTADOS</t>
    </r>
    <r>
      <rPr>
        <sz val="11"/>
        <color theme="1"/>
        <rFont val="Swis721 LtCn BT"/>
        <family val="2"/>
      </rPr>
      <t>, 3 manos mínimo, o las que sean necesarias para obtener una superficie pareja y homogénea. Incluye:andamios multidireccionales certificados, suministro y transporte de los materiales, ranuras, filetes, dilataciones y todos los elementos necesarios para su correcta aplicación y funcionamiento.</t>
    </r>
  </si>
  <si>
    <r>
      <t xml:space="preserve">Resane y repinte en esmalte de  poliuretano sobre escalas metálicas Bloque 3. Tipo Pintuco, o equivalente.3 manos </t>
    </r>
    <r>
      <rPr>
        <i/>
        <sz val="11"/>
        <color theme="1"/>
        <rFont val="Swis721 LtCn BT"/>
        <family val="2"/>
      </rPr>
      <t>Incluye lijada, y/o raspada, limpieza de la superficie, acondicionador de la superficie, andamios multidireccionales certificados, herramientas, equipo y todos los equipos necesarios para su correcta aplicación. Nota. La pintura se debe entonar hasta alcanzar el color existente o el color indicado por la interventoria, Los elementos con un desarrollo hasta de 0,5 m se pagaran por ml a mitad de precio</t>
    </r>
  </si>
  <si>
    <r>
      <t xml:space="preserve">Suministro, transporte y colocación de cielo falso en Dry Wall 1/2. </t>
    </r>
    <r>
      <rPr>
        <i/>
        <sz val="11"/>
        <color theme="1"/>
        <rFont val="Swis721 LtCn BT"/>
        <family val="2"/>
      </rPr>
      <t>Incluye, masillado, pintura 3 manos, perfilería de lámina galvanizada para soporte con distancia de 61 cm, chazos, cintas, ángulos, cortes, andamios multidireccionales certificados, canes y todo los demás elementos  necesario para su correcta instalación y funcionamiento.</t>
    </r>
  </si>
  <si>
    <r>
      <t>Suministro, transporte e impermeabilización de tanques con membrana de PVC tipo Sikaplan 12 NTR</t>
    </r>
    <r>
      <rPr>
        <i/>
        <sz val="11"/>
        <color theme="1"/>
        <rFont val="Swis721 LtCn BT"/>
        <family val="2"/>
      </rPr>
      <t xml:space="preserve"> o equivalente de espesor de 1,2mm. Incluye membrana a base de PVC plastificado y reforzado con armadura de poliéster para la impermeabilización de tanques de agua, debe de cumplir con las normas: UNE 104303, DIN 16938, ASTM 1003, DIN 53370, DIN 4062, ICONTEC 1500 para agua potable. Las uniones entre láminas deberán realizarse mediante soldadura termoplástica con aire caliente. Cuando se proceda a soldar 2 láminas, deberán disponerse de tal manera que el ancho del traslapo sea igual o mayor de 5 cm, por lo que la soldadura deberá tener en cualquier punto 4 cm como mínimo. Una vez que las superficies de las láminas que vayan a estar en contacto estén limpias y secas, se procederá a la unión (soldadura). Los traslapos, inmediatamente después de la soldadura, se presionan uniformemente con un rodillo para obtener así una unión homogénea. Incluye Sikaplan 12 NT o equivalente, Geotextil Sika PP 1800 o equivalente, perfil de fondo, perfil de borde, Sika Primer 215 o equivalente, Sikaflex Construction o equivalente, anclajes y todos los elementos necesarios para su correcta instalación y funcionamiento.Incluye prueba de estanqueidad.LA INSTALACIÓN, DEBE SER REALIZADA, POR PERSONAL QUE POSEA, CERTIFICADO DE INSTALADOR DE LA EMPRESA FABRICANTE DEL PRODUCTO A INSTALAR.</t>
    </r>
  </si>
  <si>
    <r>
      <rPr>
        <b/>
        <sz val="11"/>
        <color theme="1"/>
        <rFont val="Swis721 LtCn BT"/>
        <family val="2"/>
      </rPr>
      <t>Suministro, transporte e impermeabilización de losa en concreto expuesta a la intemperie, con membrana de PVC de alta reflectividad ( protección UV), tipo Sarnafil S327-15L White</t>
    </r>
    <r>
      <rPr>
        <sz val="11"/>
        <color theme="1"/>
        <rFont val="Swis721 LtCn BT"/>
        <family val="2"/>
      </rPr>
      <t xml:space="preserve"> o equivalente, espesor 1.5 mm. con refuerzo en poliester, Fijación mecánica, geotextil Sika PP 2500 o equivalente,  Sika Metal Sheet (perfil plano). Incluye desperdicio, Geotextil, Sikaflex Premier- 429/202, SikaFlex 1A, Termo soldadura y mano de obra. Incluye preparación de la superficie. andamios multidireccionales certificados,  y todos los demás elementos necesarios para su correcta aplicación. La aplicación técnica se debe hacer siguiendo todas las instrucciones y recomendaciones del fabricante. Incluye: Juntas estructurales, tolerancias, desniveles, bordes de losa,emboquillados de bajantes, gargolas, tragantes. bordeado de columnas, tubos, muretes, y cualquier otro elemento independiente de su forma, ubicado en la losa. El personal que realice la aplicación del recubrimiento debe estar certificado por el Fabricante.Para el recibo de las obras por parte de la interventoría</t>
    </r>
  </si>
  <si>
    <r>
      <rPr>
        <b/>
        <sz val="11"/>
        <color theme="1"/>
        <rFont val="Swis721 LtCn BT"/>
        <family val="2"/>
      </rPr>
      <t>Suministro, transporte e impermeabilización de losa en concreto con Membrana elastomérica de poliuretano, de bajo olor y bajo VOC  tipo VULKEM 350/351 NF</t>
    </r>
    <r>
      <rPr>
        <sz val="11"/>
        <color theme="1"/>
        <rFont val="Swis721 LtCn BT"/>
        <family val="2"/>
      </rPr>
      <t xml:space="preserve"> o equivalente. Incluye preparación de la superficie, regatas y todos los demás elementos necesarios para su correcta aplicación. VULKEM 350 NF rinde 2.32 m2/gal de producto o cada cuñete de 5 galones alcanza para 11.6 m2 con un espesor de 60 mils, andamios multidireccionales certificados,
</t>
    </r>
  </si>
  <si>
    <r>
      <rPr>
        <b/>
        <sz val="11"/>
        <color theme="1"/>
        <rFont val="Swis721 LtCn BT"/>
        <family val="2"/>
      </rPr>
      <t>Colocación de PISO EN ADOQUÍN RECTANGULAR 10X20X8., COLOR GRIS.</t>
    </r>
    <r>
      <rPr>
        <sz val="11"/>
        <color theme="1"/>
        <rFont val="Swis721 LtCn BT"/>
        <family val="2"/>
      </rPr>
      <t xml:space="preserve"> Incluye suministro y transporte de los materiales, arena de pega para cama de 5 cms, arena de revoque de sello, cortes a máquina, compactación y todos los demás elementos necesarios para su correcta instalación. Según diseño y recomendaciones MEP.  El adoquín deberá resellarse por 2 veces con un lapso de 2 meses luego de su instalación y cumplir con la norma NTC 2017.</t>
    </r>
  </si>
  <si>
    <r>
      <rPr>
        <b/>
        <sz val="11"/>
        <color theme="1"/>
        <rFont val="Swis721 LtCn BT"/>
        <family val="2"/>
      </rPr>
      <t>Suministro, transporte y colocación de cordón prefabricado de 0.15 x 0.45 x 0.80 m.</t>
    </r>
    <r>
      <rPr>
        <sz val="11"/>
        <color theme="1"/>
        <rFont val="Swis721 LtCn BT"/>
        <family val="2"/>
      </rPr>
      <t xml:space="preserve"> de concreto de 21 Mpa, tres caras, juntas ranuradas, referencia Bordillo Barrera Recto </t>
    </r>
    <r>
      <rPr>
        <b/>
        <sz val="11"/>
        <color theme="1"/>
        <rFont val="Swis721 LtCn BT"/>
        <family val="2"/>
      </rPr>
      <t>Tipo U50 (según M.E.P)</t>
    </r>
    <r>
      <rPr>
        <sz val="11"/>
        <color theme="1"/>
        <rFont val="Swis721 LtCn BT"/>
        <family val="2"/>
      </rPr>
      <t>. Incluye excavación, conformación del terreno, ajustes de concreto o pavimento donde sea necesario, mortero 1:4  de asiento y pega en las longitudes más adecuadas para el desarrollo de la obra, y todo lo necesario para su correcta construcción y funcionamiento. Según diseño.</t>
    </r>
  </si>
  <si>
    <r>
      <rPr>
        <b/>
        <sz val="11"/>
        <color theme="1"/>
        <rFont val="Swis721 LtCn BT"/>
        <family val="2"/>
      </rPr>
      <t>Construcción de PISO EN MORTERO IMPERMEABILIZADO 1:5 de NIVELACIÓN</t>
    </r>
    <r>
      <rPr>
        <sz val="11"/>
        <color theme="1"/>
        <rFont val="Swis721 LtCn BT"/>
        <family val="2"/>
      </rPr>
      <t>, Pendientado, espesor promedio de 0.07m. Incluye suministro y transporte de los materiales y todo lo necesario para su correcta construcción, curado y funcionamiento.</t>
    </r>
  </si>
  <si>
    <r>
      <rPr>
        <b/>
        <sz val="11"/>
        <color theme="1"/>
        <rFont val="Swis721 LtCn BT"/>
        <family val="2"/>
      </rPr>
      <t>Construcción de ANDÉN en concreto de 21 Mpa. espesor de 0.10m pendientado.</t>
    </r>
    <r>
      <rPr>
        <sz val="11"/>
        <color theme="1"/>
        <rFont val="Swis721 LtCn BT"/>
        <family val="2"/>
      </rPr>
      <t xml:space="preserve"> con vaciado alternado cada metro. Incluye suministro y transporte de los materiales, nivelación del terreno y adecuación de la superficie, acabado escobillado y llaneado 0.10m en los bordes, malla electrosoldada D-84,  curado y todo lo necesario para su correcta construcción y funcionamiento. Según diseño. Las excavaciones o descapotes se pagarán en su ítem respectivo.</t>
    </r>
  </si>
  <si>
    <r>
      <t>Cambio de tabilla</t>
    </r>
    <r>
      <rPr>
        <sz val="11"/>
        <color theme="1"/>
        <rFont val="Swis721 LtCn BT"/>
        <family val="2"/>
      </rPr>
      <t xml:space="preserve"> incluye retiro, suministro, transporte e instalación de  tablilla del tipo aserrada en pino pátula inmunizada al vacío presión  o por el proceso Bethell o Célula Llena de dimensiones (1.0 cms de espesor y 8 cms de ancho) La pintura se paga aparte. Incluye: andamios multidireccionales certificados, herramienta y equipo necesario para realizar la actividad,  transporte horizontal, transporte vertical  y todo lo necesario para su correcta ejecución.</t>
    </r>
  </si>
  <si>
    <r>
      <rPr>
        <b/>
        <sz val="11"/>
        <color theme="1"/>
        <rFont val="Swis721 LtCn BT"/>
        <family val="2"/>
      </rPr>
      <t>Suministro, transporte e instalación de canoa metálica en U, con traslapo al manto de minimo 30 cms,</t>
    </r>
    <r>
      <rPr>
        <sz val="11"/>
        <color theme="1"/>
        <rFont val="Swis721 LtCn BT"/>
        <family val="2"/>
      </rPr>
      <t xml:space="preserve"> incluye: Retiro del tramo de canoa a reemplazar, suministro de canoas calibre 20 + embudos, pintadas con anticorrosivo epoxi poliamida y esmalte, aplicación de acondicionador para mejorar la adherencia tipo Wash Primer o equivalente, incluye gancho externo e interno con hasta 1,00 m de desarrollo,  transporte horizontal, transporte vertical,  andamios multidireccionales certificados, sello con material elástico tipo poliuretano, herramienta y equipo necesario para realizar la actividad y todos los elementos necesarios para su correcta instalación y funcionamiento. Los tramos de canoa instalados, deben quedar perfectamente soldados y alineados.</t>
    </r>
  </si>
  <si>
    <r>
      <rPr>
        <b/>
        <sz val="11"/>
        <color theme="1"/>
        <rFont val="Swis721 LtCn BT"/>
        <family val="2"/>
      </rPr>
      <t>Suministro, transporte e instalación de canoa Central metálica en U, con traslapo al manto de minimo 20 cms,</t>
    </r>
    <r>
      <rPr>
        <sz val="11"/>
        <color theme="1"/>
        <rFont val="Swis721 LtCn BT"/>
        <family val="2"/>
      </rPr>
      <t xml:space="preserve"> incluye: Retiro de los tramo de canoa a reemplazar, suministro de canoa calibre 20 + embudos,con 1,40 m de desarrollo,  pintada con anticorrosivo epoxi poliamida y esmalte, aplicación de acondicionador para mejorar la adherencia tipo Wash Primer o equivalente, incluye gancho externo e interno ,  transporte horizontal, transporte vertical, andamios multidireccionales certificados, sello con material elástico tipo poliuretano, herramienta y equipo necesario para realizar la actividad y todos los elementos necesarios para su correcta instalación y funcionamiento. Los tramos de canoa instalados, deben quedar perfectamente soldados y alineados.</t>
    </r>
  </si>
  <si>
    <r>
      <rPr>
        <b/>
        <sz val="11"/>
        <color theme="1"/>
        <rFont val="Swis721 LtCn BT"/>
        <family val="2"/>
      </rPr>
      <t>Suministro, transporte e instalación de TUBERÍA PVC-SANITARIA, con un DIÁMETRO DE 4"</t>
    </r>
    <r>
      <rPr>
        <sz val="11"/>
        <color theme="1"/>
        <rFont val="Swis721 LtCn BT"/>
        <family val="2"/>
      </rPr>
      <t>,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r>
  </si>
  <si>
    <r>
      <rPr>
        <b/>
        <sz val="11"/>
        <color theme="1"/>
        <rFont val="Swis721 LtCn BT"/>
        <family val="2"/>
      </rPr>
      <t>Suministro, transporte e instalación de TUBERÍA PVC-SANITARIA, con un DIÁMETRO DE 3"</t>
    </r>
    <r>
      <rPr>
        <sz val="11"/>
        <color theme="1"/>
        <rFont val="Swis721 LtCn BT"/>
        <family val="2"/>
      </rPr>
      <t>,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r>
  </si>
  <si>
    <r>
      <rPr>
        <b/>
        <sz val="11"/>
        <color theme="1"/>
        <rFont val="Swis721 LtCn BT"/>
        <family val="2"/>
      </rPr>
      <t>Suministro, transporte e instalación de Kit silla Yee de 250 x 160</t>
    </r>
    <r>
      <rPr>
        <sz val="11"/>
        <color theme="1"/>
        <rFont val="Swis721 LtCn BT"/>
        <family val="2"/>
      </rPr>
      <t>. EMPALME A RED NOVAFORT DE 250mm A 4". Incluye todos los elementos necesarios para su correcta instalación y funcionamiento.</t>
    </r>
  </si>
  <si>
    <r>
      <t>Suministro, transporte e Instalación de Trampa de Grasas en polietileno de 200 a 250 Litros. Tipo Colempaques o Equivalente.</t>
    </r>
    <r>
      <rPr>
        <sz val="11"/>
        <color theme="1"/>
        <rFont val="Swis721 LtCn BT"/>
        <family val="2"/>
      </rPr>
      <t>Incluye,accesorios, empalmes, y  todos los elementos necesarios para su correcta instalación y funcionamiento.las excavaciones y llenos se pagarán en sus items correspondientes</t>
    </r>
  </si>
  <si>
    <r>
      <t xml:space="preserve">Suministro, transporte e instalación de Sistema Séptico Integrado Cilíndrico Horizontal de 3.000 litros, en polietileno de alta resistencia y caja de distribucuón de 40 litros. </t>
    </r>
    <r>
      <rPr>
        <sz val="11"/>
        <color theme="1"/>
        <rFont val="Swis721 LtCn BT"/>
        <family val="2"/>
      </rPr>
      <t>Incluye accesorios, empalmes, y  todos los elementos necesarios para su correcta instalación y funcionamiento. las excavaciones y llenos se pagarán en sus items correspondientes</t>
    </r>
  </si>
  <si>
    <r>
      <t xml:space="preserve">Colocación de MATERIAL GRANULAR limpio de 3/4" a 1"(Triturado) </t>
    </r>
    <r>
      <rPr>
        <sz val="11"/>
        <color theme="1"/>
        <rFont val="Swis721 LtCn BT"/>
        <family val="2"/>
      </rPr>
      <t>para filtros, camas de triturado, reemplazos de suelo o la aplicación para la cual sea necesario. Incluye el suministro y transporte interno y externo del material y todo lo necesario para su correcta instalación según diseño y especificaciones de la interventoría. Su medida será en sitio</t>
    </r>
    <r>
      <rPr>
        <b/>
        <sz val="11"/>
        <color theme="1"/>
        <rFont val="Swis721 LtCn BT"/>
        <family val="2"/>
      </rPr>
      <t>.</t>
    </r>
  </si>
  <si>
    <r>
      <t>Suministro, transporte e instalación de  tubería PVC Corrugada</t>
    </r>
    <r>
      <rPr>
        <sz val="11"/>
        <color theme="1"/>
        <rFont val="Arial"/>
        <family val="2"/>
      </rPr>
      <t xml:space="preserve"> Agricola, tipo Pavco o similar, con un diámetro de 65 mm- 2.1/2",  para drenajes (filtro). Incluyen las respectivas conexiones y accesorios y todo lo necesario para su correcta instalación y funcionamiento.</t>
    </r>
  </si>
  <si>
    <r>
      <t>Suministro, transporte e instalación de macromedidor tipo turbina de diametro 1 1/2".</t>
    </r>
    <r>
      <rPr>
        <sz val="11"/>
        <color theme="1"/>
        <rFont val="Arial"/>
        <family val="2"/>
      </rPr>
      <t xml:space="preserve"> De acuerdo a norma EPM según especificacion 708. Incluye: niples brida - brida, niples brida - liso, válvulas de compuerta sello elastico de vástogo ascendente en HD, válvula de admisión de aire camara sencilla en HD roscada, filtro en YEE en HD extremo brida - brida, Uniones universales tipo Dresser y los demas elementos que describe la norma citada para su correcta instalación y funcionamiento.</t>
    </r>
  </si>
  <si>
    <r>
      <t xml:space="preserve">Suministro, transporte e instalación de macromedidor tipo turbina de diametro  3". </t>
    </r>
    <r>
      <rPr>
        <sz val="11"/>
        <color theme="1"/>
        <rFont val="Arial"/>
        <family val="2"/>
      </rPr>
      <t>De acuerdo a norma EPM según especificacion 708. Incluye: niples brida - brida, niples brida - liso, válvulas de compuerta sello elastico de vástogo ascendente en HD, válvula de admisión de aire camara sencilla en HD roscada, filtro en YEE en HD extremo brida - brida, Uniones universales tipo Dresser y los demas elementos que describe la norma citada para su correcta instalación y funcionamiento.</t>
    </r>
  </si>
  <si>
    <r>
      <t xml:space="preserve">Construcción de caja para medidor de red de acueducto. </t>
    </r>
    <r>
      <rPr>
        <sz val="11"/>
        <color theme="1"/>
        <rFont val="Arial"/>
        <family val="2"/>
      </rPr>
      <t>De acuerdo a norma EPM según especificacion 710, en bloque estructural. Para medidor de 1 1/2</t>
    </r>
    <r>
      <rPr>
        <b/>
        <sz val="11"/>
        <color theme="1"/>
        <rFont val="Arial"/>
        <family val="2"/>
      </rPr>
      <t>"</t>
    </r>
  </si>
  <si>
    <r>
      <t>Construcción de caja para medidor de red de acueducto.</t>
    </r>
    <r>
      <rPr>
        <sz val="11"/>
        <color theme="1"/>
        <rFont val="Arial"/>
        <family val="2"/>
      </rPr>
      <t xml:space="preserve"> De acuerdo a norma EPM según especificacion 710, en bloque estructural. Para medidor de 3"</t>
    </r>
  </si>
  <si>
    <r>
      <t>Suministro, transporte e instalacion de válvula de bola de 3/4",</t>
    </r>
    <r>
      <rPr>
        <sz val="11"/>
        <color theme="1"/>
        <rFont val="Arial"/>
        <family val="2"/>
      </rPr>
      <t xml:space="preserve"> industrial tipo pesado, paso total, cuerpo en latón, mango de acero plastificado; incluyen los accesorios de instalacion.</t>
    </r>
  </si>
  <si>
    <r>
      <t xml:space="preserve">Suministro, transporte e instalación de válvula de bola de 1/2" </t>
    </r>
    <r>
      <rPr>
        <sz val="11"/>
        <color theme="1"/>
        <rFont val="Arial"/>
        <family val="2"/>
      </rPr>
      <t>industrial tipo pesado, paso total, cuerpo en latón, mango de acero plastificado; incluyen los accesorios de instalacion.</t>
    </r>
  </si>
  <si>
    <r>
      <rPr>
        <b/>
        <sz val="11"/>
        <color theme="1"/>
        <rFont val="Swis721 LtCn BT"/>
        <family val="2"/>
      </rPr>
      <t>Construcción de CUNETA</t>
    </r>
    <r>
      <rPr>
        <sz val="11"/>
        <color theme="1"/>
        <rFont val="Swis721 LtCn BT"/>
        <family val="2"/>
      </rPr>
      <t xml:space="preserve"> Según la Existente,</t>
    </r>
    <r>
      <rPr>
        <i/>
        <sz val="11"/>
        <color theme="1"/>
        <rFont val="Swis721 LtCn BT"/>
        <family val="2"/>
      </rPr>
      <t xml:space="preserve"> en concreto de 21 Mpa, con un DESARROLLO DE hasta 0.70 cm y un ESPESOR DE 10 cm. Incluye entresuelo de 15 cm en piedra de 2" a 4" y 5 cm en arenilla y todos los demás elementos necesarios para su correcta construcción.Suministro, transporte e instalación de ACERO DE REFUERZO FIGURADO FY= 420 Mpa-60000 PSI, corrugado, alambre de amarrar</t>
    </r>
  </si>
  <si>
    <r>
      <rPr>
        <b/>
        <sz val="11"/>
        <color theme="1"/>
        <rFont val="Swis721 LtCn BT"/>
        <family val="2"/>
      </rPr>
      <t>Construcción de MAMPOSTERÍA EN LADRILLO PARA REVOCAR O ENCHAPAR</t>
    </r>
    <r>
      <rPr>
        <sz val="11"/>
        <color theme="1"/>
        <rFont val="Swis721 LtCn BT"/>
        <family val="2"/>
      </rPr>
      <t xml:space="preserve"> </t>
    </r>
    <r>
      <rPr>
        <i/>
        <sz val="11"/>
        <color theme="1"/>
        <rFont val="Swis721 LtCn BT"/>
        <family val="2"/>
      </rPr>
      <t>una cara o dos caras, DE 15 x 20 x 40 cm. ESPESOR DE 15 cm. Incluye el suministro y transporte del ladrillo, el mortero de pega 1:4 espesor max=0.02 m y todos los demás elementos necesarios para su correcta construcción y funcionamiento.</t>
    </r>
  </si>
  <si>
    <r>
      <rPr>
        <b/>
        <sz val="11"/>
        <color theme="1"/>
        <rFont val="Swis721 LtCn BT"/>
        <family val="2"/>
      </rPr>
      <t>Suministro, transporte y aplicación de ácido nítrico e hidrosolve</t>
    </r>
    <r>
      <rPr>
        <sz val="11"/>
        <color theme="1"/>
        <rFont val="Swis721 LtCn BT"/>
        <family val="2"/>
      </rPr>
      <t xml:space="preserve"> proporción 1:1:5 para lavada de estructuras de concreto a la vista en fachadas, con todos los elementos necesarios para su correcta instalación y funcionamiento. andamios multidireccionales certificados,Solo donde lo indique la interventoría</t>
    </r>
  </si>
  <si>
    <r>
      <rPr>
        <b/>
        <sz val="11"/>
        <color theme="1"/>
        <rFont val="Swis721 LtCn BT"/>
        <family val="2"/>
      </rPr>
      <t>Suministro, transporte y aplicación de hidrófugo impermeabilizante</t>
    </r>
    <r>
      <rPr>
        <sz val="11"/>
        <color theme="1"/>
        <rFont val="Swis721 LtCn BT"/>
        <family val="2"/>
      </rPr>
      <t xml:space="preserve"> del tipo siliconite (Sika transparente o equivalente) o equivalente para estructuras de concreto a la vista en fachadas, gran durabilidad (10 años) con todos los elementos necesarios para su correcta instalación y funcionamiento. andamios multidireccionales certificados, Solo donde lo indique la interventoría</t>
    </r>
  </si>
  <si>
    <r>
      <rPr>
        <b/>
        <sz val="11"/>
        <color theme="1"/>
        <rFont val="Swis721 LtCn BT"/>
        <family val="2"/>
      </rPr>
      <t>Colocación de REVOQUE con mortero 1:4 IMPERMEABILIZADO</t>
    </r>
    <r>
      <rPr>
        <sz val="11"/>
        <color theme="1"/>
        <rFont val="Swis721 LtCn BT"/>
        <family val="2"/>
      </rPr>
      <t xml:space="preserve"> con Sika 1 o equivalente, EN MUROS. Incluye, pelada y/o picada de revoque existente hasta obtener superficie adcuada para la adherencia, del nuevo revoque, suministro y transporte de los materiales, fajas, ranuras, filetes, y todos los demás elementos necesarios para su correcta construcción.</t>
    </r>
  </si>
  <si>
    <r>
      <t xml:space="preserve">Construcción de cajas de registro de 60 x 60 x altura hasta 100 cm. en concreto de 21Mpa. </t>
    </r>
    <r>
      <rPr>
        <sz val="11"/>
        <color theme="1"/>
        <rFont val="Swis721 LtCn BT"/>
        <family val="2"/>
      </rPr>
      <t>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se pagarán en su ítem respectivo.</t>
    </r>
  </si>
  <si>
    <t>CORRECCIÓN ARITMETICA</t>
  </si>
  <si>
    <t>CHEQUEO POR CORRECCIÓN ARITMÉTICA</t>
  </si>
  <si>
    <t>CHEQUEO DEL % DE AU</t>
  </si>
  <si>
    <t>Tener capacidad jurídica para contratar. Por tanto, el Proponente debe: (i) Ser mayor de edad; (ii) no tener inhabilidades, incompatibilidades ni conflictos de interés para contratar, según el artículo 4° del Acuerdo Superior 419 de 2014; (iii) No tener ninguna de estas situaciones: Cesación de pagos o, cualquier otra circunstancia que justificadamente permita a LA UNIVERSIDAD presumir incapacidad o imposibilidad jurídica, económica o técnica para cumplir el objeto del contrato.</t>
  </si>
  <si>
    <t>(i) Ser ingeniero civil, arquitecto o arquitecto constructor.
(ii) Tener matrícula profesional vigente y experdida mínimo TRES (3) años antes del cierre de la INVITACIÓN</t>
  </si>
  <si>
    <t>Estar afiliado y a paz y salvo con el Sistema de Salud (EPS) y el Sistema General de Pensiones en los términos de la Ley. 
En caso de tener empleados a su cargo, deben estar afiliados y a paz y salvo con el Sistema General de Seguridad Social (Salud, Pensiones, Riesgos Laborales) como cotizante y con los aportes Parafiscales (Caja de Compensación Familiar, Sena, ICBF).</t>
  </si>
  <si>
    <t>No estar reportada al Boletín de Responsables Fiscales de la Contraloría General de la República (Art. 60 Ley 610 de 2000; Círcular 005 del 25 de febrero de 2008).</t>
  </si>
  <si>
    <t xml:space="preserve">No tener antecedentes disciplinarios en la Procuraduría General de la Nación. </t>
  </si>
  <si>
    <t>Estar inscrito, calificado y clasificado en el Registro único de Proponentes - RUP - de la Cámara de Comercio de su domicilio antes de la fecha de cierre o entrega de propuestas de esta invitación, en algunas de las clasificaciones de la UNSPSC  de la tabla 4: códigos 721526 - 721532</t>
  </si>
  <si>
    <t>Carta de presentación de la oferta de mayo 21 de 2019, a folios 2 y 3. Copia cédula N°71.577.370 - folio 4</t>
  </si>
  <si>
    <t>Ingeniero civil con Matrícula Profesional vigente - COPNIA N°05202-27454 ANT. Folios 5y6</t>
  </si>
  <si>
    <t>Afiliado y a paz y salvo, planilla ARUS de abril de 2019 N°66458712 folios 7 y 8</t>
  </si>
  <si>
    <t>No se encuentra reportado como responsable fiscal Código de verificación N° 71577370190514105916. folio 9</t>
  </si>
  <si>
    <t>No posee antecedentes disciplinarios certificado ordinario N°12695534. folio10</t>
  </si>
  <si>
    <t>No tiene asuntos pendientes con autoridades judiciales a folio 11</t>
  </si>
  <si>
    <t>No se encuentra vinculado a RNMC de la Policía, registro validación N°6468977. Folio 12</t>
  </si>
  <si>
    <t>RUT vigente a folio 13</t>
  </si>
  <si>
    <t>RUP - segménto 721015, 721029, 721033, 721211, 721214, a folios 14 - 69</t>
  </si>
  <si>
    <t xml:space="preserve">Aporta a folio 70 </t>
  </si>
  <si>
    <t>Liberty Seguros</t>
  </si>
  <si>
    <t>N° 3046024</t>
  </si>
  <si>
    <t>Carta de presentación de la oferta de mayo 21 de 2019, a folios 4 al 6 Copia cédula N°73.077.245 - folio 7</t>
  </si>
  <si>
    <t>Ingeniero civil con Matrícula Profesional vigente - COPNIA N°13202-01418 BLV Folios 8 y 9</t>
  </si>
  <si>
    <t>Afiliado y a paz y salvo, planilla integrada de abril de 2019 N°66458712 folios 82 a 86</t>
  </si>
  <si>
    <t>No se encuentra reportado como responsable fiscal Código de verificación N° 73077245190325191621. folio 88</t>
  </si>
  <si>
    <t>No posee antecedentes disciplinarios certificado ordinario N°124474802 a folio 90</t>
  </si>
  <si>
    <t>No tiene asuntos pendientes con autoridades judiciales a folio 92</t>
  </si>
  <si>
    <t xml:space="preserve">No se encuentra vinculado a RNMC de la Policía, registro validación N°6693144 del 28 de mayo de 2019 </t>
  </si>
  <si>
    <t>RUT vigente a folio 127</t>
  </si>
  <si>
    <t>RUP - segménto 721015, 721029, 721033, 721211, 721214, a folios 14 al 79</t>
  </si>
  <si>
    <t>Aporta a folio 11 y 12</t>
  </si>
  <si>
    <t>Seguros del Estado</t>
  </si>
  <si>
    <t>N°75-44-101098702</t>
  </si>
  <si>
    <t>21/05/2019 al 08/24/2019</t>
  </si>
  <si>
    <t>Carta de presentación de la oferta de mayo 21 de 2019, a folios 4 al 5. Copia cédula N°10.765.872 a folio 6</t>
  </si>
  <si>
    <t>Ingeniero civil con Matrícula Profesional vigente - COPNIA N°13202-104521 BLV</t>
  </si>
  <si>
    <t>Afiliado y a paz y salvo, planilla N°8174906 de mayo de 2019 N a folios 10 y 11</t>
  </si>
  <si>
    <t>No se encuentra reportado como responsable fiscal Código de verificación N°765872190528154147</t>
  </si>
  <si>
    <t>No posee antecedentes disciplinarios certificado ordinario N°127772988 de mayo 28 de 2019</t>
  </si>
  <si>
    <t>No tiene asuntos pendientes con autoridades judiciales -mayo 28/19</t>
  </si>
  <si>
    <t>No se encuentra vinculado a RNMC de la Policía, registro validación N°6694101 de mayo 28/19</t>
  </si>
  <si>
    <t>RUT vigente a folio 24</t>
  </si>
  <si>
    <t>RUP - segménto 721015, 721029, 721033, 721211, 721214, a folios del 24 al 74</t>
  </si>
  <si>
    <t>Aporta a folios 101 - 102</t>
  </si>
  <si>
    <t>Previsora</t>
  </si>
  <si>
    <t>N°3012210</t>
  </si>
  <si>
    <t>21/05/2019 al 21/092019</t>
  </si>
  <si>
    <t>Carta de presentación de la oferta de mayo 21 de 2019, a folios 4 al 5. Copia cédula N°73581245 a folio 8</t>
  </si>
  <si>
    <t>Ingeniero civil con Matrícula Profesional vigente - COPNIA N°13202-084470 BLV a folio 7</t>
  </si>
  <si>
    <t>Afiliado y a paz y salvo, planilla 8138688 a folios 9 y 10</t>
  </si>
  <si>
    <t xml:space="preserve">No se encuentra reportado como responsable fiscal Código de verificación N°73591245190528155817 </t>
  </si>
  <si>
    <t>No posee antecedentes disciplinarios certificado ordinario N°127776762</t>
  </si>
  <si>
    <t>No tiene asuntos pendientes con autoridades judiciales mayo 28/19</t>
  </si>
  <si>
    <t>No se encuentra vinculado a RNMC de la Policía, registro validación N°6695880</t>
  </si>
  <si>
    <t>RUT vigente a folio 240</t>
  </si>
  <si>
    <t>RUP - segménto 721015, 721029, 721033, 721211, 721214, a folios 12 al 238</t>
  </si>
  <si>
    <t xml:space="preserve">Aporta a folio 242 </t>
  </si>
  <si>
    <t>N°75-44-101098750</t>
  </si>
  <si>
    <t>Tener capacidad jurídica para contratar. Por tanto, el Proponente debe: (i) Ser una persona jurídica con capacidad jurídica para celebrar contratos; (ii) Tener como objeto social principal, o conexo, las actividades establecidas en el objeto de la presente INVITACIÓN; (iii) Haber sido registrada por lo menos TRES (3) años antes de la fecha de APERTURA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 de A, según la Constitución y la Ley; y el acuerdo superior 395 de 2011; (vii) No tener ninguna de estas situaciones: Cesación de pagos o, cualquier otra circunstancia que justificadamente permita a LA UNIVERSIDAD presumir incapacidad o imposibilidad jurídica, económica o técnica para cumplir el objeto del contrato.</t>
  </si>
  <si>
    <t>(i) Ser representante legal: ingeniero civil, arquitecto o arquitecto constructor
(ii) Tener matrícula profesional vigente, que haya sido expedida mínimo TRES (3) años antes del cierre de la presente invitación
Cuando el representante legal no cumpla el requisito anterior, la propuesta debe también ser firmada o abonada, por un profesional que SI cumpla el requisito</t>
  </si>
  <si>
    <t>Haber cumplido con los aportes al Sistema de Seguridad Social Integral y Parafiscales , en los seis (6) meses anteriores a la presentación de la Propuesta Comercial y encontrarse a paz y salvo con el sistema. Si tiene acuerdos de pago deberá certificarlo.</t>
  </si>
  <si>
    <t xml:space="preserve">Estar inscrito, calificado y clasificado en el Registro único de Proponentes - RUP - de la Cámara de Comercio de su domicilio antes de la fecha de cierre o entrega de propuestas de esta invitación, en algunas de las clasificaciones de la UNSPSC </t>
  </si>
  <si>
    <t>Anexo 8 - Certificadode existencia y representación legal a folio 5, inscrita en cámara de comercio el 10 de julio de 2014, representada legalmente por Jhon Alberto Calle Restrepo, con CC N°98.519.387 a folio 4</t>
  </si>
  <si>
    <t>Abona propuesta Ingeniera María Angélica Díaz Verbel CC 35.144.505 con MP COPNIA N°05202101144 ANT folios 12 al 15</t>
  </si>
  <si>
    <t>Anexo 7 - Certifica paz y salvo el contador Eduardo Ardila Saumet - Revisor Fiscal TP 48496-T. folios  18 al 20</t>
  </si>
  <si>
    <t>CC N°98.519.387 con certificado N° 127090968. folio 21 y NIT 9000662266 Cert. N°12091473</t>
  </si>
  <si>
    <t>Aporta RUT vigente a folio 27</t>
  </si>
  <si>
    <t xml:space="preserve"> RUP vigente a folios 74 al 342 - </t>
  </si>
  <si>
    <t>Aporta a folio 28</t>
  </si>
  <si>
    <t>N°3045998</t>
  </si>
  <si>
    <t>21/05/2019 hasta el 21/07/2019</t>
  </si>
  <si>
    <t>Anexo 8 a folio 2, Certificado de existencia y representación legal a folio 4, inscrita en cámara de comercio el 15 de noviembre de 2013. representada Legalmente por John Jairo García Arcila CC N°70514516 a folio 12</t>
  </si>
  <si>
    <t xml:space="preserve">Ingeniero civil John Jairo García Arcila CC N°70514516 matrícula vigente COPNIA N° 05202-36582 ANT a folios 13 y 14 </t>
  </si>
  <si>
    <t>Anexo 7 -Certifica el paz y salvo al sistema de seguridad social contadora Ruby Stella Cabrera Jaramillo  CC N°2.112.139 con TP 102591T a folios 15  al 18</t>
  </si>
  <si>
    <t>CC N° 70514516 código verificación N°7051451619053104542 a folio 21 y NIT 900674636-0 Certificacdo N°9006746360190503104628</t>
  </si>
  <si>
    <t>Aporta RUT vigente a folio 26</t>
  </si>
  <si>
    <t xml:space="preserve">RUP vigente a folios 31 al 176 </t>
  </si>
  <si>
    <t>Aporta a folio 267</t>
  </si>
  <si>
    <t>N° 65-44-101072624</t>
  </si>
  <si>
    <t>21/05/2019 hasta el 05/08/2019</t>
  </si>
  <si>
    <t>Abona propuesta Ingeniero Edisson Arturo Estrada Acuña CC 98.592901 con MP COPNIA N°05202-7699 ANT. A folios 9 al 11</t>
  </si>
  <si>
    <t xml:space="preserve">Anexo 7 - Certifica el paz y salvo al sistema de seguridad social la presentante legal a folio 13 </t>
  </si>
  <si>
    <t>CC N°22029109 código de verificación 22029109190518121750 folio 16 y NIT 900615667-7 certificado N°9006156677190518121608</t>
  </si>
  <si>
    <r>
      <t xml:space="preserve">Aporta RUT vigente a folio </t>
    </r>
    <r>
      <rPr>
        <sz val="11"/>
        <color rgb="FFFF0000"/>
        <rFont val="Calibri"/>
        <family val="2"/>
        <scheme val="minor"/>
      </rPr>
      <t>X</t>
    </r>
  </si>
  <si>
    <t xml:space="preserve">RUP  vigente a folio 22. </t>
  </si>
  <si>
    <t xml:space="preserve">Equidad Seguros </t>
  </si>
  <si>
    <t>N° AA002720</t>
  </si>
  <si>
    <t>21/05/2019 al 21/09/2019</t>
  </si>
  <si>
    <t>Anexo 8  a folios 2 al 4. Certificado de existencia y representación legal a folio 21, incrita en cámara de comercio el 14 de septiembre de 2004, representada por María Yorleny Lopera Palacio con CC N°43.623.142  a folio 6</t>
  </si>
  <si>
    <t>María Yorleny Lopera Palacio CC N°43.623.142 con matrícula vigente del COPNIA N°05202-087232 ANT. A folio 9</t>
  </si>
  <si>
    <r>
      <rPr>
        <sz val="11"/>
        <rFont val="Calibri"/>
        <family val="2"/>
        <scheme val="minor"/>
      </rPr>
      <t xml:space="preserve">Anexo 7  certifica paz y salvo la Revisora Fiscal  Gloria Lucía Marín Carvajal CC 21409904 con TP </t>
    </r>
    <r>
      <rPr>
        <sz val="11"/>
        <color rgb="FFFF0000"/>
        <rFont val="Calibri"/>
        <family val="2"/>
        <scheme val="minor"/>
      </rPr>
      <t xml:space="preserve"> </t>
    </r>
    <r>
      <rPr>
        <sz val="11"/>
        <rFont val="Calibri"/>
        <family val="2"/>
        <scheme val="minor"/>
      </rPr>
      <t>124639-T a folios 58 a 60</t>
    </r>
  </si>
  <si>
    <t>CC N°43.623.142 código verificación N°43623142190506093120 a folio 12 y NIT 811047188-0 certificado N°8110471880190506093216</t>
  </si>
  <si>
    <t>Aporta RUT vigente a folio 19</t>
  </si>
  <si>
    <t>RUP vigente a folio 31</t>
  </si>
  <si>
    <t>Aporta a folios 86 y 87</t>
  </si>
  <si>
    <t>Berkley Colombia Seguros</t>
  </si>
  <si>
    <t>N°24131</t>
  </si>
  <si>
    <t>21/05/2019 al 21/08/2019</t>
  </si>
  <si>
    <t>Anexo 8  a folios 11 al 14. Certificado de existencia y representación legal a folio 11, incrita en cámara de comercio de la Guajira el 4 de abril de 2001, representada por Alexander Arévalo Muñoz con CC 84.083.515 a folio 20</t>
  </si>
  <si>
    <t xml:space="preserve">Abona propuesta Ingeniero Oscar David Ospino Bermúdez con CC N°84.450.653 con MP COPNIA vigente N°08202-130062 ATL a folios 7 al 9 </t>
  </si>
  <si>
    <t>Anexo 7  a folios 71 - 72. Certifica paz y salvo revisor fiscal Luis carlos Cotes redondo CC 84.049.957 TP N° 107674-T a folios 70 al 72</t>
  </si>
  <si>
    <t>CC N°84450653 cód. verificaicón 84450653190529092506 y NIT N°825002360-9 certificado 82500236019019529092703</t>
  </si>
  <si>
    <t>Aporta RUT vigente a folio 18</t>
  </si>
  <si>
    <t>RUP vigente a folio 20 al 63</t>
  </si>
  <si>
    <t>Aporta a folio 16</t>
  </si>
  <si>
    <t>Previsora Seguros</t>
  </si>
  <si>
    <t>N°3011766</t>
  </si>
  <si>
    <t>Anexo 8 a folios 6 y 7. Certificado de existencia y representación legal  a folio 2, inscrita en camara de comercio el 24 de julio de 2007, representada por Nicolás Giraldo Bedoya CC N°4.414.647 a folio 9</t>
  </si>
  <si>
    <t>Ingeniero Civil Nicolás Giraldo Bedoya CC N°4.414.647, MP N°17202-094506 CLD a folio 10</t>
  </si>
  <si>
    <t>Anexo 7  certifica paz y salvo de seguridad social la Revisora Fiscal Eliana Patricia Gamez Blanco CCN°52242020 TP 120614-T a folios 16 al 18</t>
  </si>
  <si>
    <t>CC N°4414647 Cód. verificaión N°4414647190516153313 y NIT N°900165937 certificado N°9000165937190516154442</t>
  </si>
  <si>
    <t>Aporta RUT vigente a folio 2</t>
  </si>
  <si>
    <t>RUP vigente a folio 29</t>
  </si>
  <si>
    <t>Aporta a folio 54</t>
  </si>
  <si>
    <t>Seguros del estado</t>
  </si>
  <si>
    <t>N° 21-44-101296450</t>
  </si>
  <si>
    <t>$41.456,276,6</t>
  </si>
  <si>
    <t>21/05/2019 aql 30/07/2019</t>
  </si>
  <si>
    <t>074 DE 2015</t>
  </si>
  <si>
    <t>034-ARC-ENSB-CLENS-017</t>
  </si>
  <si>
    <t>FONDECUM</t>
  </si>
  <si>
    <t>Escuela Navala de suboficiales "ARC Barranquilla"</t>
  </si>
  <si>
    <t>Suministro, transporte e impermeabilización de tanques con membrana de PVC tipo Sikaplan 12 NTR o equivalente de espesor de 1,2mm. Incluye membrana a base de PVC plastificado y reforzado con armadura de poliéster para la impermeabilización de tanques de agua, debe de cumplir con las normas: UNE 104303, DIN 16938, ASTM 1003, DIN 53370, DIN 4062, ICONTEC 1500 para agua potable. Las uniones entre láminas deberán realizarse mediante soldadura termoplástica con aire caliente. Cuando se proceda a soldar 2 láminas, deberán disponerse de tal manera que el ancho del traslapo sea igual o mayor de 5 cm, por lo que la soldadura deberá tener en cualquier punto 4 cm como mínimo. Una vez que las superficies de las láminas que vayan a estar en contacto estén limpias y secas, se procederá a la unión (soldadura). Los traslapos, inmediatamente después de la soldadura, se presionan uniformemente con un rodillo para obtener así una unión homogénea. Incluye Sikaplan 12 NT o equivalente, Geotextil Sika PP 1800 o equivalente, perfil de fondo, perfil de borde, Sika Primer 215 o equivalente, Sikaflex Construction o equivalente, anclajes y todos los elementos necesarios para su correcta instalación y funcionamiento.Incluye prueba de estanqueidad.LA INSTALACIÓN, DEBE SER REALIZADA, POR PERSONAL QUE POSEA, CERTIFICADO DE INSTALADOR DE LA EMPRESA FABRICANTE DEL PRODUCTO A INSTALAR.</t>
  </si>
  <si>
    <t>Suministro, transporte e impermeabilización de losa en concreto expuesta a la intemperie, con membrana de PVC de alta reflectividad ( protección UV), tipo Sarnafil S327-15L White o equivalente, espesor 1.5 mm. con refuerzo en poliester, Fijación mecánica, geotextil Sika PP 2500 o equivalente,  Sika Metal Sheet (perfil plano). Incluye desperdicio, Geotextil, Sikaflex Premier- 429/202, SikaFlex 1A, Termo soldadura y mano de obra. Incluye preparación de la superficie. andamios multidireccionales certificados,  y todos los demás elementos necesarios para su correcta aplicación. La aplicación técnica se debe hacer siguiendo todas las instrucciones y recomendaciones del fabricante. Incluye: Juntas estructurales, tolerancias, desniveles, bordes de losa,emboquillados de bajantes, gargolas, tragantes. bordeado de columnas, tubos, muretes, y cualquier otro elemento independiente de su forma, ubicado en la losa. El personal que realice la aplicación del recubrimiento debe estar certificado por el Fabricante.Para el recibo de las obras por parte de la interventoría</t>
  </si>
  <si>
    <t xml:space="preserve">Suministro, transporte e impermeabilización de losa en concreto con Membrana elastomérica de poliuretano, de bajo olor y bajo VOC  tipo VULKEM 350/351 NF o equivalente. Incluye preparación de la superficie, regatas y todos los demás elementos necesarios para su correcta aplicación. VULKEM 350 NF rinde 2.32 m2/gal de producto o cada cuñete de 5 galones alcanza para 11.6 m2 con un espesor de 60 mils, andamios multidireccionales certificados,
</t>
  </si>
  <si>
    <r>
      <t xml:space="preserve">Anexo 8 a folio 2, Certificado de existencia y representación legal a folio 5, inscrita en cámara de comercio el 7 de mayo de 2013. representada Legalmente por Miriam Del Socorro Múnera con CC N°22.029.105. </t>
    </r>
    <r>
      <rPr>
        <sz val="11"/>
        <color rgb="FFFF0000"/>
        <rFont val="Calibri"/>
        <family val="2"/>
        <scheme val="minor"/>
      </rPr>
      <t xml:space="preserve">No se aporta copia de la cédula de ciudadanía de la Representante legal. </t>
    </r>
    <r>
      <rPr>
        <b/>
        <sz val="11"/>
        <color theme="1"/>
        <rFont val="Calibri"/>
        <family val="2"/>
        <scheme val="minor"/>
      </rPr>
      <t>Se requiere al proponente y subsana</t>
    </r>
  </si>
  <si>
    <r>
      <t xml:space="preserve">No se identifica la aseguradora; </t>
    </r>
    <r>
      <rPr>
        <b/>
        <sz val="11"/>
        <color theme="1"/>
        <rFont val="Calibri"/>
        <family val="2"/>
        <scheme val="minor"/>
      </rPr>
      <t>Se requiere al proponente y subsana</t>
    </r>
  </si>
  <si>
    <r>
      <t xml:space="preserve">Aporta a folios 61 y 62 </t>
    </r>
    <r>
      <rPr>
        <sz val="11"/>
        <color rgb="FFFF0000"/>
        <rFont val="Calibri"/>
        <family val="2"/>
        <scheme val="minor"/>
      </rPr>
      <t xml:space="preserve">No tiene firma del oferente. </t>
    </r>
    <r>
      <rPr>
        <b/>
        <sz val="11"/>
        <color theme="1"/>
        <rFont val="Calibri"/>
        <family val="2"/>
        <scheme val="minor"/>
      </rPr>
      <t>Se requiere al proponente y subsana</t>
    </r>
  </si>
  <si>
    <t>CUMP'LE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</si>
</sst>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00;[Red]\-&quot;$&quot;#,##0.00"/>
    <numFmt numFmtId="165" formatCode="_(* #,##0.00_);_(* \(#,##0.00\);_(* &quot;-&quot;??_);_(@_)"/>
    <numFmt numFmtId="166" formatCode="_-* #,##0.00\ _€_-;\-* #,##0.00\ _€_-;_-* &quot;-&quot;??\ _€_-;_-@_-"/>
    <numFmt numFmtId="167" formatCode="_ * #,##0.00_ ;_ * \-#,##0.00_ ;_ * &quot;-&quot;??_ ;_ @_ "/>
    <numFmt numFmtId="168" formatCode="&quot;K=&quot;\ \ \ \ #,##0.00\ &quot;de contra&quot;"/>
    <numFmt numFmtId="169" formatCode="&quot;$&quot;\ #,##0.00"/>
    <numFmt numFmtId="170" formatCode="#,##0.00\ &quot;SMMLV&quot;"/>
    <numFmt numFmtId="171" formatCode="_ * #,##0_ ;_ * \-#,##0_ ;_ * &quot;-&quot;??_ ;_ @_ "/>
    <numFmt numFmtId="172" formatCode="_-* #,##0.00\ [$€]_-;\-* #,##0.00\ [$€]_-;_-* &quot;-&quot;??\ [$€]_-;_-@_-"/>
    <numFmt numFmtId="173" formatCode="\$#,##0.00_);[Red]\(\$#,##0.00\)"/>
    <numFmt numFmtId="174" formatCode="&quot;$&quot;\ #,##0.00;[Red]&quot;$&quot;\ \-#,##0.00"/>
    <numFmt numFmtId="175" formatCode="_-* #,##0.00\ _$_-;\-* #,##0.00\ _$_-;_-* &quot;-&quot;??\ _$_-;_-@_-"/>
    <numFmt numFmtId="176" formatCode="#,##0.000"/>
    <numFmt numFmtId="177" formatCode="0.0"/>
    <numFmt numFmtId="178" formatCode="###,###,##0.00000"/>
    <numFmt numFmtId="179" formatCode="&quot;$&quot;\ #,##0;&quot;$&quot;\ \-#,##0"/>
    <numFmt numFmtId="180" formatCode="_ &quot;$&quot;\ * #,##0.00_ ;_ &quot;$&quot;\ * \-#,##0.00_ ;_ &quot;$&quot;\ * &quot;-&quot;??_ ;_ @_ "/>
    <numFmt numFmtId="181" formatCode="_ &quot;$&quot;\ * #,##0_ ;_ &quot;$&quot;\ * \-#,##0_ ;_ &quot;$&quot;\ * &quot;-&quot;_ ;_ @_ "/>
    <numFmt numFmtId="182" formatCode="&quot;$&quot;\ #,##0.00;&quot;$&quot;\ \-#,##0.00"/>
    <numFmt numFmtId="183" formatCode="[$$-240A]\ #,##0.00"/>
    <numFmt numFmtId="184" formatCode="&quot;$&quot;\ #,##0;[Red]&quot;$&quot;\ \-#,##0"/>
    <numFmt numFmtId="185" formatCode="_(* #,##0_);_(* \(#,##0\);_(* &quot;-&quot;??_);_(@_)"/>
    <numFmt numFmtId="186" formatCode="_([$$-240A]\ * #,##0_);_([$$-240A]\ * \(#,##0\);_([$$-240A]\ * &quot;-&quot;_);_(@_)"/>
    <numFmt numFmtId="187" formatCode="#,##0;[Red]#,##0"/>
    <numFmt numFmtId="188" formatCode="#,##0.00;[Red]#,##0.00"/>
    <numFmt numFmtId="189" formatCode="&quot;$&quot;\ #,##0"/>
    <numFmt numFmtId="190" formatCode="&quot;$&quot;#,##0"/>
    <numFmt numFmtId="191" formatCode="&quot;$&quot;#,##0.00"/>
    <numFmt numFmtId="192" formatCode="#,##0.0000"/>
    <numFmt numFmtId="193" formatCode="#,##0.00_ ;[Red]\-#,##0.00\ "/>
    <numFmt numFmtId="194" formatCode="&quot;X=&quot;0.0"/>
    <numFmt numFmtId="195" formatCode="_(&quot;$&quot;\ * #,##0.00_);_(&quot;$&quot;\ * \(#,##0.00\);_(&quot;$&quot;\ * &quot;-&quot;??_);_(@_)"/>
    <numFmt numFmtId="196" formatCode="_-[$$-240A]\ * #,##0.00_-;\-[$$-240A]\ * #,##0.00_-;_-[$$-240A]\ * &quot;-&quot;??_-;_-@_-"/>
    <numFmt numFmtId="197" formatCode="_(&quot;$&quot;\ * #,##0.00_);_(&quot;$&quot;\ * \(#,##0.00\);_(&quot;$&quot;\ * &quot;-&quot;_);_(@_)"/>
    <numFmt numFmtId="198" formatCode="0.0%"/>
    <numFmt numFmtId="199" formatCode="_-[$$-240A]\ * #,##0_-;\-[$$-240A]\ * #,##0_-;_-[$$-240A]\ * &quot;-&quot;??_-;_-@_-"/>
    <numFmt numFmtId="200" formatCode="0.0000%"/>
    <numFmt numFmtId="201" formatCode="0.00000000000000000%"/>
    <numFmt numFmtId="202" formatCode="0.000000000000000%"/>
    <numFmt numFmtId="203" formatCode="_-* #,##0_-;\-* #,##0_-;_-* &quot;-&quot;??_-;_-@_-"/>
    <numFmt numFmtId="204" formatCode="0.00000000000000%"/>
    <numFmt numFmtId="205" formatCode="_-&quot;$&quot;\ * #,##0.0000_-;\-&quot;$&quot;\ * #,##0.0000_-;_-&quot;$&quot;\ * &quot;-&quot;_-;_-@_-"/>
  </numFmts>
  <fonts count="1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12"/>
      <name val="Arial"/>
      <family val="2"/>
    </font>
    <font>
      <b/>
      <sz val="12"/>
      <name val="Arial"/>
      <family val="2"/>
    </font>
    <font>
      <sz val="9"/>
      <name val="Arial"/>
      <family val="2"/>
    </font>
    <font>
      <u/>
      <sz val="7"/>
      <color theme="10"/>
      <name val="Arial"/>
      <family val="2"/>
    </font>
    <font>
      <u/>
      <sz val="8.5"/>
      <color theme="10"/>
      <name val="Arial"/>
      <family val="2"/>
    </font>
    <font>
      <sz val="10"/>
      <name val="Helv"/>
      <charset val="204"/>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i/>
      <sz val="8"/>
      <name val="Arial"/>
      <family val="2"/>
    </font>
    <font>
      <b/>
      <sz val="11"/>
      <color indexed="62"/>
      <name val="Calibri"/>
      <family val="2"/>
    </font>
    <font>
      <sz val="11"/>
      <color indexed="62"/>
      <name val="Calibri"/>
      <family val="2"/>
    </font>
    <font>
      <i/>
      <sz val="11"/>
      <color indexed="23"/>
      <name val="Calibri"/>
      <family val="2"/>
    </font>
    <font>
      <b/>
      <i/>
      <sz val="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9"/>
      <name val="Calibri"/>
      <family val="2"/>
    </font>
    <font>
      <sz val="10"/>
      <name val="Myriad Pro"/>
    </font>
    <font>
      <b/>
      <sz val="11"/>
      <color indexed="63"/>
      <name val="Calibri"/>
      <family val="2"/>
    </font>
    <font>
      <b/>
      <sz val="8"/>
      <name val="Arial"/>
      <family val="2"/>
    </font>
    <font>
      <b/>
      <sz val="18"/>
      <color indexed="56"/>
      <name val="Cambria"/>
      <family val="2"/>
    </font>
    <font>
      <b/>
      <sz val="11"/>
      <name val="Arial"/>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6"/>
      <name val="Arial"/>
      <family val="2"/>
    </font>
    <font>
      <sz val="10"/>
      <color rgb="FFFF0000"/>
      <name val="Arial"/>
      <family val="2"/>
    </font>
    <font>
      <sz val="10"/>
      <color theme="1"/>
      <name val="Arial"/>
      <family val="2"/>
    </font>
    <font>
      <b/>
      <sz val="10"/>
      <color theme="1"/>
      <name val="Arial"/>
      <family val="2"/>
    </font>
    <font>
      <b/>
      <sz val="10"/>
      <color rgb="FF000000"/>
      <name val="Arial"/>
      <family val="2"/>
    </font>
    <font>
      <sz val="10"/>
      <color rgb="FF000000"/>
      <name val="Arial"/>
      <family val="2"/>
    </font>
    <font>
      <sz val="11"/>
      <color rgb="FF000000"/>
      <name val="Calibri"/>
      <family val="2"/>
    </font>
    <font>
      <b/>
      <sz val="12"/>
      <color rgb="FF000000"/>
      <name val="Calibri"/>
      <family val="2"/>
    </font>
    <font>
      <sz val="11"/>
      <name val="Calibri"/>
      <family val="2"/>
      <scheme val="minor"/>
    </font>
    <font>
      <b/>
      <sz val="11"/>
      <name val="Calibri"/>
      <family val="2"/>
      <scheme val="minor"/>
    </font>
    <font>
      <b/>
      <sz val="12"/>
      <name val="Calibri"/>
      <family val="2"/>
      <scheme val="minor"/>
    </font>
    <font>
      <sz val="8"/>
      <name val="Calibri"/>
      <family val="2"/>
      <scheme val="minor"/>
    </font>
    <font>
      <sz val="11"/>
      <name val="Arial"/>
      <family val="2"/>
    </font>
    <font>
      <b/>
      <sz val="12"/>
      <color rgb="FF000000"/>
      <name val="Arial"/>
      <family val="2"/>
    </font>
    <font>
      <b/>
      <sz val="12"/>
      <color theme="1"/>
      <name val="Arial"/>
      <family val="2"/>
    </font>
    <font>
      <b/>
      <sz val="14"/>
      <color rgb="FF000000"/>
      <name val="Calibri"/>
      <family val="2"/>
    </font>
    <font>
      <sz val="11"/>
      <color theme="1"/>
      <name val="Arial"/>
      <family val="2"/>
    </font>
    <font>
      <b/>
      <sz val="11"/>
      <color theme="1"/>
      <name val="Arial"/>
      <family val="2"/>
    </font>
    <font>
      <sz val="10"/>
      <name val="Swis721 LtCn BT"/>
      <family val="2"/>
    </font>
    <font>
      <sz val="11"/>
      <name val="Swis721 LtCn BT"/>
      <family val="2"/>
    </font>
    <font>
      <b/>
      <sz val="12"/>
      <name val="Swis721 LtCn BT"/>
      <family val="2"/>
    </font>
    <font>
      <b/>
      <sz val="11"/>
      <name val="Swis721 LtCn BT"/>
      <family val="2"/>
    </font>
    <font>
      <b/>
      <sz val="10"/>
      <name val="Swis721 LtCn BT"/>
      <family val="2"/>
    </font>
    <font>
      <b/>
      <sz val="9"/>
      <name val="Swis721 LtCn BT"/>
      <family val="2"/>
    </font>
    <font>
      <sz val="9"/>
      <name val="Swis721 LtCn BT"/>
      <family val="2"/>
    </font>
    <font>
      <sz val="16"/>
      <name val="Arial"/>
      <family val="2"/>
    </font>
    <font>
      <sz val="12"/>
      <color theme="1"/>
      <name val="Arial"/>
      <family val="2"/>
    </font>
    <font>
      <b/>
      <sz val="11"/>
      <color rgb="FF000000"/>
      <name val="Arial"/>
      <family val="2"/>
    </font>
    <font>
      <sz val="11"/>
      <color rgb="FF000000"/>
      <name val="Arial"/>
      <family val="2"/>
    </font>
    <font>
      <sz val="12"/>
      <name val="Calibri"/>
      <family val="2"/>
      <scheme val="minor"/>
    </font>
    <font>
      <b/>
      <sz val="16"/>
      <name val="Calibri"/>
      <family val="2"/>
      <scheme val="minor"/>
    </font>
    <font>
      <b/>
      <vertAlign val="subscript"/>
      <sz val="12"/>
      <name val="Calibri"/>
      <family val="2"/>
      <scheme val="minor"/>
    </font>
    <font>
      <b/>
      <sz val="20"/>
      <name val="Calibri"/>
      <family val="2"/>
      <scheme val="minor"/>
    </font>
    <font>
      <sz val="10"/>
      <name val="Arial"/>
      <family val="2"/>
    </font>
    <font>
      <b/>
      <sz val="10"/>
      <color rgb="FFFF0000"/>
      <name val="Arial"/>
      <family val="2"/>
    </font>
    <font>
      <b/>
      <sz val="10"/>
      <name val="Calibri"/>
      <family val="2"/>
      <scheme val="minor"/>
    </font>
    <font>
      <b/>
      <sz val="9"/>
      <name val="Calibri"/>
      <family val="2"/>
      <scheme val="minor"/>
    </font>
    <font>
      <sz val="10"/>
      <name val="Century Gothic"/>
      <family val="2"/>
    </font>
    <font>
      <u/>
      <sz val="10"/>
      <color theme="10"/>
      <name val="Arial"/>
      <family val="2"/>
    </font>
    <font>
      <sz val="10.5"/>
      <color theme="1"/>
      <name val="Arial"/>
      <family val="2"/>
    </font>
    <font>
      <sz val="10.5"/>
      <name val="Arial"/>
      <family val="2"/>
    </font>
    <font>
      <b/>
      <sz val="14"/>
      <name val="Swis721 LtCn BT"/>
      <family val="2"/>
    </font>
    <font>
      <b/>
      <sz val="16"/>
      <name val="Swis721 LtCn BT"/>
      <family val="2"/>
    </font>
    <font>
      <u/>
      <sz val="12"/>
      <name val="Arial"/>
      <family val="2"/>
    </font>
    <font>
      <b/>
      <i/>
      <sz val="11"/>
      <name val="Swis721 LtCn BT"/>
      <family val="2"/>
    </font>
    <font>
      <sz val="8"/>
      <name val="Arial"/>
      <family val="2"/>
    </font>
    <font>
      <sz val="11"/>
      <color theme="0"/>
      <name val="Calibri"/>
      <family val="2"/>
      <scheme val="minor"/>
    </font>
    <font>
      <b/>
      <sz val="18"/>
      <color theme="1"/>
      <name val="Arial"/>
      <family val="2"/>
    </font>
    <font>
      <b/>
      <sz val="18"/>
      <name val="Arial"/>
      <family val="2"/>
    </font>
    <font>
      <sz val="10"/>
      <name val="Arial"/>
    </font>
    <font>
      <i/>
      <sz val="11"/>
      <name val="Arial"/>
      <family val="2"/>
    </font>
    <font>
      <sz val="18"/>
      <color theme="0"/>
      <name val="Arial"/>
      <family val="2"/>
    </font>
    <font>
      <b/>
      <sz val="12"/>
      <color theme="1"/>
      <name val="Swis721 LtCn BT"/>
      <family val="2"/>
    </font>
    <font>
      <sz val="16"/>
      <color theme="0"/>
      <name val="Arial"/>
      <family val="2"/>
    </font>
    <font>
      <b/>
      <sz val="11.5"/>
      <name val="Swis721 LtCn BT"/>
      <family val="2"/>
    </font>
    <font>
      <sz val="10.5"/>
      <color theme="0"/>
      <name val="Swis721 LtCn BT"/>
      <family val="2"/>
    </font>
    <font>
      <b/>
      <sz val="10.5"/>
      <color theme="0"/>
      <name val="Swis721 LtCn BT"/>
      <family val="2"/>
    </font>
    <font>
      <b/>
      <sz val="10.5"/>
      <color theme="0"/>
      <name val="Century Gothic"/>
      <family val="2"/>
    </font>
    <font>
      <b/>
      <sz val="11"/>
      <color theme="0"/>
      <name val="Century Gothic"/>
      <family val="2"/>
    </font>
    <font>
      <b/>
      <sz val="11"/>
      <color theme="1"/>
      <name val="Swis721 LtCn BT"/>
      <family val="2"/>
    </font>
    <font>
      <b/>
      <sz val="11.5"/>
      <color indexed="8"/>
      <name val="Swis721 LtCn BT"/>
      <family val="2"/>
    </font>
    <font>
      <b/>
      <sz val="11"/>
      <name val="Century Gothic"/>
      <family val="2"/>
    </font>
    <font>
      <sz val="11"/>
      <name val="Century Gothic"/>
      <family val="2"/>
    </font>
    <font>
      <u/>
      <sz val="11"/>
      <color theme="10"/>
      <name val="Swis721 LtCn BT"/>
      <family val="2"/>
    </font>
    <font>
      <b/>
      <i/>
      <sz val="11"/>
      <name val="Arial"/>
      <family val="2"/>
    </font>
    <font>
      <i/>
      <sz val="11"/>
      <name val="Swis721 LtCn BT"/>
      <family val="2"/>
    </font>
    <font>
      <b/>
      <sz val="9"/>
      <color indexed="81"/>
      <name val="Tahoma"/>
      <family val="2"/>
    </font>
    <font>
      <u/>
      <sz val="9"/>
      <name val="Swis721 LtCn BT"/>
      <family val="2"/>
    </font>
    <font>
      <i/>
      <sz val="9"/>
      <name val="Swis721 LtCn BT"/>
      <family val="2"/>
    </font>
    <font>
      <i/>
      <sz val="10"/>
      <name val="Swis721 LtCn BT"/>
      <family val="2"/>
    </font>
    <font>
      <sz val="11"/>
      <name val="Swis721 Cn BT"/>
      <family val="2"/>
    </font>
    <font>
      <b/>
      <sz val="11"/>
      <name val="Swis721 Cn BT"/>
      <family val="2"/>
    </font>
    <font>
      <sz val="11"/>
      <color theme="0"/>
      <name val="Swis721 Cn BT"/>
      <family val="2"/>
    </font>
    <font>
      <b/>
      <sz val="11"/>
      <color theme="0"/>
      <name val="Swis721 Cn BT"/>
      <family val="2"/>
    </font>
    <font>
      <b/>
      <sz val="11"/>
      <color theme="1"/>
      <name val="Swis721 Cn BT"/>
      <family val="2"/>
    </font>
    <font>
      <b/>
      <sz val="11"/>
      <color indexed="8"/>
      <name val="Swis721 Cn BT"/>
      <family val="2"/>
    </font>
    <font>
      <u/>
      <sz val="11"/>
      <color theme="10"/>
      <name val="Swis721 Cn BT"/>
      <family val="2"/>
    </font>
    <font>
      <sz val="9"/>
      <color indexed="81"/>
      <name val="Swis721 LtCn BT"/>
      <family val="2"/>
    </font>
    <font>
      <sz val="9"/>
      <color indexed="81"/>
      <name val="Tahoma"/>
      <family val="2"/>
    </font>
    <font>
      <sz val="10"/>
      <color rgb="FFFF0000"/>
      <name val="Swis721 LtCn BT"/>
      <family val="2"/>
    </font>
    <font>
      <i/>
      <sz val="10"/>
      <color rgb="FFFF0000"/>
      <name val="Swis721 LtCn BT"/>
      <family val="2"/>
    </font>
    <font>
      <sz val="9"/>
      <color rgb="FFFF0000"/>
      <name val="Swis721 LtCn BT"/>
      <family val="2"/>
    </font>
    <font>
      <u/>
      <sz val="11"/>
      <color theme="1"/>
      <name val="Swis721 LtCn BT"/>
      <family val="2"/>
    </font>
    <font>
      <b/>
      <i/>
      <sz val="11"/>
      <color theme="1"/>
      <name val="Arial"/>
      <family val="2"/>
    </font>
    <font>
      <i/>
      <sz val="11"/>
      <color theme="1"/>
      <name val="Arial"/>
      <family val="2"/>
    </font>
    <font>
      <sz val="11"/>
      <color theme="1"/>
      <name val="Swis721 LtCn BT"/>
      <family val="2"/>
    </font>
    <font>
      <i/>
      <sz val="11"/>
      <color theme="1"/>
      <name val="Swis721 LtCn BT"/>
      <family val="2"/>
    </font>
    <font>
      <b/>
      <sz val="11.5"/>
      <color theme="1"/>
      <name val="Swis721 LtCn BT"/>
      <family val="2"/>
    </font>
    <font>
      <b/>
      <sz val="11"/>
      <color theme="1"/>
      <name val="Century Gothic"/>
      <family val="2"/>
    </font>
    <font>
      <sz val="11"/>
      <color theme="1"/>
      <name val="Century Gothic"/>
      <family val="2"/>
    </font>
    <font>
      <u/>
      <sz val="10"/>
      <color theme="1"/>
      <name val="Arial"/>
      <family val="2"/>
    </font>
    <font>
      <b/>
      <i/>
      <sz val="11"/>
      <color theme="1"/>
      <name val="Swis721 LtCn BT"/>
      <family val="2"/>
    </font>
    <font>
      <b/>
      <sz val="11"/>
      <color rgb="FFFFFF00"/>
      <name val="Calibri"/>
      <family val="2"/>
      <scheme val="minor"/>
    </font>
    <font>
      <b/>
      <sz val="10"/>
      <color rgb="FFFF0000"/>
      <name val="Swis721 LtCn BT"/>
      <family val="2"/>
    </font>
    <font>
      <sz val="11"/>
      <color rgb="FFFF0000"/>
      <name val="Calibri"/>
      <family val="2"/>
      <scheme val="minor"/>
    </font>
    <font>
      <b/>
      <sz val="11"/>
      <color theme="1"/>
      <name val="Calibri"/>
      <family val="2"/>
      <scheme val="minor"/>
    </font>
    <font>
      <sz val="11"/>
      <color rgb="FFC00000"/>
      <name val="Calibri"/>
      <family val="2"/>
      <scheme val="minor"/>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
      <patternFill patternType="solid">
        <fgColor theme="6"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499984740745262"/>
        <bgColor indexed="64"/>
      </patternFill>
    </fill>
    <fill>
      <patternFill patternType="solid">
        <fgColor theme="6" tint="0.39997558519241921"/>
        <bgColor indexed="8"/>
      </patternFill>
    </fill>
    <fill>
      <patternFill patternType="solid">
        <fgColor rgb="FFFFFFFF"/>
        <bgColor rgb="FFFFFFFF"/>
      </patternFill>
    </fill>
    <fill>
      <patternFill patternType="solid">
        <fgColor theme="9" tint="0.79998168889431442"/>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0"/>
        <bgColor rgb="FFFFFFFF"/>
      </patternFill>
    </fill>
    <fill>
      <patternFill patternType="solid">
        <fgColor theme="9" tint="-0.249977111117893"/>
        <bgColor indexed="64"/>
      </patternFill>
    </fill>
  </fills>
  <borders count="1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style="double">
        <color auto="1"/>
      </top>
      <bottom/>
      <diagonal/>
    </border>
    <border>
      <left/>
      <right/>
      <top/>
      <bottom style="double">
        <color auto="1"/>
      </bottom>
      <diagonal/>
    </border>
    <border>
      <left style="double">
        <color auto="1"/>
      </left>
      <right style="medium">
        <color auto="1"/>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double">
        <color auto="1"/>
      </right>
      <top style="hair">
        <color auto="1"/>
      </top>
      <bottom style="hair">
        <color auto="1"/>
      </bottom>
      <diagonal/>
    </border>
    <border>
      <left style="double">
        <color auto="1"/>
      </left>
      <right style="medium">
        <color auto="1"/>
      </right>
      <top/>
      <bottom style="hair">
        <color auto="1"/>
      </bottom>
      <diagonal/>
    </border>
    <border>
      <left style="thin">
        <color indexed="64"/>
      </left>
      <right style="thin">
        <color indexed="64"/>
      </right>
      <top style="thin">
        <color indexed="64"/>
      </top>
      <bottom style="thin">
        <color indexed="64"/>
      </bottom>
      <diagonal/>
    </border>
    <border>
      <left style="medium">
        <color auto="1"/>
      </left>
      <right style="medium">
        <color auto="1"/>
      </right>
      <top/>
      <bottom style="hair">
        <color auto="1"/>
      </bottom>
      <diagonal/>
    </border>
    <border>
      <left style="medium">
        <color auto="1"/>
      </left>
      <right style="double">
        <color auto="1"/>
      </right>
      <top/>
      <bottom style="hair">
        <color auto="1"/>
      </bottom>
      <diagonal/>
    </border>
    <border>
      <left style="double">
        <color auto="1"/>
      </left>
      <right style="medium">
        <color auto="1"/>
      </right>
      <top/>
      <bottom/>
      <diagonal/>
    </border>
    <border>
      <left style="medium">
        <color auto="1"/>
      </left>
      <right style="medium">
        <color auto="1"/>
      </right>
      <top/>
      <bottom/>
      <diagonal/>
    </border>
    <border>
      <left style="medium">
        <color auto="1"/>
      </left>
      <right style="double">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auto="1"/>
      </left>
      <right/>
      <top/>
      <bottom style="hair">
        <color auto="1"/>
      </bottom>
      <diagonal/>
    </border>
    <border>
      <left style="medium">
        <color auto="1"/>
      </left>
      <right/>
      <top style="hair">
        <color auto="1"/>
      </top>
      <bottom style="hair">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double">
        <color auto="1"/>
      </left>
      <right/>
      <top style="double">
        <color auto="1"/>
      </top>
      <bottom/>
      <diagonal/>
    </border>
    <border>
      <left style="double">
        <color indexed="64"/>
      </left>
      <right style="medium">
        <color indexed="64"/>
      </right>
      <top style="medium">
        <color indexed="64"/>
      </top>
      <bottom style="double">
        <color indexed="64"/>
      </bottom>
      <diagonal/>
    </border>
    <border>
      <left style="double">
        <color indexed="64"/>
      </left>
      <right style="double">
        <color indexed="64"/>
      </right>
      <top style="thin">
        <color indexed="64"/>
      </top>
      <bottom style="double">
        <color indexed="64"/>
      </bottom>
      <diagonal/>
    </border>
    <border>
      <left style="double">
        <color auto="1"/>
      </left>
      <right style="double">
        <color auto="1"/>
      </right>
      <top style="double">
        <color auto="1"/>
      </top>
      <bottom/>
      <diagonal/>
    </border>
    <border>
      <left style="double">
        <color auto="1"/>
      </left>
      <right style="medium">
        <color auto="1"/>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style="double">
        <color auto="1"/>
      </right>
      <top style="medium">
        <color auto="1"/>
      </top>
      <bottom style="hair">
        <color auto="1"/>
      </bottom>
      <diagonal/>
    </border>
    <border>
      <left style="double">
        <color auto="1"/>
      </left>
      <right style="medium">
        <color auto="1"/>
      </right>
      <top style="hair">
        <color auto="1"/>
      </top>
      <bottom style="medium">
        <color auto="1"/>
      </bottom>
      <diagonal/>
    </border>
    <border>
      <left style="medium">
        <color auto="1"/>
      </left>
      <right style="medium">
        <color auto="1"/>
      </right>
      <top style="hair">
        <color auto="1"/>
      </top>
      <bottom style="medium">
        <color auto="1"/>
      </bottom>
      <diagonal/>
    </border>
    <border>
      <left style="medium">
        <color auto="1"/>
      </left>
      <right style="double">
        <color auto="1"/>
      </right>
      <top style="hair">
        <color auto="1"/>
      </top>
      <bottom style="medium">
        <color auto="1"/>
      </bottom>
      <diagonal/>
    </border>
    <border>
      <left style="medium">
        <color auto="1"/>
      </left>
      <right style="medium">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medium">
        <color auto="1"/>
      </right>
      <top style="double">
        <color auto="1"/>
      </top>
      <bottom style="medium">
        <color auto="1"/>
      </bottom>
      <diagonal/>
    </border>
    <border>
      <left/>
      <right style="double">
        <color auto="1"/>
      </right>
      <top style="double">
        <color auto="1"/>
      </top>
      <bottom style="medium">
        <color auto="1"/>
      </bottom>
      <diagonal/>
    </border>
    <border>
      <left/>
      <right/>
      <top style="double">
        <color auto="1"/>
      </top>
      <bottom style="medium">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double">
        <color auto="1"/>
      </left>
      <right style="medium">
        <color auto="1"/>
      </right>
      <top/>
      <bottom style="double">
        <color auto="1"/>
      </bottom>
      <diagonal/>
    </border>
    <border>
      <left/>
      <right style="double">
        <color auto="1"/>
      </right>
      <top/>
      <bottom style="double">
        <color auto="1"/>
      </bottom>
      <diagonal/>
    </border>
    <border>
      <left style="medium">
        <color auto="1"/>
      </left>
      <right style="double">
        <color auto="1"/>
      </right>
      <top style="double">
        <color auto="1"/>
      </top>
      <bottom/>
      <diagonal/>
    </border>
    <border>
      <left/>
      <right style="medium">
        <color auto="1"/>
      </right>
      <top style="double">
        <color auto="1"/>
      </top>
      <bottom style="double">
        <color auto="1"/>
      </bottom>
      <diagonal/>
    </border>
    <border>
      <left style="medium">
        <color auto="1"/>
      </left>
      <right style="double">
        <color auto="1"/>
      </right>
      <top style="thin">
        <color indexed="64"/>
      </top>
      <bottom style="double">
        <color indexed="64"/>
      </bottom>
      <diagonal/>
    </border>
    <border>
      <left/>
      <right style="medium">
        <color auto="1"/>
      </right>
      <top/>
      <bottom style="hair">
        <color auto="1"/>
      </bottom>
      <diagonal/>
    </border>
    <border>
      <left style="medium">
        <color auto="1"/>
      </left>
      <right style="medium">
        <color auto="1"/>
      </right>
      <top/>
      <bottom style="double">
        <color auto="1"/>
      </bottom>
      <diagonal/>
    </border>
    <border>
      <left style="double">
        <color auto="1"/>
      </left>
      <right style="double">
        <color auto="1"/>
      </right>
      <top/>
      <bottom/>
      <diagonal/>
    </border>
    <border>
      <left style="medium">
        <color auto="1"/>
      </left>
      <right style="medium">
        <color auto="1"/>
      </right>
      <top style="double">
        <color auto="1"/>
      </top>
      <bottom style="medium">
        <color auto="1"/>
      </bottom>
      <diagonal/>
    </border>
    <border>
      <left style="double">
        <color auto="1"/>
      </left>
      <right style="double">
        <color auto="1"/>
      </right>
      <top/>
      <bottom style="double">
        <color auto="1"/>
      </bottom>
      <diagonal/>
    </border>
    <border>
      <left style="medium">
        <color auto="1"/>
      </left>
      <right style="double">
        <color auto="1"/>
      </right>
      <top style="double">
        <color auto="1"/>
      </top>
      <bottom style="double">
        <color auto="1"/>
      </bottom>
      <diagonal/>
    </border>
    <border>
      <left style="double">
        <color auto="1"/>
      </left>
      <right/>
      <top style="double">
        <color auto="1"/>
      </top>
      <bottom style="hair">
        <color auto="1"/>
      </bottom>
      <diagonal/>
    </border>
    <border>
      <left style="medium">
        <color auto="1"/>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double">
        <color auto="1"/>
      </left>
      <right style="double">
        <color auto="1"/>
      </right>
      <top style="double">
        <color auto="1"/>
      </top>
      <bottom style="double">
        <color auto="1"/>
      </bottom>
      <diagonal/>
    </border>
    <border>
      <left style="medium">
        <color auto="1"/>
      </left>
      <right style="medium">
        <color auto="1"/>
      </right>
      <top style="double">
        <color auto="1"/>
      </top>
      <bottom style="hair">
        <color auto="1"/>
      </bottom>
      <diagonal/>
    </border>
    <border>
      <left style="medium">
        <color auto="1"/>
      </left>
      <right/>
      <top/>
      <bottom style="double">
        <color auto="1"/>
      </bottom>
      <diagonal/>
    </border>
    <border>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double">
        <color auto="1"/>
      </right>
      <top/>
      <bottom style="double">
        <color indexed="64"/>
      </bottom>
      <diagonal/>
    </border>
    <border>
      <left style="medium">
        <color rgb="FF000000"/>
      </left>
      <right style="medium">
        <color rgb="FF000000"/>
      </right>
      <top/>
      <bottom style="thin">
        <color rgb="FF000000"/>
      </bottom>
      <diagonal/>
    </border>
    <border>
      <left/>
      <right style="medium">
        <color auto="1"/>
      </right>
      <top/>
      <bottom style="double">
        <color auto="1"/>
      </bottom>
      <diagonal/>
    </border>
    <border>
      <left/>
      <right style="medium">
        <color auto="1"/>
      </right>
      <top style="double">
        <color auto="1"/>
      </top>
      <bottom style="hair">
        <color auto="1"/>
      </bottom>
      <diagonal/>
    </border>
    <border>
      <left style="medium">
        <color auto="1"/>
      </left>
      <right/>
      <top style="double">
        <color auto="1"/>
      </top>
      <bottom style="medium">
        <color auto="1"/>
      </bottom>
      <diagonal/>
    </border>
    <border>
      <left style="double">
        <color auto="1"/>
      </left>
      <right/>
      <top/>
      <bottom style="double">
        <color indexed="64"/>
      </bottom>
      <diagonal/>
    </border>
    <border>
      <left style="double">
        <color auto="1"/>
      </left>
      <right style="medium">
        <color auto="1"/>
      </right>
      <top style="double">
        <color auto="1"/>
      </top>
      <bottom style="thick">
        <color auto="1"/>
      </bottom>
      <diagonal/>
    </border>
    <border>
      <left style="medium">
        <color auto="1"/>
      </left>
      <right style="medium">
        <color auto="1"/>
      </right>
      <top style="double">
        <color auto="1"/>
      </top>
      <bottom style="thick">
        <color auto="1"/>
      </bottom>
      <diagonal/>
    </border>
    <border>
      <left style="medium">
        <color auto="1"/>
      </left>
      <right/>
      <top style="double">
        <color auto="1"/>
      </top>
      <bottom style="thick">
        <color auto="1"/>
      </bottom>
      <diagonal/>
    </border>
    <border>
      <left style="medium">
        <color auto="1"/>
      </left>
      <right style="double">
        <color auto="1"/>
      </right>
      <top style="double">
        <color auto="1"/>
      </top>
      <bottom style="thick">
        <color auto="1"/>
      </bottom>
      <diagonal/>
    </border>
    <border>
      <left style="double">
        <color auto="1"/>
      </left>
      <right style="double">
        <color auto="1"/>
      </right>
      <top/>
      <bottom style="medium">
        <color indexed="64"/>
      </bottom>
      <diagonal/>
    </border>
    <border>
      <left style="double">
        <color auto="1"/>
      </left>
      <right/>
      <top style="double">
        <color auto="1"/>
      </top>
      <bottom style="medium">
        <color auto="1"/>
      </bottom>
      <diagonal/>
    </border>
    <border>
      <left/>
      <right style="medium">
        <color auto="1"/>
      </right>
      <top style="double">
        <color auto="1"/>
      </top>
      <bottom style="medium">
        <color auto="1"/>
      </bottom>
      <diagonal/>
    </border>
    <border>
      <left style="double">
        <color indexed="64"/>
      </left>
      <right/>
      <top style="medium">
        <color indexed="64"/>
      </top>
      <bottom style="double">
        <color auto="1"/>
      </bottom>
      <diagonal/>
    </border>
    <border>
      <left/>
      <right/>
      <top style="medium">
        <color indexed="64"/>
      </top>
      <bottom style="double">
        <color auto="1"/>
      </bottom>
      <diagonal/>
    </border>
    <border>
      <left/>
      <right style="medium">
        <color auto="1"/>
      </right>
      <top style="medium">
        <color indexed="64"/>
      </top>
      <bottom style="double">
        <color auto="1"/>
      </bottom>
      <diagonal/>
    </border>
    <border>
      <left style="double">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double">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double">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thin">
        <color auto="1"/>
      </left>
      <right/>
      <top/>
      <bottom style="double">
        <color auto="1"/>
      </bottom>
      <diagonal/>
    </border>
    <border>
      <left style="medium">
        <color indexed="64"/>
      </left>
      <right/>
      <top style="medium">
        <color indexed="64"/>
      </top>
      <bottom style="medium">
        <color indexed="64"/>
      </bottom>
      <diagonal/>
    </border>
    <border>
      <left style="double">
        <color auto="1"/>
      </left>
      <right/>
      <top style="thin">
        <color indexed="64"/>
      </top>
      <bottom style="thin">
        <color indexed="64"/>
      </bottom>
      <diagonal/>
    </border>
  </borders>
  <cellStyleXfs count="434">
    <xf numFmtId="0" fontId="0" fillId="0" borderId="0"/>
    <xf numFmtId="164" fontId="12" fillId="0" borderId="0" applyFont="0" applyFill="0" applyProtection="0"/>
    <xf numFmtId="0" fontId="12" fillId="0" borderId="0"/>
    <xf numFmtId="167" fontId="15" fillId="0" borderId="0" applyFont="0" applyFill="0" applyBorder="0" applyAlignment="0" applyProtection="0"/>
    <xf numFmtId="172" fontId="12" fillId="0" borderId="0" applyFont="0" applyFill="0" applyBorder="0" applyAlignment="0" applyProtection="0"/>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Protection="0"/>
    <xf numFmtId="173" fontId="12" fillId="0" borderId="0" applyFont="0" applyFill="0" applyProtection="0"/>
    <xf numFmtId="16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174" fontId="12" fillId="0" borderId="0" applyFont="0" applyFill="0" applyProtection="0"/>
    <xf numFmtId="174" fontId="12" fillId="0" borderId="0" applyFont="0" applyFill="0" applyProtection="0"/>
    <xf numFmtId="174" fontId="12" fillId="0" borderId="0" applyFont="0" applyFill="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Protection="0"/>
    <xf numFmtId="174" fontId="12" fillId="0" borderId="0" applyFont="0" applyFill="0" applyProtection="0"/>
    <xf numFmtId="174" fontId="12" fillId="0" borderId="0" applyFont="0" applyFill="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Protection="0"/>
    <xf numFmtId="164" fontId="12" fillId="0" borderId="0" applyFont="0" applyFill="0" applyProtection="0"/>
    <xf numFmtId="165" fontId="12" fillId="0" borderId="0" applyFont="0" applyFill="0" applyBorder="0" applyAlignment="0" applyProtection="0"/>
    <xf numFmtId="175" fontId="12" fillId="0" borderId="0" applyFont="0" applyFill="0" applyBorder="0" applyAlignment="0" applyProtection="0"/>
    <xf numFmtId="165" fontId="12" fillId="0" borderId="0" applyFont="0" applyFill="0" applyBorder="0" applyAlignment="0" applyProtection="0"/>
    <xf numFmtId="176" fontId="12" fillId="0" borderId="0" applyFont="0" applyFill="0" applyProtection="0"/>
    <xf numFmtId="0" fontId="12" fillId="0" borderId="0" applyFont="0" applyFill="0" applyProtection="0"/>
    <xf numFmtId="0" fontId="12" fillId="0" borderId="0" applyFont="0" applyFill="0" applyProtection="0"/>
    <xf numFmtId="0" fontId="12" fillId="0" borderId="0" applyFont="0" applyFill="0" applyProtection="0"/>
    <xf numFmtId="0" fontId="12" fillId="0" borderId="0" applyFont="0" applyFill="0" applyProtection="0"/>
    <xf numFmtId="0" fontId="12" fillId="0" borderId="0" applyFont="0" applyFill="0" applyProtection="0"/>
    <xf numFmtId="0" fontId="12" fillId="0" borderId="0" applyFont="0" applyFill="0" applyProtection="0"/>
    <xf numFmtId="173" fontId="12" fillId="0" borderId="0" applyFont="0" applyFill="0" applyProtection="0"/>
    <xf numFmtId="177" fontId="12" fillId="0" borderId="0" applyFont="0" applyFill="0" applyProtection="0"/>
    <xf numFmtId="177" fontId="12" fillId="0" borderId="0" applyFont="0" applyFill="0" applyProtection="0"/>
    <xf numFmtId="177" fontId="12" fillId="0" borderId="0" applyFont="0" applyFill="0" applyProtection="0"/>
    <xf numFmtId="173" fontId="12" fillId="0" borderId="0" applyFont="0" applyFill="0" applyProtection="0"/>
    <xf numFmtId="173" fontId="12" fillId="0" borderId="0" applyFont="0" applyFill="0" applyProtection="0"/>
    <xf numFmtId="176" fontId="12" fillId="0" borderId="0" applyFont="0" applyFill="0" applyProtection="0"/>
    <xf numFmtId="176" fontId="12" fillId="0" borderId="0" applyFont="0" applyFill="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8" fontId="12" fillId="0" borderId="0" applyFont="0" applyFill="0" applyProtection="0"/>
    <xf numFmtId="178" fontId="12" fillId="0" borderId="0" applyFont="0" applyFill="0" applyProtection="0"/>
    <xf numFmtId="178" fontId="12" fillId="0" borderId="0" applyFont="0" applyFill="0" applyProtection="0"/>
    <xf numFmtId="164" fontId="12" fillId="0" borderId="0" applyFont="0" applyFill="0" applyProtection="0"/>
    <xf numFmtId="164" fontId="12" fillId="0" borderId="0" applyFont="0" applyFill="0" applyProtection="0"/>
    <xf numFmtId="164" fontId="12" fillId="0" borderId="0" applyFont="0" applyFill="0" applyProtection="0"/>
    <xf numFmtId="164" fontId="12" fillId="0" borderId="0" applyFont="0" applyFill="0" applyProtection="0"/>
    <xf numFmtId="164" fontId="12" fillId="0" borderId="0" applyFont="0" applyFill="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0"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2" fontId="12" fillId="0" borderId="0" applyFont="0" applyFill="0" applyProtection="0"/>
    <xf numFmtId="12" fontId="12" fillId="0" borderId="0" applyFont="0" applyFill="0" applyProtection="0"/>
    <xf numFmtId="12" fontId="12" fillId="0" borderId="0" applyFont="0" applyFill="0" applyProtection="0"/>
    <xf numFmtId="41" fontId="1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8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xf numFmtId="13" fontId="12" fillId="0" borderId="0" applyFont="0" applyFill="0" applyProtection="0"/>
    <xf numFmtId="13" fontId="12" fillId="0" borderId="0" applyFont="0" applyFill="0" applyProtection="0"/>
    <xf numFmtId="13" fontId="12" fillId="0" borderId="0" applyFont="0" applyFill="0" applyProtection="0"/>
    <xf numFmtId="13" fontId="12" fillId="0" borderId="0" applyFont="0" applyFill="0" applyProtection="0"/>
    <xf numFmtId="13" fontId="12" fillId="0" borderId="0" applyFont="0" applyFill="0" applyProtection="0"/>
    <xf numFmtId="9" fontId="12" fillId="0" borderId="0" applyFont="0" applyFill="0" applyBorder="0" applyAlignment="0" applyProtection="0"/>
    <xf numFmtId="0" fontId="12" fillId="0" borderId="0"/>
    <xf numFmtId="0" fontId="12" fillId="0" borderId="0"/>
    <xf numFmtId="0" fontId="12" fillId="0" borderId="0"/>
    <xf numFmtId="0" fontId="2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8" borderId="0" applyNumberFormat="0" applyBorder="0" applyAlignment="0" applyProtection="0"/>
    <xf numFmtId="3" fontId="14" fillId="0" borderId="0">
      <alignment horizontal="center" vertical="center"/>
    </xf>
    <xf numFmtId="0" fontId="23" fillId="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5" fillId="22" borderId="4" applyNumberFormat="0" applyAlignment="0" applyProtection="0"/>
    <xf numFmtId="0" fontId="26" fillId="23" borderId="4" applyNumberFormat="0" applyAlignment="0" applyProtection="0"/>
    <xf numFmtId="0" fontId="26" fillId="23" borderId="4" applyNumberFormat="0" applyAlignment="0" applyProtection="0"/>
    <xf numFmtId="0" fontId="26" fillId="23" borderId="4" applyNumberFormat="0" applyAlignment="0" applyProtection="0"/>
    <xf numFmtId="0" fontId="27" fillId="24" borderId="5" applyNumberFormat="0" applyAlignment="0" applyProtection="0"/>
    <xf numFmtId="0" fontId="27" fillId="24" borderId="5" applyNumberFormat="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7" fillId="24" borderId="5" applyNumberFormat="0" applyAlignment="0" applyProtection="0"/>
    <xf numFmtId="0" fontId="29" fillId="0" borderId="0">
      <alignment horizontal="left" vertical="top"/>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31" fillId="13" borderId="4" applyNumberFormat="0" applyAlignment="0" applyProtection="0"/>
    <xf numFmtId="0" fontId="31" fillId="13" borderId="4" applyNumberFormat="0" applyAlignment="0" applyProtection="0"/>
    <xf numFmtId="0" fontId="31" fillId="13" borderId="4" applyNumberFormat="0" applyAlignment="0" applyProtection="0"/>
    <xf numFmtId="0" fontId="12" fillId="27" borderId="1" applyNumberFormat="0" applyFont="0" applyFill="0" applyBorder="0" applyAlignment="0" applyProtection="0">
      <alignment horizontal="center" vertical="center" wrapText="1"/>
      <protection locked="0"/>
    </xf>
    <xf numFmtId="0" fontId="32" fillId="0" borderId="0" applyNumberFormat="0" applyFill="0" applyBorder="0" applyAlignment="0" applyProtection="0"/>
    <xf numFmtId="0" fontId="33" fillId="0" borderId="0">
      <alignment horizontal="centerContinuous"/>
    </xf>
    <xf numFmtId="0" fontId="24" fillId="4" borderId="0" applyNumberFormat="0" applyBorder="0" applyAlignment="0" applyProtection="0"/>
    <xf numFmtId="0" fontId="34" fillId="0" borderId="7" applyNumberFormat="0" applyFill="0" applyAlignment="0" applyProtection="0"/>
    <xf numFmtId="0" fontId="35" fillId="0" borderId="8" applyNumberFormat="0" applyFill="0" applyAlignment="0" applyProtection="0"/>
    <xf numFmtId="0" fontId="36" fillId="0" borderId="9" applyNumberFormat="0" applyFill="0" applyAlignment="0" applyProtection="0"/>
    <xf numFmtId="0" fontId="36" fillId="0" borderId="0" applyNumberForma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31" fillId="7" borderId="4" applyNumberFormat="0" applyAlignment="0" applyProtection="0"/>
    <xf numFmtId="0" fontId="37" fillId="0" borderId="10" applyNumberFormat="0" applyFill="0" applyAlignment="0" applyProtection="0"/>
    <xf numFmtId="174" fontId="12" fillId="0" borderId="0" applyFont="0" applyFill="0" applyProtection="0"/>
    <xf numFmtId="182" fontId="12" fillId="0" borderId="0" applyFont="0" applyFill="0" applyBorder="0" applyAlignment="0" applyProtection="0"/>
    <xf numFmtId="167" fontId="12" fillId="0" borderId="0" applyFont="0" applyFill="0" applyBorder="0" applyAlignment="0" applyProtection="0"/>
    <xf numFmtId="183" fontId="12" fillId="0" borderId="0" applyFont="0" applyFill="0" applyBorder="0" applyAlignment="0" applyProtection="0"/>
    <xf numFmtId="183" fontId="12" fillId="0" borderId="0" applyFont="0" applyFill="0" applyBorder="0" applyAlignment="0" applyProtection="0"/>
    <xf numFmtId="167" fontId="12" fillId="0" borderId="0" applyFont="0" applyFill="0" applyBorder="0" applyAlignment="0" applyProtection="0"/>
    <xf numFmtId="182" fontId="12" fillId="0" borderId="0" applyFont="0" applyFill="0" applyBorder="0" applyAlignment="0" applyProtection="0"/>
    <xf numFmtId="184" fontId="12" fillId="0" borderId="0" applyFont="0" applyFill="0" applyBorder="0" applyAlignment="0" applyProtection="0"/>
    <xf numFmtId="185" fontId="12" fillId="0" borderId="0" applyFont="0" applyFill="0" applyBorder="0" applyAlignment="0" applyProtection="0"/>
    <xf numFmtId="0" fontId="12" fillId="0" borderId="0" applyFont="0" applyFill="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12" fillId="0" borderId="0"/>
    <xf numFmtId="0" fontId="39" fillId="0" borderId="0"/>
    <xf numFmtId="0" fontId="21" fillId="0" borderId="0"/>
    <xf numFmtId="0" fontId="21" fillId="0" borderId="0"/>
    <xf numFmtId="0" fontId="21" fillId="0" borderId="0"/>
    <xf numFmtId="0" fontId="21" fillId="0" borderId="0"/>
    <xf numFmtId="0" fontId="39" fillId="0" borderId="0"/>
    <xf numFmtId="0" fontId="12" fillId="0" borderId="0"/>
    <xf numFmtId="0" fontId="12" fillId="10" borderId="11" applyNumberFormat="0" applyFont="0" applyAlignment="0" applyProtection="0"/>
    <xf numFmtId="0" fontId="12" fillId="10" borderId="11" applyNumberFormat="0" applyFont="0" applyAlignment="0" applyProtection="0"/>
    <xf numFmtId="0" fontId="12" fillId="10" borderId="11" applyNumberFormat="0" applyFont="0" applyAlignment="0" applyProtection="0"/>
    <xf numFmtId="0" fontId="12" fillId="10" borderId="11" applyNumberFormat="0" applyFont="0" applyAlignment="0" applyProtection="0"/>
    <xf numFmtId="0" fontId="40" fillId="22" borderId="12" applyNumberFormat="0" applyAlignment="0" applyProtection="0"/>
    <xf numFmtId="13" fontId="12" fillId="0" borderId="0" applyFont="0" applyFill="0" applyProtection="0"/>
    <xf numFmtId="13" fontId="12" fillId="0" borderId="0" applyFont="0" applyFill="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3" fontId="12" fillId="0" borderId="0" applyFont="0" applyFill="0" applyBorder="0" applyAlignment="0" applyProtection="0"/>
    <xf numFmtId="0" fontId="40" fillId="23" borderId="12" applyNumberFormat="0" applyAlignment="0" applyProtection="0"/>
    <xf numFmtId="0" fontId="40" fillId="23" borderId="12" applyNumberFormat="0" applyAlignment="0" applyProtection="0"/>
    <xf numFmtId="0" fontId="40" fillId="23" borderId="12"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1" fillId="0" borderId="2" applyBorder="0">
      <alignment horizontal="center"/>
    </xf>
    <xf numFmtId="0" fontId="42" fillId="0" borderId="0" applyNumberFormat="0" applyFill="0" applyBorder="0" applyAlignment="0" applyProtection="0"/>
    <xf numFmtId="0" fontId="43" fillId="0" borderId="0">
      <alignment horizontal="left" vertical="top"/>
    </xf>
    <xf numFmtId="0" fontId="44" fillId="0" borderId="13" applyNumberFormat="0" applyFill="0" applyAlignment="0" applyProtection="0"/>
    <xf numFmtId="0" fontId="44" fillId="0" borderId="13" applyNumberFormat="0" applyFill="0" applyAlignment="0" applyProtection="0"/>
    <xf numFmtId="0" fontId="44" fillId="0" borderId="13" applyNumberFormat="0" applyFill="0" applyAlignment="0" applyProtection="0"/>
    <xf numFmtId="0" fontId="12" fillId="0" borderId="0">
      <alignment horizontal="left" vertical="top"/>
    </xf>
    <xf numFmtId="0" fontId="45" fillId="0" borderId="14" applyNumberFormat="0" applyFill="0" applyAlignment="0" applyProtection="0"/>
    <xf numFmtId="0" fontId="45" fillId="0" borderId="14" applyNumberFormat="0" applyFill="0" applyAlignment="0" applyProtection="0"/>
    <xf numFmtId="0" fontId="45" fillId="0" borderId="14" applyNumberFormat="0" applyFill="0" applyAlignment="0" applyProtection="0"/>
    <xf numFmtId="0" fontId="17" fillId="0" borderId="0">
      <alignment horizontal="left" vertical="top"/>
    </xf>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6" applyNumberFormat="0" applyFill="0" applyAlignment="0" applyProtection="0"/>
    <xf numFmtId="0" fontId="47" fillId="0" borderId="16" applyNumberFormat="0" applyFill="0" applyAlignment="0" applyProtection="0"/>
    <xf numFmtId="0" fontId="47" fillId="0" borderId="16" applyNumberFormat="0" applyFill="0" applyAlignment="0" applyProtection="0"/>
    <xf numFmtId="0" fontId="41" fillId="0" borderId="0">
      <alignment horizontal="left" vertical="top"/>
    </xf>
    <xf numFmtId="0" fontId="28" fillId="0" borderId="0" applyNumberFormat="0" applyFill="0" applyBorder="0" applyAlignment="0" applyProtection="0"/>
    <xf numFmtId="180"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54" fillId="0" borderId="0"/>
    <xf numFmtId="0" fontId="10" fillId="0" borderId="0"/>
    <xf numFmtId="0" fontId="9" fillId="0" borderId="0"/>
    <xf numFmtId="186" fontId="12" fillId="0" borderId="0"/>
    <xf numFmtId="0" fontId="8" fillId="0" borderId="0"/>
    <xf numFmtId="0" fontId="7" fillId="0" borderId="0"/>
    <xf numFmtId="0" fontId="6" fillId="0" borderId="0"/>
    <xf numFmtId="0" fontId="5" fillId="0" borderId="0"/>
    <xf numFmtId="0" fontId="5"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9" fontId="81" fillId="0" borderId="0" applyFont="0" applyFill="0" applyBorder="0" applyAlignment="0" applyProtection="0"/>
    <xf numFmtId="0" fontId="4" fillId="0" borderId="0"/>
    <xf numFmtId="0" fontId="12" fillId="0" borderId="0"/>
    <xf numFmtId="0" fontId="86" fillId="0" borderId="0" applyNumberForma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6" fillId="0" borderId="0" applyFont="0" applyFill="0" applyBorder="0" applyAlignment="0" applyProtection="0"/>
    <xf numFmtId="0" fontId="25" fillId="22" borderId="46" applyNumberFormat="0" applyAlignment="0" applyProtection="0"/>
    <xf numFmtId="0" fontId="26" fillId="23" borderId="46" applyNumberFormat="0" applyAlignment="0" applyProtection="0"/>
    <xf numFmtId="0" fontId="26" fillId="23" borderId="46" applyNumberFormat="0" applyAlignment="0" applyProtection="0"/>
    <xf numFmtId="0" fontId="26" fillId="23" borderId="46" applyNumberFormat="0" applyAlignment="0" applyProtection="0"/>
    <xf numFmtId="0" fontId="31" fillId="13" borderId="46" applyNumberFormat="0" applyAlignment="0" applyProtection="0"/>
    <xf numFmtId="0" fontId="31" fillId="13" borderId="46" applyNumberFormat="0" applyAlignment="0" applyProtection="0"/>
    <xf numFmtId="0" fontId="31" fillId="13" borderId="46" applyNumberFormat="0" applyAlignment="0" applyProtection="0"/>
    <xf numFmtId="0" fontId="12" fillId="27" borderId="31" applyNumberFormat="0" applyFont="0" applyFill="0" applyBorder="0" applyAlignment="0" applyProtection="0">
      <alignment horizontal="center" vertical="center" wrapText="1"/>
      <protection locked="0"/>
    </xf>
    <xf numFmtId="0" fontId="31" fillId="7" borderId="46" applyNumberFormat="0" applyAlignment="0" applyProtection="0"/>
    <xf numFmtId="0" fontId="12"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12" fillId="10" borderId="47" applyNumberFormat="0" applyFont="0" applyAlignment="0" applyProtection="0"/>
    <xf numFmtId="0" fontId="40" fillId="22" borderId="48" applyNumberFormat="0" applyAlignment="0" applyProtection="0"/>
    <xf numFmtId="0" fontId="40" fillId="23" borderId="48" applyNumberFormat="0" applyAlignment="0" applyProtection="0"/>
    <xf numFmtId="0" fontId="40" fillId="23" borderId="48" applyNumberFormat="0" applyAlignment="0" applyProtection="0"/>
    <xf numFmtId="0" fontId="40" fillId="23" borderId="48" applyNumberFormat="0" applyAlignment="0" applyProtection="0"/>
    <xf numFmtId="0" fontId="47" fillId="0" borderId="49" applyNumberFormat="0" applyFill="0" applyAlignment="0" applyProtection="0"/>
    <xf numFmtId="0" fontId="47" fillId="0" borderId="49" applyNumberFormat="0" applyFill="0" applyAlignment="0" applyProtection="0"/>
    <xf numFmtId="0" fontId="47" fillId="0" borderId="4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2" fillId="0" borderId="0"/>
    <xf numFmtId="41" fontId="97" fillId="0" borderId="0" applyFont="0" applyFill="0" applyBorder="0" applyAlignment="0" applyProtection="0"/>
    <xf numFmtId="0" fontId="1" fillId="0" borderId="0"/>
    <xf numFmtId="195" fontId="1" fillId="0" borderId="0" applyFont="0" applyFill="0" applyBorder="0" applyAlignment="0" applyProtection="0"/>
    <xf numFmtId="9" fontId="1" fillId="0" borderId="0" applyFont="0" applyFill="0" applyBorder="0" applyAlignment="0" applyProtection="0"/>
    <xf numFmtId="42" fontId="97" fillId="0" borderId="0" applyFont="0" applyFill="0" applyBorder="0" applyAlignment="0" applyProtection="0"/>
    <xf numFmtId="44" fontId="97" fillId="0" borderId="0" applyFont="0" applyFill="0" applyBorder="0" applyAlignment="0" applyProtection="0"/>
  </cellStyleXfs>
  <cellXfs count="1041">
    <xf numFmtId="0" fontId="0" fillId="0" borderId="0" xfId="0"/>
    <xf numFmtId="0" fontId="50" fillId="0" borderId="0" xfId="344" applyFont="1" applyAlignment="1">
      <alignment vertical="center"/>
    </xf>
    <xf numFmtId="0" fontId="50" fillId="33" borderId="1" xfId="344" applyFont="1" applyFill="1" applyBorder="1" applyAlignment="1">
      <alignment horizontal="justify" vertical="center" wrapText="1"/>
    </xf>
    <xf numFmtId="0" fontId="50" fillId="33" borderId="1" xfId="344" applyFont="1" applyFill="1" applyBorder="1" applyAlignment="1">
      <alignment vertical="center"/>
    </xf>
    <xf numFmtId="0" fontId="52" fillId="33" borderId="1" xfId="344" applyFont="1" applyFill="1" applyBorder="1" applyAlignment="1">
      <alignment horizontal="center" vertical="center" wrapText="1"/>
    </xf>
    <xf numFmtId="0" fontId="64" fillId="0" borderId="0" xfId="351" applyFont="1"/>
    <xf numFmtId="0" fontId="72" fillId="0" borderId="30" xfId="356" applyFont="1" applyBorder="1" applyAlignment="1">
      <alignment horizontal="center" vertical="center"/>
    </xf>
    <xf numFmtId="0" fontId="72" fillId="31" borderId="30" xfId="356" applyFont="1" applyFill="1" applyBorder="1" applyAlignment="1">
      <alignment horizontal="center" vertical="center"/>
    </xf>
    <xf numFmtId="0" fontId="66" fillId="0" borderId="30" xfId="356" applyFont="1" applyBorder="1" applyAlignment="1">
      <alignment horizontal="center" vertical="center"/>
    </xf>
    <xf numFmtId="10" fontId="72" fillId="0" borderId="32" xfId="356" applyNumberFormat="1" applyFont="1" applyBorder="1" applyAlignment="1">
      <alignment horizontal="center" vertical="center"/>
    </xf>
    <xf numFmtId="0" fontId="12" fillId="0" borderId="0" xfId="356" applyAlignment="1">
      <alignment horizontal="center" vertical="center"/>
    </xf>
    <xf numFmtId="4" fontId="71" fillId="31" borderId="32" xfId="356" applyNumberFormat="1" applyFont="1" applyFill="1" applyBorder="1" applyAlignment="1">
      <alignment horizontal="center" vertical="center"/>
    </xf>
    <xf numFmtId="9" fontId="71" fillId="31" borderId="32" xfId="356" applyNumberFormat="1" applyFont="1" applyFill="1" applyBorder="1" applyAlignment="1">
      <alignment horizontal="center" vertical="center"/>
    </xf>
    <xf numFmtId="0" fontId="51" fillId="33" borderId="1" xfId="344" applyFont="1" applyFill="1" applyBorder="1" applyAlignment="1">
      <alignment horizontal="left" vertical="center" wrapText="1"/>
    </xf>
    <xf numFmtId="2" fontId="72" fillId="0" borderId="32" xfId="356" applyNumberFormat="1" applyFont="1" applyBorder="1" applyAlignment="1">
      <alignment horizontal="center" vertical="center"/>
    </xf>
    <xf numFmtId="0" fontId="72" fillId="0" borderId="32" xfId="356" applyFont="1" applyBorder="1" applyAlignment="1">
      <alignment vertical="center"/>
    </xf>
    <xf numFmtId="0" fontId="72" fillId="0" borderId="43" xfId="356" applyFont="1" applyBorder="1" applyAlignment="1">
      <alignment vertical="center"/>
    </xf>
    <xf numFmtId="9" fontId="71" fillId="31" borderId="43" xfId="356" applyNumberFormat="1" applyFont="1" applyFill="1" applyBorder="1" applyAlignment="1">
      <alignment horizontal="center" vertical="center"/>
    </xf>
    <xf numFmtId="9" fontId="70" fillId="0" borderId="44" xfId="356" applyNumberFormat="1" applyFont="1" applyBorder="1" applyAlignment="1">
      <alignment horizontal="center" vertical="center"/>
    </xf>
    <xf numFmtId="0" fontId="71" fillId="31" borderId="32" xfId="356" applyFont="1" applyFill="1" applyBorder="1" applyAlignment="1">
      <alignment horizontal="left" vertical="center" wrapText="1"/>
    </xf>
    <xf numFmtId="0" fontId="12" fillId="0" borderId="0" xfId="356" applyAlignment="1">
      <alignment vertical="center"/>
    </xf>
    <xf numFmtId="0" fontId="66" fillId="0" borderId="27" xfId="356" applyFont="1" applyBorder="1" applyAlignment="1">
      <alignment horizontal="center" vertical="center"/>
    </xf>
    <xf numFmtId="0" fontId="70" fillId="0" borderId="28" xfId="356" applyFont="1" applyBorder="1" applyAlignment="1">
      <alignment horizontal="justify" vertical="center" wrapText="1"/>
    </xf>
    <xf numFmtId="0" fontId="70" fillId="0" borderId="28" xfId="356" applyFont="1" applyBorder="1" applyAlignment="1">
      <alignment vertical="center"/>
    </xf>
    <xf numFmtId="0" fontId="72" fillId="0" borderId="34" xfId="356" applyFont="1" applyBorder="1" applyAlignment="1">
      <alignment horizontal="center" vertical="center"/>
    </xf>
    <xf numFmtId="4" fontId="72" fillId="0" borderId="35" xfId="356" applyNumberFormat="1" applyFont="1" applyBorder="1" applyAlignment="1">
      <alignment horizontal="center" vertical="center"/>
    </xf>
    <xf numFmtId="0" fontId="72" fillId="0" borderId="35" xfId="356" applyFont="1" applyBorder="1" applyAlignment="1">
      <alignment horizontal="center" vertical="center"/>
    </xf>
    <xf numFmtId="0" fontId="72" fillId="0" borderId="3" xfId="356" applyFont="1" applyBorder="1" applyAlignment="1">
      <alignment horizontal="center" vertical="center"/>
    </xf>
    <xf numFmtId="0" fontId="16" fillId="0" borderId="0" xfId="356" applyFont="1" applyAlignment="1">
      <alignment horizontal="center" vertical="center"/>
    </xf>
    <xf numFmtId="0" fontId="43" fillId="29" borderId="31" xfId="351" applyFont="1" applyFill="1" applyBorder="1" applyAlignment="1">
      <alignment horizontal="center" vertical="center"/>
    </xf>
    <xf numFmtId="0" fontId="43" fillId="29" borderId="31" xfId="351" applyFont="1" applyFill="1" applyBorder="1" applyAlignment="1">
      <alignment horizontal="center" vertical="center" wrapText="1"/>
    </xf>
    <xf numFmtId="0" fontId="60" fillId="0" borderId="42" xfId="351" applyFont="1" applyBorder="1" applyAlignment="1">
      <alignment horizontal="center" vertical="center" wrapText="1"/>
    </xf>
    <xf numFmtId="0" fontId="60" fillId="0" borderId="0" xfId="351" applyFont="1"/>
    <xf numFmtId="1" fontId="60" fillId="0" borderId="31" xfId="0" applyNumberFormat="1" applyFont="1" applyFill="1" applyBorder="1" applyAlignment="1" applyProtection="1">
      <alignment horizontal="center" vertical="center" wrapText="1"/>
    </xf>
    <xf numFmtId="0" fontId="13" fillId="0" borderId="0" xfId="356" applyFont="1" applyAlignment="1">
      <alignment horizontal="center" vertical="center"/>
    </xf>
    <xf numFmtId="0" fontId="60" fillId="0" borderId="0" xfId="356" applyFont="1" applyAlignment="1">
      <alignment horizontal="right" vertical="center"/>
    </xf>
    <xf numFmtId="0" fontId="60" fillId="0" borderId="42" xfId="351" applyNumberFormat="1" applyFont="1" applyBorder="1" applyAlignment="1">
      <alignment horizontal="center" vertical="center"/>
    </xf>
    <xf numFmtId="1" fontId="51" fillId="33" borderId="1" xfId="344" applyNumberFormat="1" applyFont="1" applyFill="1" applyBorder="1" applyAlignment="1">
      <alignment horizontal="center" vertical="center" wrapText="1"/>
    </xf>
    <xf numFmtId="188" fontId="77" fillId="30" borderId="1" xfId="349" applyNumberFormat="1" applyFont="1" applyFill="1" applyBorder="1" applyAlignment="1" applyProtection="1">
      <alignment horizontal="center" vertical="center"/>
    </xf>
    <xf numFmtId="10" fontId="77" fillId="30" borderId="31" xfId="357" applyNumberFormat="1" applyFont="1" applyFill="1" applyBorder="1" applyAlignment="1" applyProtection="1">
      <alignment horizontal="center" vertical="center"/>
    </xf>
    <xf numFmtId="2" fontId="77" fillId="30" borderId="1" xfId="349" applyNumberFormat="1" applyFont="1" applyFill="1" applyBorder="1" applyAlignment="1" applyProtection="1">
      <alignment horizontal="center" vertical="center"/>
    </xf>
    <xf numFmtId="2" fontId="77" fillId="30" borderId="31" xfId="349" applyNumberFormat="1" applyFont="1" applyFill="1" applyBorder="1" applyAlignment="1" applyProtection="1">
      <alignment horizontal="center" vertical="center"/>
    </xf>
    <xf numFmtId="2" fontId="58" fillId="30" borderId="31" xfId="349" applyNumberFormat="1" applyFont="1" applyFill="1" applyBorder="1" applyAlignment="1" applyProtection="1">
      <alignment horizontal="center" vertical="center"/>
    </xf>
    <xf numFmtId="1" fontId="80" fillId="0" borderId="1" xfId="349" applyNumberFormat="1" applyFont="1" applyFill="1" applyBorder="1" applyAlignment="1" applyProtection="1">
      <alignment horizontal="center" vertical="center"/>
    </xf>
    <xf numFmtId="0" fontId="58" fillId="38" borderId="71" xfId="349" applyFont="1" applyFill="1" applyBorder="1" applyAlignment="1" applyProtection="1">
      <alignment horizontal="center" vertical="center"/>
      <protection locked="0"/>
    </xf>
    <xf numFmtId="0" fontId="58" fillId="38" borderId="73" xfId="349" applyFont="1" applyFill="1" applyBorder="1" applyAlignment="1" applyProtection="1">
      <alignment horizontal="center" vertical="center"/>
      <protection locked="0"/>
    </xf>
    <xf numFmtId="0" fontId="77" fillId="38" borderId="1" xfId="349" applyFont="1" applyFill="1" applyBorder="1" applyAlignment="1" applyProtection="1">
      <alignment horizontal="center" vertical="center" wrapText="1"/>
      <protection locked="0"/>
    </xf>
    <xf numFmtId="0" fontId="56" fillId="0" borderId="0" xfId="349" applyFont="1" applyProtection="1"/>
    <xf numFmtId="0" fontId="56" fillId="30" borderId="0" xfId="349" applyFont="1" applyFill="1" applyProtection="1"/>
    <xf numFmtId="0" fontId="57" fillId="29" borderId="57" xfId="349" applyFont="1" applyFill="1" applyBorder="1" applyAlignment="1" applyProtection="1">
      <alignment horizontal="center"/>
    </xf>
    <xf numFmtId="187" fontId="83" fillId="33" borderId="58" xfId="349" applyNumberFormat="1" applyFont="1" applyFill="1" applyBorder="1" applyAlignment="1" applyProtection="1">
      <alignment horizontal="center" vertical="center"/>
    </xf>
    <xf numFmtId="0" fontId="57" fillId="29" borderId="59" xfId="349" applyFont="1" applyFill="1" applyBorder="1" applyAlignment="1" applyProtection="1">
      <alignment horizontal="center" vertical="center" wrapText="1"/>
    </xf>
    <xf numFmtId="187" fontId="57" fillId="33" borderId="61" xfId="349" applyNumberFormat="1" applyFont="1" applyFill="1" applyBorder="1" applyAlignment="1" applyProtection="1">
      <alignment horizontal="center" vertical="center"/>
    </xf>
    <xf numFmtId="0" fontId="56" fillId="30" borderId="0" xfId="349" applyFont="1" applyFill="1" applyBorder="1" applyProtection="1"/>
    <xf numFmtId="0" fontId="56" fillId="30" borderId="0" xfId="349" applyFont="1" applyFill="1" applyBorder="1" applyAlignment="1" applyProtection="1">
      <alignment horizontal="center"/>
    </xf>
    <xf numFmtId="0" fontId="56" fillId="30" borderId="0" xfId="349" applyFont="1" applyFill="1" applyAlignment="1" applyProtection="1">
      <alignment horizontal="left"/>
    </xf>
    <xf numFmtId="0" fontId="58" fillId="29" borderId="31" xfId="349" applyFont="1" applyFill="1" applyBorder="1" applyAlignment="1" applyProtection="1">
      <alignment horizontal="center" vertical="center" wrapText="1"/>
    </xf>
    <xf numFmtId="0" fontId="58" fillId="29" borderId="31" xfId="349" applyFont="1" applyFill="1" applyBorder="1" applyAlignment="1" applyProtection="1">
      <alignment vertical="center" wrapText="1"/>
    </xf>
    <xf numFmtId="0" fontId="58" fillId="29" borderId="41" xfId="349" applyFont="1" applyFill="1" applyBorder="1" applyAlignment="1" applyProtection="1">
      <alignment horizontal="center" vertical="center" wrapText="1"/>
    </xf>
    <xf numFmtId="0" fontId="58" fillId="30" borderId="1" xfId="349" applyFont="1" applyFill="1" applyBorder="1" applyAlignment="1" applyProtection="1">
      <alignment horizontal="center" vertical="center"/>
    </xf>
    <xf numFmtId="0" fontId="56" fillId="0" borderId="0" xfId="349" applyFont="1" applyAlignment="1" applyProtection="1">
      <alignment vertical="center"/>
    </xf>
    <xf numFmtId="177" fontId="94" fillId="0" borderId="0" xfId="349" applyNumberFormat="1" applyFont="1" applyAlignment="1" applyProtection="1">
      <alignment vertical="center"/>
    </xf>
    <xf numFmtId="0" fontId="15" fillId="0" borderId="0" xfId="2" applyFont="1" applyFill="1" applyAlignment="1" applyProtection="1">
      <alignment vertical="center" wrapText="1"/>
    </xf>
    <xf numFmtId="0" fontId="13" fillId="30" borderId="0" xfId="2" applyFont="1" applyFill="1" applyBorder="1" applyAlignment="1" applyProtection="1">
      <alignment horizontal="center" vertical="center" wrapText="1"/>
    </xf>
    <xf numFmtId="0" fontId="15" fillId="30" borderId="0" xfId="2" applyFont="1" applyFill="1" applyAlignment="1" applyProtection="1">
      <alignment vertical="center" wrapText="1"/>
    </xf>
    <xf numFmtId="0" fontId="41" fillId="29" borderId="31" xfId="2" applyFont="1" applyFill="1" applyBorder="1" applyAlignment="1" applyProtection="1">
      <alignment horizontal="center" vertical="center" wrapText="1"/>
    </xf>
    <xf numFmtId="0" fontId="41" fillId="33" borderId="31" xfId="2" applyFont="1" applyFill="1" applyBorder="1" applyAlignment="1" applyProtection="1">
      <alignment horizontal="center" vertical="center" wrapText="1"/>
    </xf>
    <xf numFmtId="0" fontId="41" fillId="39" borderId="31" xfId="0" applyFont="1" applyFill="1" applyBorder="1" applyAlignment="1" applyProtection="1">
      <alignment horizontal="center" vertical="center" wrapText="1"/>
    </xf>
    <xf numFmtId="0" fontId="41" fillId="39" borderId="31" xfId="2" applyFont="1" applyFill="1" applyBorder="1" applyAlignment="1" applyProtection="1">
      <alignment horizontal="center" vertical="center" wrapText="1"/>
    </xf>
    <xf numFmtId="167" fontId="16" fillId="0" borderId="0" xfId="3" applyFont="1" applyFill="1" applyAlignment="1" applyProtection="1">
      <alignment vertical="center" wrapText="1"/>
    </xf>
    <xf numFmtId="4" fontId="60" fillId="0" borderId="31" xfId="3" applyNumberFormat="1" applyFont="1" applyFill="1" applyBorder="1" applyAlignment="1" applyProtection="1">
      <alignment horizontal="left" vertical="center" wrapText="1"/>
    </xf>
    <xf numFmtId="4" fontId="12" fillId="0" borderId="31" xfId="2" applyNumberFormat="1" applyFont="1" applyFill="1" applyBorder="1" applyAlignment="1" applyProtection="1">
      <alignment horizontal="center" vertical="center"/>
    </xf>
    <xf numFmtId="4" fontId="43" fillId="32" borderId="31" xfId="2" applyNumberFormat="1" applyFont="1" applyFill="1" applyBorder="1" applyAlignment="1" applyProtection="1">
      <alignment horizontal="center" vertical="center"/>
    </xf>
    <xf numFmtId="10" fontId="12" fillId="0" borderId="31" xfId="2" applyNumberFormat="1" applyFont="1" applyFill="1" applyBorder="1" applyAlignment="1" applyProtection="1">
      <alignment horizontal="center" vertical="center"/>
    </xf>
    <xf numFmtId="0" fontId="15" fillId="0" borderId="0" xfId="2" applyFont="1" applyFill="1" applyAlignment="1" applyProtection="1">
      <alignment horizontal="left" vertical="center"/>
    </xf>
    <xf numFmtId="4" fontId="12" fillId="38" borderId="31" xfId="3" applyNumberFormat="1" applyFont="1" applyFill="1" applyBorder="1" applyAlignment="1" applyProtection="1">
      <alignment horizontal="center" vertical="center" wrapText="1"/>
      <protection locked="0"/>
    </xf>
    <xf numFmtId="4" fontId="12" fillId="38" borderId="31" xfId="2" applyNumberFormat="1" applyFont="1" applyFill="1" applyBorder="1" applyAlignment="1" applyProtection="1">
      <alignment horizontal="center" vertical="center" wrapText="1"/>
      <protection locked="0"/>
    </xf>
    <xf numFmtId="0" fontId="60" fillId="38" borderId="31" xfId="2" applyFont="1" applyFill="1" applyBorder="1" applyAlignment="1" applyProtection="1">
      <alignment horizontal="center" vertical="center" wrapText="1"/>
      <protection locked="0"/>
    </xf>
    <xf numFmtId="9" fontId="60" fillId="38" borderId="31" xfId="2" applyNumberFormat="1" applyFont="1" applyFill="1" applyBorder="1" applyAlignment="1" applyProtection="1">
      <alignment horizontal="center" vertical="center" wrapText="1"/>
      <protection locked="0"/>
    </xf>
    <xf numFmtId="194" fontId="60" fillId="38" borderId="31" xfId="2" applyNumberFormat="1" applyFont="1" applyFill="1" applyBorder="1" applyAlignment="1" applyProtection="1">
      <alignment horizontal="center" vertical="center" wrapText="1"/>
      <protection locked="0"/>
    </xf>
    <xf numFmtId="0" fontId="16" fillId="0" borderId="0" xfId="3" applyNumberFormat="1" applyFont="1" applyFill="1" applyAlignment="1" applyProtection="1">
      <alignment vertical="center" wrapText="1"/>
    </xf>
    <xf numFmtId="167" fontId="16" fillId="0" borderId="0" xfId="3" applyFont="1" applyFill="1" applyAlignment="1" applyProtection="1">
      <alignment horizontal="center" vertical="center" wrapText="1"/>
    </xf>
    <xf numFmtId="167" fontId="16" fillId="33" borderId="31" xfId="3" applyFont="1" applyFill="1" applyBorder="1" applyAlignment="1" applyProtection="1">
      <alignment horizontal="center" vertical="center" wrapText="1"/>
    </xf>
    <xf numFmtId="167" fontId="13" fillId="33" borderId="31" xfId="3" applyFont="1" applyFill="1" applyBorder="1" applyAlignment="1" applyProtection="1">
      <alignment horizontal="center" vertical="center" wrapText="1"/>
    </xf>
    <xf numFmtId="170" fontId="13" fillId="33" borderId="31" xfId="3" applyNumberFormat="1" applyFont="1" applyFill="1" applyBorder="1" applyAlignment="1" applyProtection="1">
      <alignment horizontal="center" vertical="center" wrapText="1"/>
    </xf>
    <xf numFmtId="0" fontId="16" fillId="0" borderId="0" xfId="2" applyNumberFormat="1" applyFont="1" applyFill="1" applyBorder="1" applyAlignment="1" applyProtection="1">
      <alignment vertical="center" wrapText="1"/>
    </xf>
    <xf numFmtId="168" fontId="16" fillId="0" borderId="0" xfId="3" applyNumberFormat="1" applyFont="1" applyFill="1" applyBorder="1" applyAlignment="1" applyProtection="1">
      <alignment vertical="center" wrapText="1"/>
    </xf>
    <xf numFmtId="169" fontId="15" fillId="0" borderId="0" xfId="3" applyNumberFormat="1" applyFont="1" applyFill="1" applyBorder="1" applyAlignment="1" applyProtection="1">
      <alignment horizontal="right" vertical="center" wrapText="1"/>
    </xf>
    <xf numFmtId="170" fontId="15" fillId="0" borderId="0" xfId="3" applyNumberFormat="1" applyFont="1" applyFill="1" applyBorder="1" applyAlignment="1" applyProtection="1">
      <alignment vertical="center" wrapText="1"/>
    </xf>
    <xf numFmtId="3" fontId="16" fillId="0" borderId="0" xfId="3" applyNumberFormat="1" applyFont="1" applyFill="1" applyBorder="1" applyAlignment="1" applyProtection="1">
      <alignment vertical="center" wrapText="1"/>
    </xf>
    <xf numFmtId="0" fontId="16" fillId="33" borderId="31" xfId="2" applyNumberFormat="1" applyFont="1" applyFill="1" applyBorder="1" applyAlignment="1" applyProtection="1">
      <alignment horizontal="center" vertical="center" wrapText="1"/>
    </xf>
    <xf numFmtId="0" fontId="16" fillId="33" borderId="52" xfId="3" applyNumberFormat="1" applyFont="1" applyFill="1" applyBorder="1" applyAlignment="1" applyProtection="1">
      <alignment horizontal="center" vertical="center" wrapText="1"/>
    </xf>
    <xf numFmtId="0" fontId="55" fillId="33" borderId="54" xfId="0" applyFont="1" applyFill="1" applyBorder="1" applyAlignment="1" applyProtection="1">
      <alignment horizontal="center" vertical="center" textRotation="255" wrapText="1"/>
    </xf>
    <xf numFmtId="167" fontId="16" fillId="0" borderId="0" xfId="3" applyFont="1" applyFill="1" applyBorder="1" applyAlignment="1" applyProtection="1">
      <alignment vertical="center" wrapText="1"/>
    </xf>
    <xf numFmtId="0" fontId="15" fillId="34" borderId="54" xfId="0" applyFont="1" applyFill="1" applyBorder="1" applyAlignment="1" applyProtection="1"/>
    <xf numFmtId="0" fontId="16" fillId="34" borderId="31" xfId="0" applyFont="1" applyFill="1" applyBorder="1" applyAlignment="1" applyProtection="1">
      <alignment horizontal="center" vertical="center"/>
    </xf>
    <xf numFmtId="2" fontId="16" fillId="34" borderId="31" xfId="0" applyNumberFormat="1" applyFont="1" applyFill="1" applyBorder="1" applyAlignment="1" applyProtection="1">
      <alignment horizontal="center" vertical="center"/>
    </xf>
    <xf numFmtId="0" fontId="55" fillId="33" borderId="31" xfId="0" applyFont="1" applyFill="1" applyBorder="1" applyAlignment="1" applyProtection="1">
      <alignment horizontal="center" vertical="center" textRotation="255" wrapText="1"/>
    </xf>
    <xf numFmtId="0" fontId="15" fillId="34" borderId="31" xfId="0" applyFont="1" applyFill="1" applyBorder="1" applyAlignment="1" applyProtection="1"/>
    <xf numFmtId="0" fontId="15" fillId="0" borderId="0" xfId="2" applyNumberFormat="1" applyFont="1" applyFill="1" applyAlignment="1" applyProtection="1">
      <alignment vertical="center" wrapText="1"/>
    </xf>
    <xf numFmtId="171" fontId="15" fillId="0" borderId="0" xfId="3" applyNumberFormat="1" applyFont="1" applyFill="1" applyAlignment="1" applyProtection="1">
      <alignment vertical="center" wrapText="1"/>
    </xf>
    <xf numFmtId="167" fontId="15" fillId="0" borderId="0" xfId="3" applyFont="1" applyFill="1" applyAlignment="1" applyProtection="1">
      <alignment vertical="center" wrapText="1"/>
    </xf>
    <xf numFmtId="177" fontId="13" fillId="38" borderId="31" xfId="3" applyNumberFormat="1" applyFont="1" applyFill="1" applyBorder="1" applyAlignment="1" applyProtection="1">
      <alignment horizontal="center" vertical="center" wrapText="1"/>
      <protection locked="0"/>
    </xf>
    <xf numFmtId="0" fontId="60" fillId="0" borderId="31" xfId="2" applyNumberFormat="1" applyFont="1" applyFill="1" applyBorder="1" applyAlignment="1" applyProtection="1">
      <alignment horizontal="center" vertical="center" wrapText="1"/>
      <protection locked="0"/>
    </xf>
    <xf numFmtId="4" fontId="43" fillId="0" borderId="31" xfId="2" applyNumberFormat="1" applyFont="1" applyFill="1" applyBorder="1" applyAlignment="1" applyProtection="1">
      <alignment horizontal="center" vertical="center" wrapText="1"/>
      <protection locked="0"/>
    </xf>
    <xf numFmtId="9" fontId="60" fillId="0" borderId="31" xfId="2" applyNumberFormat="1" applyFont="1" applyFill="1" applyBorder="1" applyAlignment="1" applyProtection="1">
      <alignment horizontal="center" vertical="center" wrapText="1"/>
      <protection locked="0"/>
    </xf>
    <xf numFmtId="0" fontId="16" fillId="0" borderId="31" xfId="3" applyNumberFormat="1" applyFont="1" applyFill="1" applyBorder="1" applyAlignment="1" applyProtection="1">
      <alignment horizontal="center" vertical="center" wrapText="1"/>
      <protection locked="0"/>
    </xf>
    <xf numFmtId="0" fontId="60" fillId="0" borderId="42" xfId="351" applyFont="1" applyBorder="1" applyAlignment="1" applyProtection="1">
      <alignment horizontal="center" vertical="center"/>
      <protection locked="0"/>
    </xf>
    <xf numFmtId="21" fontId="60" fillId="0" borderId="42" xfId="351" applyNumberFormat="1" applyFont="1" applyBorder="1" applyAlignment="1" applyProtection="1">
      <alignment horizontal="center" vertical="center"/>
      <protection locked="0"/>
    </xf>
    <xf numFmtId="3" fontId="60" fillId="0" borderId="42" xfId="351" applyNumberFormat="1" applyFont="1" applyBorder="1" applyAlignment="1" applyProtection="1">
      <alignment horizontal="center" vertical="center" wrapText="1"/>
      <protection locked="0"/>
    </xf>
    <xf numFmtId="0" fontId="60" fillId="0" borderId="42" xfId="351" applyFont="1" applyBorder="1" applyAlignment="1" applyProtection="1">
      <alignment horizontal="center" vertical="center" wrapText="1"/>
      <protection locked="0"/>
    </xf>
    <xf numFmtId="189" fontId="60" fillId="0" borderId="42" xfId="351" applyNumberFormat="1" applyFont="1" applyBorder="1" applyAlignment="1" applyProtection="1">
      <alignment horizontal="center" vertical="center" wrapText="1"/>
      <protection locked="0"/>
    </xf>
    <xf numFmtId="0" fontId="60" fillId="0" borderId="42" xfId="351" applyFont="1" applyBorder="1" applyAlignment="1" applyProtection="1">
      <alignment horizontal="left" vertical="center" wrapText="1"/>
      <protection locked="0"/>
    </xf>
    <xf numFmtId="3" fontId="60" fillId="0" borderId="31" xfId="351" applyNumberFormat="1" applyFont="1" applyBorder="1" applyAlignment="1" applyProtection="1">
      <alignment horizontal="center" vertical="center" wrapText="1"/>
      <protection locked="0"/>
    </xf>
    <xf numFmtId="0" fontId="60" fillId="0" borderId="31" xfId="351" applyFont="1" applyBorder="1" applyAlignment="1" applyProtection="1">
      <alignment horizontal="center" vertical="center" wrapText="1"/>
      <protection locked="0"/>
    </xf>
    <xf numFmtId="189" fontId="60" fillId="0" borderId="31" xfId="351" applyNumberFormat="1" applyFont="1" applyFill="1" applyBorder="1" applyAlignment="1" applyProtection="1">
      <alignment horizontal="center" vertical="center" wrapText="1"/>
      <protection locked="0"/>
    </xf>
    <xf numFmtId="0" fontId="60" fillId="0" borderId="31" xfId="0" applyNumberFormat="1" applyFont="1" applyFill="1" applyBorder="1" applyAlignment="1" applyProtection="1">
      <alignment horizontal="center" vertical="center" wrapText="1"/>
      <protection locked="0"/>
    </xf>
    <xf numFmtId="0" fontId="60" fillId="0" borderId="31" xfId="0" applyFont="1" applyBorder="1" applyAlignment="1" applyProtection="1">
      <alignment vertical="center"/>
      <protection locked="0"/>
    </xf>
    <xf numFmtId="0" fontId="14" fillId="38" borderId="31" xfId="0" applyFont="1" applyFill="1" applyBorder="1" applyAlignment="1" applyProtection="1">
      <alignment horizontal="center" vertical="center"/>
      <protection locked="0"/>
    </xf>
    <xf numFmtId="0" fontId="0" fillId="0" borderId="0" xfId="0" applyProtection="1"/>
    <xf numFmtId="0" fontId="14" fillId="29" borderId="31" xfId="0" applyFont="1" applyFill="1" applyBorder="1" applyAlignment="1" applyProtection="1">
      <alignment horizontal="center" vertical="center"/>
    </xf>
    <xf numFmtId="0" fontId="43" fillId="29" borderId="31" xfId="0" applyFont="1" applyFill="1" applyBorder="1" applyAlignment="1" applyProtection="1">
      <alignment horizontal="center" vertical="center"/>
    </xf>
    <xf numFmtId="0" fontId="0" fillId="0" borderId="0" xfId="0" applyAlignment="1" applyProtection="1">
      <alignment vertical="center"/>
    </xf>
    <xf numFmtId="0" fontId="12" fillId="0" borderId="0" xfId="0" applyFont="1" applyProtection="1"/>
    <xf numFmtId="169" fontId="0" fillId="0" borderId="0" xfId="0" applyNumberFormat="1" applyProtection="1"/>
    <xf numFmtId="0" fontId="60" fillId="0" borderId="0" xfId="0" applyFont="1" applyAlignment="1" applyProtection="1">
      <alignment vertical="center"/>
    </xf>
    <xf numFmtId="0" fontId="14" fillId="29" borderId="31" xfId="0" applyFont="1" applyFill="1" applyBorder="1" applyAlignment="1" applyProtection="1">
      <alignment horizontal="center" vertical="center" wrapText="1"/>
    </xf>
    <xf numFmtId="191" fontId="14" fillId="29" borderId="31" xfId="0" applyNumberFormat="1" applyFont="1" applyFill="1" applyBorder="1" applyAlignment="1" applyProtection="1">
      <alignment horizontal="center" vertical="center"/>
    </xf>
    <xf numFmtId="191" fontId="0" fillId="0" borderId="31" xfId="0" applyNumberFormat="1" applyBorder="1" applyAlignment="1" applyProtection="1">
      <alignment horizontal="center" vertical="center"/>
    </xf>
    <xf numFmtId="193" fontId="0" fillId="0" borderId="31" xfId="1" applyNumberFormat="1" applyFont="1" applyBorder="1" applyAlignment="1" applyProtection="1">
      <alignment horizontal="center" vertical="center"/>
    </xf>
    <xf numFmtId="0" fontId="78" fillId="33" borderId="59" xfId="349" applyFont="1" applyFill="1" applyBorder="1" applyAlignment="1" applyProtection="1">
      <alignment horizontal="center" vertical="center"/>
    </xf>
    <xf numFmtId="188" fontId="84" fillId="33" borderId="60" xfId="349" applyNumberFormat="1" applyFont="1" applyFill="1" applyBorder="1" applyAlignment="1" applyProtection="1">
      <alignment horizontal="center" vertical="center"/>
    </xf>
    <xf numFmtId="10" fontId="57" fillId="33" borderId="60" xfId="343" applyNumberFormat="1" applyFont="1" applyFill="1" applyBorder="1" applyAlignment="1" applyProtection="1">
      <alignment horizontal="center" vertical="center"/>
    </xf>
    <xf numFmtId="0" fontId="58" fillId="29" borderId="51" xfId="349" applyFont="1" applyFill="1" applyBorder="1" applyAlignment="1" applyProtection="1">
      <alignment horizontal="center" vertical="center" wrapText="1"/>
    </xf>
    <xf numFmtId="0" fontId="57" fillId="29" borderId="31" xfId="349" applyFont="1" applyFill="1" applyBorder="1" applyAlignment="1" applyProtection="1">
      <alignment horizontal="center" vertical="center"/>
    </xf>
    <xf numFmtId="0" fontId="57" fillId="38" borderId="31" xfId="428" applyNumberFormat="1" applyFont="1" applyFill="1" applyBorder="1" applyAlignment="1" applyProtection="1">
      <alignment horizontal="center" vertical="center" wrapText="1"/>
    </xf>
    <xf numFmtId="0" fontId="0" fillId="0" borderId="0" xfId="0" applyAlignment="1" applyProtection="1">
      <alignment vertical="center" wrapText="1"/>
    </xf>
    <xf numFmtId="0" fontId="16" fillId="0" borderId="40" xfId="0" applyFont="1" applyFill="1" applyBorder="1" applyAlignment="1" applyProtection="1">
      <alignment horizontal="center" vertical="center" wrapText="1"/>
    </xf>
    <xf numFmtId="0" fontId="0" fillId="0" borderId="0" xfId="0" applyFill="1" applyAlignment="1" applyProtection="1">
      <alignment vertical="center" wrapText="1"/>
    </xf>
    <xf numFmtId="0" fontId="43" fillId="0" borderId="31" xfId="0" applyFont="1" applyFill="1" applyBorder="1" applyAlignment="1" applyProtection="1">
      <alignment horizontal="center" vertical="center" wrapText="1"/>
    </xf>
    <xf numFmtId="0" fontId="43" fillId="0" borderId="31" xfId="2" applyFont="1" applyBorder="1" applyAlignment="1" applyProtection="1">
      <alignment horizontal="center" vertical="center" wrapText="1"/>
    </xf>
    <xf numFmtId="49" fontId="60" fillId="0" borderId="0" xfId="0" applyNumberFormat="1" applyFont="1" applyFill="1" applyBorder="1" applyAlignment="1" applyProtection="1">
      <alignment horizontal="center" vertical="center" wrapText="1"/>
    </xf>
    <xf numFmtId="0" fontId="60" fillId="0" borderId="0" xfId="0" applyFont="1" applyBorder="1" applyAlignment="1" applyProtection="1">
      <alignment vertical="center"/>
    </xf>
    <xf numFmtId="0" fontId="43" fillId="30" borderId="20" xfId="351" applyFont="1" applyFill="1" applyBorder="1" applyAlignment="1">
      <alignment wrapText="1"/>
    </xf>
    <xf numFmtId="0" fontId="43" fillId="30" borderId="21" xfId="351" applyFont="1" applyFill="1" applyBorder="1" applyAlignment="1">
      <alignment vertical="center" wrapText="1"/>
    </xf>
    <xf numFmtId="0" fontId="43" fillId="30" borderId="17" xfId="351" applyFont="1" applyFill="1" applyBorder="1" applyAlignment="1">
      <alignment vertical="center" wrapText="1"/>
    </xf>
    <xf numFmtId="0" fontId="64" fillId="0" borderId="0" xfId="350" applyFont="1" applyAlignment="1" applyProtection="1">
      <alignment vertical="center"/>
      <protection locked="0"/>
    </xf>
    <xf numFmtId="0" fontId="50" fillId="0" borderId="0" xfId="350" applyFont="1" applyFill="1" applyAlignment="1" applyProtection="1">
      <alignment vertical="center"/>
      <protection locked="0"/>
    </xf>
    <xf numFmtId="0" fontId="43" fillId="30" borderId="3" xfId="350" applyFont="1" applyFill="1" applyBorder="1" applyAlignment="1" applyProtection="1">
      <alignment horizontal="center" vertical="center" wrapText="1"/>
      <protection locked="0"/>
    </xf>
    <xf numFmtId="0" fontId="64" fillId="0" borderId="0" xfId="350" applyFont="1" applyFill="1" applyAlignment="1" applyProtection="1">
      <alignment vertical="center"/>
      <protection locked="0"/>
    </xf>
    <xf numFmtId="0" fontId="51" fillId="30" borderId="1" xfId="350" applyFont="1" applyFill="1" applyBorder="1" applyAlignment="1" applyProtection="1">
      <alignment horizontal="center" vertical="center" wrapText="1"/>
      <protection locked="0"/>
    </xf>
    <xf numFmtId="0" fontId="50" fillId="32" borderId="1" xfId="350" applyFont="1" applyFill="1" applyBorder="1" applyAlignment="1" applyProtection="1">
      <alignment vertical="center"/>
      <protection locked="0"/>
    </xf>
    <xf numFmtId="0" fontId="50" fillId="0" borderId="31" xfId="421" applyFont="1" applyFill="1" applyBorder="1" applyAlignment="1" applyProtection="1">
      <alignment horizontal="justify" vertical="center" wrapText="1"/>
      <protection locked="0"/>
    </xf>
    <xf numFmtId="0" fontId="12" fillId="0" borderId="31" xfId="350" applyFont="1" applyFill="1" applyBorder="1" applyAlignment="1" applyProtection="1">
      <alignment horizontal="center" vertical="center" wrapText="1"/>
      <protection locked="0"/>
    </xf>
    <xf numFmtId="0" fontId="12" fillId="0" borderId="31" xfId="421" applyFont="1" applyFill="1" applyBorder="1" applyAlignment="1" applyProtection="1">
      <alignment vertical="center" wrapText="1"/>
      <protection locked="0"/>
    </xf>
    <xf numFmtId="0" fontId="50" fillId="0" borderId="31" xfId="421" applyFont="1" applyFill="1" applyBorder="1" applyAlignment="1" applyProtection="1">
      <alignment horizontal="center" vertical="center" wrapText="1"/>
      <protection locked="0"/>
    </xf>
    <xf numFmtId="0" fontId="50" fillId="0" borderId="31" xfId="350" applyFont="1" applyFill="1" applyBorder="1" applyAlignment="1" applyProtection="1">
      <alignment horizontal="center" vertical="center" wrapText="1"/>
      <protection locked="0"/>
    </xf>
    <xf numFmtId="0" fontId="12" fillId="0" borderId="31" xfId="350" applyFont="1" applyFill="1" applyBorder="1" applyAlignment="1" applyProtection="1">
      <alignment vertical="center" wrapText="1"/>
      <protection locked="0"/>
    </xf>
    <xf numFmtId="0" fontId="12" fillId="0" borderId="2" xfId="421" applyFont="1" applyFill="1" applyBorder="1" applyAlignment="1" applyProtection="1">
      <alignment horizontal="justify" vertical="center" wrapText="1"/>
      <protection locked="0"/>
    </xf>
    <xf numFmtId="0" fontId="49" fillId="0" borderId="2" xfId="421" applyFont="1" applyFill="1" applyBorder="1" applyAlignment="1" applyProtection="1">
      <alignment horizontal="justify" vertical="center" wrapText="1"/>
      <protection locked="0"/>
    </xf>
    <xf numFmtId="0" fontId="12" fillId="0" borderId="31" xfId="421" applyFont="1" applyFill="1" applyBorder="1" applyAlignment="1" applyProtection="1">
      <alignment horizontal="justify" vertical="center" wrapText="1"/>
      <protection locked="0"/>
    </xf>
    <xf numFmtId="0" fontId="50" fillId="0" borderId="31" xfId="350" applyFont="1" applyFill="1" applyBorder="1" applyAlignment="1" applyProtection="1">
      <alignment horizontal="justify" vertical="center" wrapText="1"/>
      <protection locked="0"/>
    </xf>
    <xf numFmtId="0" fontId="12" fillId="0" borderId="31" xfId="350" applyFont="1" applyFill="1" applyBorder="1" applyAlignment="1" applyProtection="1">
      <alignment horizontal="left" vertical="center" wrapText="1"/>
      <protection locked="0"/>
    </xf>
    <xf numFmtId="0" fontId="12" fillId="0" borderId="31" xfId="421" applyFont="1" applyFill="1" applyBorder="1" applyAlignment="1" applyProtection="1">
      <alignment horizontal="left" vertical="center" wrapText="1"/>
      <protection locked="0"/>
    </xf>
    <xf numFmtId="0" fontId="49" fillId="0" borderId="31" xfId="350" applyFont="1" applyFill="1" applyBorder="1" applyAlignment="1" applyProtection="1">
      <alignment horizontal="justify" vertical="center" wrapText="1"/>
      <protection locked="0"/>
    </xf>
    <xf numFmtId="0" fontId="12" fillId="0" borderId="31" xfId="350" applyFont="1" applyFill="1" applyBorder="1" applyAlignment="1" applyProtection="1">
      <alignment horizontal="justify" vertical="center" wrapText="1"/>
      <protection locked="0"/>
    </xf>
    <xf numFmtId="0" fontId="12" fillId="0" borderId="31" xfId="421" applyFont="1" applyFill="1" applyBorder="1" applyAlignment="1" applyProtection="1">
      <alignment horizontal="center" vertical="center" wrapText="1"/>
      <protection locked="0"/>
    </xf>
    <xf numFmtId="0" fontId="49" fillId="0" borderId="1" xfId="350" applyFont="1" applyFill="1" applyBorder="1" applyAlignment="1" applyProtection="1">
      <alignment horizontal="justify" vertical="center" wrapText="1"/>
      <protection locked="0"/>
    </xf>
    <xf numFmtId="0" fontId="50" fillId="0" borderId="31" xfId="350" applyFont="1" applyFill="1" applyBorder="1" applyAlignment="1" applyProtection="1">
      <alignment horizontal="left" vertical="center" wrapText="1"/>
      <protection locked="0"/>
    </xf>
    <xf numFmtId="164" fontId="12" fillId="0" borderId="31" xfId="350" applyNumberFormat="1" applyFont="1" applyFill="1" applyBorder="1" applyAlignment="1" applyProtection="1">
      <alignment horizontal="center" vertical="center"/>
      <protection locked="0"/>
    </xf>
    <xf numFmtId="0" fontId="50" fillId="0" borderId="31" xfId="421" applyFont="1" applyFill="1" applyBorder="1" applyAlignment="1" applyProtection="1">
      <alignment horizontal="justify" vertical="center"/>
      <protection locked="0"/>
    </xf>
    <xf numFmtId="0" fontId="50" fillId="0" borderId="31" xfId="350" applyFont="1" applyFill="1" applyBorder="1" applyAlignment="1" applyProtection="1">
      <alignment horizontal="center" vertical="center"/>
      <protection locked="0"/>
    </xf>
    <xf numFmtId="0" fontId="50" fillId="0" borderId="31" xfId="350" applyFont="1" applyFill="1" applyBorder="1" applyAlignment="1" applyProtection="1">
      <alignment horizontal="justify" vertical="center"/>
      <protection locked="0"/>
    </xf>
    <xf numFmtId="0" fontId="12" fillId="0" borderId="31" xfId="350" applyFont="1" applyFill="1" applyBorder="1" applyAlignment="1" applyProtection="1">
      <alignment horizontal="center" vertical="center"/>
      <protection locked="0"/>
    </xf>
    <xf numFmtId="0" fontId="50" fillId="37" borderId="31" xfId="421" applyFont="1" applyFill="1" applyBorder="1" applyAlignment="1" applyProtection="1">
      <alignment horizontal="justify" vertical="center" wrapText="1"/>
      <protection locked="0"/>
    </xf>
    <xf numFmtId="0" fontId="82" fillId="37" borderId="31" xfId="421" applyFont="1" applyFill="1" applyBorder="1" applyAlignment="1" applyProtection="1">
      <alignment horizontal="center" vertical="center"/>
      <protection locked="0"/>
    </xf>
    <xf numFmtId="0" fontId="50" fillId="37" borderId="31" xfId="421" applyFont="1" applyFill="1" applyBorder="1" applyAlignment="1" applyProtection="1">
      <alignment horizontal="justify" vertical="center"/>
      <protection locked="0"/>
    </xf>
    <xf numFmtId="0" fontId="50" fillId="37" borderId="31" xfId="350" applyFont="1" applyFill="1" applyBorder="1" applyAlignment="1" applyProtection="1">
      <alignment horizontal="justify" vertical="center"/>
      <protection locked="0"/>
    </xf>
    <xf numFmtId="0" fontId="50" fillId="0" borderId="1" xfId="350" applyFont="1" applyFill="1" applyBorder="1" applyAlignment="1" applyProtection="1">
      <alignment horizontal="left" vertical="center" wrapText="1"/>
      <protection locked="0"/>
    </xf>
    <xf numFmtId="0" fontId="64" fillId="0" borderId="0" xfId="421" applyFont="1" applyFill="1" applyAlignment="1" applyProtection="1">
      <alignment horizontal="justify" vertical="center"/>
      <protection locked="0"/>
    </xf>
    <xf numFmtId="0" fontId="50" fillId="0" borderId="1" xfId="350" applyFont="1" applyFill="1" applyBorder="1" applyAlignment="1" applyProtection="1">
      <alignment horizontal="justify" vertical="center"/>
      <protection locked="0"/>
    </xf>
    <xf numFmtId="0" fontId="50" fillId="0" borderId="0" xfId="350" applyFont="1" applyFill="1" applyBorder="1" applyAlignment="1" applyProtection="1">
      <alignment vertical="center"/>
      <protection locked="0"/>
    </xf>
    <xf numFmtId="0" fontId="12" fillId="0" borderId="31" xfId="350" applyFont="1" applyFill="1" applyBorder="1" applyAlignment="1" applyProtection="1">
      <alignment horizontal="justify" vertical="center"/>
      <protection locked="0"/>
    </xf>
    <xf numFmtId="0" fontId="12" fillId="0" borderId="31" xfId="417" applyFont="1" applyBorder="1" applyAlignment="1" applyProtection="1">
      <alignment horizontal="justify" vertical="center" wrapText="1"/>
      <protection locked="0"/>
    </xf>
    <xf numFmtId="0" fontId="12" fillId="0" borderId="0" xfId="0" applyFont="1" applyAlignment="1" applyProtection="1">
      <alignment horizontal="justify" vertical="center"/>
      <protection locked="0"/>
    </xf>
    <xf numFmtId="0" fontId="12" fillId="0" borderId="31" xfId="417" applyFont="1" applyBorder="1" applyAlignment="1" applyProtection="1">
      <alignment horizontal="left" vertical="center" wrapText="1"/>
      <protection locked="0"/>
    </xf>
    <xf numFmtId="0" fontId="50" fillId="0" borderId="31" xfId="426" applyFont="1" applyBorder="1" applyAlignment="1" applyProtection="1">
      <alignment horizontal="left" vertical="center" wrapText="1"/>
      <protection locked="0"/>
    </xf>
    <xf numFmtId="0" fontId="49" fillId="0" borderId="31" xfId="104" applyFont="1" applyBorder="1" applyAlignment="1" applyProtection="1">
      <alignment vertical="center" wrapText="1"/>
      <protection locked="0"/>
    </xf>
    <xf numFmtId="0" fontId="50" fillId="0" borderId="31" xfId="421" applyFont="1" applyBorder="1" applyAlignment="1" applyProtection="1">
      <alignment horizontal="justify" vertical="center"/>
      <protection locked="0"/>
    </xf>
    <xf numFmtId="0" fontId="50" fillId="0" borderId="0" xfId="421" applyFont="1" applyAlignment="1" applyProtection="1">
      <alignment horizontal="justify" vertical="center"/>
      <protection locked="0"/>
    </xf>
    <xf numFmtId="0" fontId="50" fillId="0" borderId="31" xfId="421" applyFont="1" applyBorder="1" applyAlignment="1" applyProtection="1">
      <alignment horizontal="center" vertical="center"/>
      <protection locked="0"/>
    </xf>
    <xf numFmtId="0" fontId="53" fillId="0" borderId="31" xfId="421" applyFont="1" applyFill="1" applyBorder="1" applyAlignment="1" applyProtection="1">
      <alignment horizontal="center" vertical="center" wrapText="1"/>
      <protection locked="0"/>
    </xf>
    <xf numFmtId="0" fontId="50" fillId="0" borderId="31" xfId="421" applyFont="1" applyFill="1" applyBorder="1" applyAlignment="1" applyProtection="1">
      <alignment horizontal="center" vertical="center"/>
      <protection locked="0"/>
    </xf>
    <xf numFmtId="164" fontId="12" fillId="0" borderId="31" xfId="421" applyNumberFormat="1" applyFont="1" applyFill="1" applyBorder="1" applyAlignment="1" applyProtection="1">
      <alignment horizontal="center" vertical="center"/>
      <protection locked="0"/>
    </xf>
    <xf numFmtId="164" fontId="50" fillId="0" borderId="31" xfId="421" applyNumberFormat="1" applyFont="1" applyFill="1" applyBorder="1" applyAlignment="1" applyProtection="1">
      <alignment horizontal="center" vertical="center"/>
      <protection locked="0"/>
    </xf>
    <xf numFmtId="0" fontId="12" fillId="0" borderId="31" xfId="421" applyFont="1" applyFill="1" applyBorder="1" applyAlignment="1" applyProtection="1">
      <alignment horizontal="justify" vertical="center"/>
      <protection locked="0"/>
    </xf>
    <xf numFmtId="0" fontId="50" fillId="0" borderId="0" xfId="350" applyFont="1" applyAlignment="1" applyProtection="1">
      <alignment vertical="center"/>
      <protection locked="0"/>
    </xf>
    <xf numFmtId="0" fontId="82" fillId="0" borderId="31" xfId="421" applyFont="1" applyFill="1" applyBorder="1" applyAlignment="1" applyProtection="1">
      <alignment horizontal="center" vertical="center"/>
      <protection locked="0"/>
    </xf>
    <xf numFmtId="0" fontId="16" fillId="30" borderId="0" xfId="350" applyFont="1" applyFill="1" applyBorder="1" applyAlignment="1" applyProtection="1">
      <alignment horizontal="center" vertical="center" wrapText="1"/>
    </xf>
    <xf numFmtId="0" fontId="75" fillId="33" borderId="1" xfId="350" applyFont="1" applyFill="1" applyBorder="1" applyAlignment="1" applyProtection="1">
      <alignment horizontal="center" vertical="center" wrapText="1"/>
    </xf>
    <xf numFmtId="0" fontId="65" fillId="33" borderId="1" xfId="350" applyFont="1" applyFill="1" applyBorder="1" applyAlignment="1" applyProtection="1">
      <alignment horizontal="center" vertical="center" wrapText="1"/>
    </xf>
    <xf numFmtId="3" fontId="65" fillId="33" borderId="1" xfId="350" applyNumberFormat="1" applyFont="1" applyFill="1" applyBorder="1" applyAlignment="1" applyProtection="1">
      <alignment horizontal="center" vertical="center" wrapText="1"/>
    </xf>
    <xf numFmtId="0" fontId="50" fillId="0" borderId="1" xfId="344" applyFont="1" applyFill="1" applyBorder="1" applyAlignment="1" applyProtection="1">
      <alignment horizontal="center" vertical="center" wrapText="1"/>
      <protection locked="0"/>
    </xf>
    <xf numFmtId="0" fontId="68" fillId="0" borderId="0" xfId="104" applyFont="1" applyAlignment="1" applyProtection="1">
      <alignment horizontal="center"/>
    </xf>
    <xf numFmtId="0" fontId="12" fillId="0" borderId="0" xfId="104" applyProtection="1"/>
    <xf numFmtId="0" fontId="88" fillId="0" borderId="0" xfId="104" applyFont="1" applyProtection="1"/>
    <xf numFmtId="0" fontId="87" fillId="0" borderId="0" xfId="104" applyFont="1" applyAlignment="1" applyProtection="1">
      <alignment horizontal="center" vertical="center"/>
    </xf>
    <xf numFmtId="0" fontId="85" fillId="0" borderId="0" xfId="104" applyFont="1" applyAlignment="1" applyProtection="1">
      <alignment horizontal="center" vertical="center"/>
    </xf>
    <xf numFmtId="0" fontId="12" fillId="30" borderId="0" xfId="104" applyFont="1" applyFill="1" applyProtection="1"/>
    <xf numFmtId="0" fontId="60" fillId="0" borderId="0" xfId="104" applyFont="1" applyProtection="1"/>
    <xf numFmtId="0" fontId="67" fillId="0" borderId="0" xfId="104" applyFont="1" applyProtection="1"/>
    <xf numFmtId="0" fontId="66" fillId="0" borderId="0" xfId="104" applyFont="1" applyProtection="1"/>
    <xf numFmtId="0" fontId="74" fillId="0" borderId="0" xfId="104" applyFont="1" applyAlignment="1" applyProtection="1">
      <alignment horizontal="right" vertical="center"/>
    </xf>
    <xf numFmtId="0" fontId="13" fillId="0" borderId="0" xfId="104" applyFont="1" applyAlignment="1" applyProtection="1">
      <alignment horizontal="center" vertical="center"/>
    </xf>
    <xf numFmtId="0" fontId="62" fillId="0" borderId="0" xfId="104" applyFont="1" applyAlignment="1" applyProtection="1">
      <alignment vertical="center"/>
    </xf>
    <xf numFmtId="0" fontId="74" fillId="0" borderId="0" xfId="104" applyFont="1" applyAlignment="1" applyProtection="1">
      <alignment vertical="center"/>
    </xf>
    <xf numFmtId="0" fontId="74" fillId="0" borderId="0" xfId="104" applyFont="1" applyAlignment="1" applyProtection="1"/>
    <xf numFmtId="0" fontId="12" fillId="0" borderId="0" xfId="104" applyFont="1" applyProtection="1"/>
    <xf numFmtId="0" fontId="57" fillId="38" borderId="58" xfId="349" applyFont="1" applyFill="1" applyBorder="1" applyAlignment="1" applyProtection="1">
      <alignment horizontal="center" vertical="center"/>
      <protection locked="0"/>
    </xf>
    <xf numFmtId="14" fontId="57" fillId="38" borderId="61" xfId="349" applyNumberFormat="1" applyFont="1" applyFill="1" applyBorder="1" applyAlignment="1" applyProtection="1">
      <alignment horizontal="center" vertical="center" wrapText="1"/>
      <protection locked="0"/>
    </xf>
    <xf numFmtId="188" fontId="56" fillId="0" borderId="0" xfId="349" applyNumberFormat="1" applyFont="1" applyAlignment="1" applyProtection="1">
      <alignment vertical="center"/>
    </xf>
    <xf numFmtId="191" fontId="0" fillId="0" borderId="0" xfId="0" applyNumberFormat="1" applyAlignment="1" applyProtection="1">
      <alignment vertical="center"/>
    </xf>
    <xf numFmtId="169" fontId="0" fillId="0" borderId="0" xfId="0" applyNumberFormat="1" applyAlignment="1" applyProtection="1">
      <alignment vertical="center"/>
    </xf>
    <xf numFmtId="0" fontId="82" fillId="0" borderId="31" xfId="421" applyFont="1" applyFill="1" applyBorder="1" applyAlignment="1" applyProtection="1">
      <alignment horizontal="center" vertical="center" wrapText="1"/>
      <protection locked="0"/>
    </xf>
    <xf numFmtId="10" fontId="57" fillId="38" borderId="64" xfId="349" applyNumberFormat="1" applyFont="1" applyFill="1" applyBorder="1" applyAlignment="1" applyProtection="1">
      <alignment horizontal="center" vertical="center" wrapText="1"/>
      <protection locked="0"/>
    </xf>
    <xf numFmtId="0" fontId="99" fillId="0" borderId="0" xfId="104" applyFont="1" applyAlignment="1" applyProtection="1">
      <alignment horizontal="center" vertical="center"/>
    </xf>
    <xf numFmtId="0" fontId="99" fillId="30" borderId="0" xfId="104" applyFont="1" applyFill="1" applyAlignment="1" applyProtection="1">
      <alignment horizontal="center" vertical="center"/>
    </xf>
    <xf numFmtId="0" fontId="71" fillId="28" borderId="76" xfId="356" applyFont="1" applyFill="1" applyBorder="1" applyAlignment="1">
      <alignment horizontal="center" vertical="center"/>
    </xf>
    <xf numFmtId="0" fontId="71" fillId="28" borderId="77" xfId="356" applyFont="1" applyFill="1" applyBorder="1" applyAlignment="1">
      <alignment horizontal="center" vertical="center" wrapText="1"/>
    </xf>
    <xf numFmtId="0" fontId="71" fillId="28" borderId="79" xfId="356" applyFont="1" applyFill="1" applyBorder="1" applyAlignment="1">
      <alignment horizontal="center" vertical="center" wrapText="1"/>
    </xf>
    <xf numFmtId="0" fontId="70" fillId="36" borderId="76" xfId="356" applyFont="1" applyFill="1" applyBorder="1" applyAlignment="1">
      <alignment horizontal="center" vertical="center"/>
    </xf>
    <xf numFmtId="0" fontId="66" fillId="36" borderId="77" xfId="356" applyFont="1" applyFill="1" applyBorder="1" applyAlignment="1">
      <alignment vertical="center"/>
    </xf>
    <xf numFmtId="0" fontId="66" fillId="36" borderId="78" xfId="356" applyFont="1" applyFill="1" applyBorder="1" applyAlignment="1">
      <alignment vertical="center"/>
    </xf>
    <xf numFmtId="0" fontId="70" fillId="28" borderId="76" xfId="356" applyFont="1" applyFill="1" applyBorder="1" applyAlignment="1">
      <alignment horizontal="center" vertical="center"/>
    </xf>
    <xf numFmtId="0" fontId="66" fillId="28" borderId="77" xfId="356" applyFont="1" applyFill="1" applyBorder="1" applyAlignment="1">
      <alignment vertical="center"/>
    </xf>
    <xf numFmtId="0" fontId="66" fillId="28" borderId="78" xfId="356" applyFont="1" applyFill="1" applyBorder="1" applyAlignment="1">
      <alignment vertical="center"/>
    </xf>
    <xf numFmtId="0" fontId="72" fillId="0" borderId="30" xfId="356" applyFont="1" applyFill="1" applyBorder="1" applyAlignment="1">
      <alignment horizontal="center" vertical="center"/>
    </xf>
    <xf numFmtId="192" fontId="72" fillId="38" borderId="32" xfId="356" applyNumberFormat="1" applyFont="1" applyFill="1" applyBorder="1" applyAlignment="1">
      <alignment horizontal="center" vertical="center"/>
    </xf>
    <xf numFmtId="9" fontId="72" fillId="0" borderId="32" xfId="356" applyNumberFormat="1" applyFont="1" applyFill="1" applyBorder="1" applyAlignment="1">
      <alignment horizontal="center" vertical="center"/>
    </xf>
    <xf numFmtId="0" fontId="72" fillId="36" borderId="77" xfId="356" applyFont="1" applyFill="1" applyBorder="1" applyAlignment="1">
      <alignment vertical="center"/>
    </xf>
    <xf numFmtId="0" fontId="72" fillId="36" borderId="78" xfId="356" applyFont="1" applyFill="1" applyBorder="1" applyAlignment="1">
      <alignment vertical="center"/>
    </xf>
    <xf numFmtId="2" fontId="72" fillId="36" borderId="77" xfId="356" applyNumberFormat="1" applyFont="1" applyFill="1" applyBorder="1" applyAlignment="1">
      <alignment vertical="center"/>
    </xf>
    <xf numFmtId="2" fontId="72" fillId="36" borderId="78" xfId="356" applyNumberFormat="1" applyFont="1" applyFill="1" applyBorder="1" applyAlignment="1">
      <alignment vertical="center"/>
    </xf>
    <xf numFmtId="0" fontId="72" fillId="28" borderId="77" xfId="356" applyFont="1" applyFill="1" applyBorder="1" applyAlignment="1">
      <alignment vertical="center"/>
    </xf>
    <xf numFmtId="2" fontId="72" fillId="28" borderId="77" xfId="356" applyNumberFormat="1" applyFont="1" applyFill="1" applyBorder="1" applyAlignment="1">
      <alignment vertical="center"/>
    </xf>
    <xf numFmtId="2" fontId="72" fillId="28" borderId="78" xfId="356" applyNumberFormat="1" applyFont="1" applyFill="1" applyBorder="1" applyAlignment="1">
      <alignment vertical="center"/>
    </xf>
    <xf numFmtId="0" fontId="72" fillId="0" borderId="32" xfId="356" applyFont="1" applyFill="1" applyBorder="1" applyAlignment="1">
      <alignment horizontal="center" vertical="center"/>
    </xf>
    <xf numFmtId="0" fontId="72" fillId="0" borderId="43" xfId="356" applyFont="1" applyFill="1" applyBorder="1" applyAlignment="1">
      <alignment horizontal="center" vertical="center"/>
    </xf>
    <xf numFmtId="0" fontId="72" fillId="28" borderId="78" xfId="356" applyFont="1" applyFill="1" applyBorder="1" applyAlignment="1">
      <alignment vertical="center"/>
    </xf>
    <xf numFmtId="9" fontId="72" fillId="0" borderId="35" xfId="356" applyNumberFormat="1" applyFont="1" applyBorder="1" applyAlignment="1">
      <alignment horizontal="center" vertical="center"/>
    </xf>
    <xf numFmtId="4" fontId="72" fillId="0" borderId="28" xfId="356" applyNumberFormat="1" applyFont="1" applyFill="1" applyBorder="1" applyAlignment="1">
      <alignment horizontal="center" vertical="center"/>
    </xf>
    <xf numFmtId="9" fontId="72" fillId="0" borderId="28" xfId="356" applyNumberFormat="1" applyFont="1" applyFill="1" applyBorder="1" applyAlignment="1">
      <alignment horizontal="center" vertical="center"/>
    </xf>
    <xf numFmtId="0" fontId="72" fillId="0" borderId="28" xfId="356" applyFont="1" applyFill="1" applyBorder="1" applyAlignment="1">
      <alignment horizontal="center" vertical="center"/>
    </xf>
    <xf numFmtId="177" fontId="70" fillId="36" borderId="76" xfId="356" applyNumberFormat="1" applyFont="1" applyFill="1" applyBorder="1" applyAlignment="1">
      <alignment horizontal="center" vertical="center"/>
    </xf>
    <xf numFmtId="0" fontId="101" fillId="0" borderId="0" xfId="356" applyFont="1" applyAlignment="1">
      <alignment vertical="center"/>
    </xf>
    <xf numFmtId="0" fontId="101" fillId="0" borderId="0" xfId="356" applyFont="1" applyAlignment="1">
      <alignment horizontal="center" vertical="center"/>
    </xf>
    <xf numFmtId="49" fontId="14" fillId="38" borderId="31" xfId="0" applyNumberFormat="1" applyFont="1" applyFill="1" applyBorder="1" applyAlignment="1" applyProtection="1">
      <alignment horizontal="center" vertical="center"/>
      <protection locked="0"/>
    </xf>
    <xf numFmtId="0" fontId="14" fillId="38" borderId="31" xfId="0" applyNumberFormat="1" applyFont="1" applyFill="1" applyBorder="1" applyAlignment="1" applyProtection="1">
      <alignment horizontal="center" vertical="center"/>
      <protection locked="0"/>
    </xf>
    <xf numFmtId="0" fontId="64" fillId="33" borderId="1" xfId="350" applyFont="1" applyFill="1" applyBorder="1" applyAlignment="1" applyProtection="1">
      <alignment horizontal="center" vertical="center" wrapText="1"/>
    </xf>
    <xf numFmtId="0" fontId="64" fillId="30" borderId="1" xfId="350" applyFont="1" applyFill="1" applyBorder="1" applyAlignment="1" applyProtection="1">
      <alignment horizontal="center" vertical="center" wrapText="1"/>
    </xf>
    <xf numFmtId="0" fontId="14" fillId="30" borderId="1" xfId="350" applyFont="1" applyFill="1" applyBorder="1" applyAlignment="1" applyProtection="1">
      <alignment vertical="center" wrapText="1"/>
    </xf>
    <xf numFmtId="0" fontId="65" fillId="32" borderId="1" xfId="350" applyFont="1" applyFill="1" applyBorder="1" applyAlignment="1" applyProtection="1">
      <alignment horizontal="center" vertical="center" wrapText="1"/>
    </xf>
    <xf numFmtId="0" fontId="16" fillId="32" borderId="1" xfId="350" applyFont="1" applyFill="1" applyBorder="1" applyAlignment="1" applyProtection="1">
      <alignment vertical="center"/>
    </xf>
    <xf numFmtId="0" fontId="64" fillId="37" borderId="31" xfId="350" applyFont="1" applyFill="1" applyBorder="1" applyAlignment="1" applyProtection="1">
      <alignment horizontal="center" vertical="center" wrapText="1"/>
    </xf>
    <xf numFmtId="0" fontId="50" fillId="37" borderId="31" xfId="350" applyFont="1" applyFill="1" applyBorder="1" applyAlignment="1" applyProtection="1">
      <alignment horizontal="justify" vertical="center" wrapText="1"/>
    </xf>
    <xf numFmtId="0" fontId="65" fillId="35" borderId="1" xfId="350" applyFont="1" applyFill="1" applyBorder="1" applyAlignment="1" applyProtection="1">
      <alignment horizontal="center" vertical="center" wrapText="1"/>
    </xf>
    <xf numFmtId="0" fontId="16" fillId="35" borderId="1" xfId="350" applyFont="1" applyFill="1" applyBorder="1" applyAlignment="1" applyProtection="1">
      <alignment horizontal="left" vertical="center"/>
    </xf>
    <xf numFmtId="0" fontId="64" fillId="35" borderId="1" xfId="350" applyFont="1" applyFill="1" applyBorder="1" applyAlignment="1" applyProtection="1">
      <alignment horizontal="center" vertical="center"/>
    </xf>
    <xf numFmtId="0" fontId="53" fillId="35" borderId="1" xfId="0" applyFont="1" applyFill="1" applyBorder="1" applyAlignment="1" applyProtection="1">
      <alignment vertical="center" wrapText="1"/>
    </xf>
    <xf numFmtId="0" fontId="76" fillId="35" borderId="1" xfId="0" applyFont="1" applyFill="1" applyBorder="1" applyAlignment="1" applyProtection="1">
      <alignment horizontal="center" vertical="center" wrapText="1"/>
    </xf>
    <xf numFmtId="10" fontId="67" fillId="30" borderId="87" xfId="343" applyNumberFormat="1" applyFont="1" applyFill="1" applyBorder="1" applyAlignment="1">
      <alignment horizontal="center"/>
    </xf>
    <xf numFmtId="196" fontId="67" fillId="0" borderId="88" xfId="432" applyNumberFormat="1" applyFont="1" applyBorder="1" applyAlignment="1">
      <alignment horizontal="center"/>
    </xf>
    <xf numFmtId="10" fontId="67" fillId="38" borderId="28" xfId="343" applyNumberFormat="1" applyFont="1" applyFill="1" applyBorder="1" applyAlignment="1">
      <alignment horizontal="center"/>
    </xf>
    <xf numFmtId="196" fontId="67" fillId="0" borderId="29" xfId="432" applyNumberFormat="1" applyFont="1" applyBorder="1" applyAlignment="1">
      <alignment horizontal="center"/>
    </xf>
    <xf numFmtId="10" fontId="67" fillId="38" borderId="90" xfId="343" applyNumberFormat="1" applyFont="1" applyFill="1" applyBorder="1" applyAlignment="1">
      <alignment horizontal="center"/>
    </xf>
    <xf numFmtId="196" fontId="67" fillId="31" borderId="91" xfId="432" applyNumberFormat="1" applyFont="1" applyFill="1" applyBorder="1" applyAlignment="1">
      <alignment horizontal="center"/>
    </xf>
    <xf numFmtId="196" fontId="68" fillId="28" borderId="92" xfId="432" applyNumberFormat="1" applyFont="1" applyFill="1" applyBorder="1" applyAlignment="1">
      <alignment vertical="center"/>
    </xf>
    <xf numFmtId="196" fontId="102" fillId="28" borderId="93" xfId="432" applyNumberFormat="1" applyFont="1" applyFill="1" applyBorder="1" applyAlignment="1">
      <alignment horizontal="center"/>
    </xf>
    <xf numFmtId="0" fontId="90" fillId="0" borderId="0" xfId="104" applyFont="1" applyBorder="1" applyAlignment="1" applyProtection="1">
      <alignment horizontal="center"/>
    </xf>
    <xf numFmtId="0" fontId="99" fillId="0" borderId="0" xfId="104" applyFont="1" applyBorder="1" applyAlignment="1" applyProtection="1">
      <alignment horizontal="center" vertical="center"/>
    </xf>
    <xf numFmtId="0" fontId="103" fillId="36" borderId="96" xfId="0" applyFont="1" applyFill="1" applyBorder="1" applyAlignment="1">
      <alignment horizontal="center"/>
    </xf>
    <xf numFmtId="0" fontId="104" fillId="36" borderId="97" xfId="0" applyFont="1" applyFill="1" applyBorder="1" applyAlignment="1" applyProtection="1">
      <alignment horizontal="center"/>
    </xf>
    <xf numFmtId="0" fontId="106" fillId="36" borderId="83" xfId="0" applyFont="1" applyFill="1" applyBorder="1" applyAlignment="1" applyProtection="1">
      <alignment horizontal="center" vertical="center"/>
    </xf>
    <xf numFmtId="0" fontId="106" fillId="36" borderId="99" xfId="0" applyFont="1" applyFill="1" applyBorder="1" applyAlignment="1" applyProtection="1">
      <alignment horizontal="center" vertical="center"/>
    </xf>
    <xf numFmtId="4" fontId="106" fillId="36" borderId="100" xfId="0" applyNumberFormat="1" applyFont="1" applyFill="1" applyBorder="1" applyAlignment="1" applyProtection="1">
      <alignment horizontal="center" vertical="center"/>
    </xf>
    <xf numFmtId="196" fontId="106" fillId="36" borderId="100" xfId="432" applyNumberFormat="1" applyFont="1" applyFill="1" applyBorder="1" applyAlignment="1" applyProtection="1">
      <alignment horizontal="center" vertical="center" wrapText="1"/>
    </xf>
    <xf numFmtId="196" fontId="106" fillId="36" borderId="101" xfId="432" applyNumberFormat="1" applyFont="1" applyFill="1" applyBorder="1" applyAlignment="1" applyProtection="1">
      <alignment horizontal="center" vertical="center" wrapText="1"/>
    </xf>
    <xf numFmtId="3" fontId="106" fillId="36" borderId="101" xfId="0" applyNumberFormat="1" applyFont="1" applyFill="1" applyBorder="1" applyAlignment="1" applyProtection="1">
      <alignment horizontal="center" vertical="center" wrapText="1"/>
    </xf>
    <xf numFmtId="0" fontId="107" fillId="32" borderId="102" xfId="0" applyFont="1" applyFill="1" applyBorder="1" applyAlignment="1" applyProtection="1">
      <alignment horizontal="center" vertical="center"/>
    </xf>
    <xf numFmtId="0" fontId="100" fillId="32" borderId="103" xfId="0" applyFont="1" applyFill="1" applyBorder="1" applyAlignment="1" applyProtection="1">
      <alignment horizontal="center" vertical="center"/>
    </xf>
    <xf numFmtId="0" fontId="107" fillId="32" borderId="26" xfId="0" applyFont="1" applyFill="1" applyBorder="1" applyAlignment="1" applyProtection="1">
      <alignment horizontal="center" vertical="center"/>
    </xf>
    <xf numFmtId="4" fontId="107" fillId="32" borderId="26" xfId="0" applyNumberFormat="1" applyFont="1" applyFill="1" applyBorder="1" applyAlignment="1" applyProtection="1">
      <alignment horizontal="center" vertical="center"/>
    </xf>
    <xf numFmtId="196" fontId="107" fillId="32" borderId="26" xfId="432" applyNumberFormat="1" applyFont="1" applyFill="1" applyBorder="1" applyAlignment="1" applyProtection="1">
      <alignment horizontal="center" vertical="center" wrapText="1"/>
    </xf>
    <xf numFmtId="196" fontId="107" fillId="32" borderId="103" xfId="432" applyNumberFormat="1" applyFont="1" applyFill="1" applyBorder="1" applyAlignment="1" applyProtection="1">
      <alignment horizontal="center" vertical="center" wrapText="1"/>
    </xf>
    <xf numFmtId="3" fontId="107" fillId="32" borderId="103" xfId="0" applyNumberFormat="1" applyFont="1" applyFill="1" applyBorder="1" applyAlignment="1" applyProtection="1">
      <alignment horizontal="center" vertical="center" wrapText="1"/>
    </xf>
    <xf numFmtId="49" fontId="108" fillId="40" borderId="76" xfId="364" applyNumberFormat="1" applyFont="1" applyFill="1" applyBorder="1" applyAlignment="1" applyProtection="1">
      <alignment horizontal="center" vertical="center" wrapText="1"/>
      <protection locked="0"/>
    </xf>
    <xf numFmtId="0" fontId="109" fillId="28" borderId="104" xfId="359" applyFont="1" applyFill="1" applyBorder="1" applyAlignment="1">
      <alignment horizontal="center" vertical="center"/>
    </xf>
    <xf numFmtId="0" fontId="110" fillId="28" borderId="105" xfId="0" applyFont="1" applyFill="1" applyBorder="1" applyAlignment="1" applyProtection="1">
      <alignment horizontal="center" vertical="center"/>
      <protection locked="0"/>
    </xf>
    <xf numFmtId="2" fontId="110" fillId="28" borderId="79" xfId="0" applyNumberFormat="1" applyFont="1" applyFill="1" applyBorder="1" applyAlignment="1" applyProtection="1">
      <alignment horizontal="center" vertical="center"/>
      <protection locked="0"/>
    </xf>
    <xf numFmtId="196" fontId="110" fillId="28" borderId="77" xfId="432" applyNumberFormat="1" applyFont="1" applyFill="1" applyBorder="1" applyAlignment="1">
      <alignment horizontal="center" vertical="center"/>
    </xf>
    <xf numFmtId="196" fontId="110" fillId="28" borderId="95" xfId="432" applyNumberFormat="1" applyFont="1" applyFill="1" applyBorder="1" applyAlignment="1">
      <alignment horizontal="center" vertical="center"/>
    </xf>
    <xf numFmtId="190" fontId="109" fillId="28" borderId="95" xfId="0" applyNumberFormat="1" applyFont="1" applyFill="1" applyBorder="1" applyAlignment="1">
      <alignment horizontal="center" vertical="center"/>
    </xf>
    <xf numFmtId="0" fontId="111" fillId="32" borderId="30" xfId="360" applyFont="1" applyFill="1" applyBorder="1" applyAlignment="1" applyProtection="1">
      <alignment horizontal="center" vertical="center"/>
      <protection locked="0"/>
    </xf>
    <xf numFmtId="0" fontId="112" fillId="30" borderId="106" xfId="362" applyFont="1" applyFill="1" applyBorder="1" applyAlignment="1">
      <alignment horizontal="justify" vertical="justify"/>
    </xf>
    <xf numFmtId="0" fontId="67" fillId="30" borderId="107" xfId="361" applyNumberFormat="1" applyFont="1" applyFill="1" applyBorder="1" applyAlignment="1">
      <alignment horizontal="center" vertical="center"/>
    </xf>
    <xf numFmtId="2" fontId="67" fillId="0" borderId="32" xfId="0" applyNumberFormat="1" applyFont="1" applyFill="1" applyBorder="1" applyAlignment="1" applyProtection="1">
      <alignment horizontal="center" vertical="center"/>
      <protection locked="0"/>
    </xf>
    <xf numFmtId="196" fontId="67" fillId="38" borderId="92" xfId="432" applyNumberFormat="1" applyFont="1" applyFill="1" applyBorder="1" applyAlignment="1">
      <alignment horizontal="center" vertical="center"/>
    </xf>
    <xf numFmtId="0" fontId="67" fillId="0" borderId="108" xfId="362" applyFont="1" applyFill="1" applyBorder="1" applyAlignment="1">
      <alignment horizontal="justify" vertical="center"/>
    </xf>
    <xf numFmtId="0" fontId="67" fillId="0" borderId="92" xfId="361" applyNumberFormat="1" applyFont="1" applyFill="1" applyBorder="1" applyAlignment="1">
      <alignment horizontal="center" vertical="center"/>
    </xf>
    <xf numFmtId="2" fontId="67" fillId="0" borderId="92" xfId="0" applyNumberFormat="1" applyFont="1" applyFill="1" applyBorder="1" applyAlignment="1" applyProtection="1">
      <alignment horizontal="center" vertical="center"/>
      <protection locked="0"/>
    </xf>
    <xf numFmtId="0" fontId="67" fillId="0" borderId="92" xfId="362" applyFont="1" applyFill="1" applyBorder="1" applyAlignment="1">
      <alignment horizontal="justify" vertical="center"/>
    </xf>
    <xf numFmtId="0" fontId="67" fillId="0" borderId="110" xfId="361" applyNumberFormat="1" applyFont="1" applyFill="1" applyBorder="1" applyAlignment="1">
      <alignment horizontal="center" vertical="center"/>
    </xf>
    <xf numFmtId="2" fontId="67" fillId="0" borderId="110" xfId="0" applyNumberFormat="1" applyFont="1" applyFill="1" applyBorder="1" applyAlignment="1" applyProtection="1">
      <alignment horizontal="center" vertical="center"/>
      <protection locked="0"/>
    </xf>
    <xf numFmtId="0" fontId="69" fillId="0" borderId="92" xfId="362" applyFont="1" applyFill="1" applyBorder="1" applyAlignment="1">
      <alignment horizontal="justify" vertical="center"/>
    </xf>
    <xf numFmtId="0" fontId="67" fillId="0" borderId="77" xfId="361" applyNumberFormat="1" applyFont="1" applyFill="1" applyBorder="1" applyAlignment="1">
      <alignment horizontal="center" vertical="center"/>
    </xf>
    <xf numFmtId="2" fontId="67" fillId="0" borderId="77" xfId="0" applyNumberFormat="1" applyFont="1" applyFill="1" applyBorder="1" applyAlignment="1" applyProtection="1">
      <alignment horizontal="center" vertical="center"/>
      <protection locked="0"/>
    </xf>
    <xf numFmtId="0" fontId="109" fillId="28" borderId="112" xfId="359" applyFont="1" applyFill="1" applyBorder="1" applyAlignment="1">
      <alignment horizontal="center" vertical="center"/>
    </xf>
    <xf numFmtId="0" fontId="86" fillId="32" borderId="113" xfId="360" applyFill="1" applyBorder="1" applyAlignment="1" applyProtection="1">
      <alignment horizontal="center" vertical="center"/>
      <protection locked="0"/>
    </xf>
    <xf numFmtId="0" fontId="67" fillId="0" borderId="114" xfId="359" applyFont="1" applyFill="1" applyBorder="1" applyAlignment="1">
      <alignment horizontal="justify" vertical="center"/>
    </xf>
    <xf numFmtId="0" fontId="69" fillId="0" borderId="115" xfId="359" applyFont="1" applyFill="1" applyBorder="1" applyAlignment="1">
      <alignment horizontal="justify" vertical="center"/>
    </xf>
    <xf numFmtId="0" fontId="67" fillId="0" borderId="110" xfId="0" applyFont="1" applyFill="1" applyBorder="1" applyAlignment="1" applyProtection="1">
      <alignment horizontal="center" vertical="center"/>
      <protection locked="0"/>
    </xf>
    <xf numFmtId="196" fontId="67" fillId="38" borderId="110" xfId="432" applyNumberFormat="1" applyFont="1" applyFill="1" applyBorder="1" applyAlignment="1">
      <alignment horizontal="center" vertical="center"/>
    </xf>
    <xf numFmtId="0" fontId="67" fillId="0" borderId="50" xfId="361" applyNumberFormat="1" applyFont="1" applyFill="1" applyBorder="1" applyAlignment="1">
      <alignment horizontal="center" vertical="center"/>
    </xf>
    <xf numFmtId="2" fontId="67" fillId="0" borderId="50" xfId="0" applyNumberFormat="1" applyFont="1" applyFill="1" applyBorder="1" applyAlignment="1" applyProtection="1">
      <alignment horizontal="center" vertical="center"/>
      <protection locked="0"/>
    </xf>
    <xf numFmtId="0" fontId="67" fillId="0" borderId="50" xfId="0" applyFont="1" applyFill="1" applyBorder="1" applyAlignment="1" applyProtection="1">
      <alignment horizontal="center" vertical="center"/>
      <protection locked="0"/>
    </xf>
    <xf numFmtId="0" fontId="86" fillId="32" borderId="116" xfId="360" applyFill="1" applyBorder="1" applyAlignment="1" applyProtection="1">
      <alignment horizontal="center" vertical="center"/>
      <protection locked="0"/>
    </xf>
    <xf numFmtId="0" fontId="67" fillId="0" borderId="116" xfId="0" applyFont="1" applyFill="1" applyBorder="1" applyAlignment="1" applyProtection="1">
      <alignment horizontal="center" vertical="center"/>
      <protection locked="0"/>
    </xf>
    <xf numFmtId="2" fontId="67" fillId="0" borderId="116" xfId="0" applyNumberFormat="1" applyFont="1" applyFill="1" applyBorder="1" applyAlignment="1" applyProtection="1">
      <alignment horizontal="center" vertical="center"/>
      <protection locked="0"/>
    </xf>
    <xf numFmtId="196" fontId="67" fillId="38" borderId="117" xfId="432" applyNumberFormat="1" applyFont="1" applyFill="1" applyBorder="1" applyAlignment="1">
      <alignment horizontal="center" vertical="center"/>
    </xf>
    <xf numFmtId="0" fontId="67" fillId="0" borderId="116" xfId="359" applyFont="1" applyFill="1" applyBorder="1" applyAlignment="1">
      <alignment horizontal="justify" vertical="center"/>
    </xf>
    <xf numFmtId="0" fontId="67" fillId="41" borderId="111" xfId="0" applyFont="1" applyFill="1" applyBorder="1" applyAlignment="1">
      <alignment horizontal="left" vertical="center" wrapText="1"/>
    </xf>
    <xf numFmtId="0" fontId="67" fillId="0" borderId="118" xfId="359" applyFont="1" applyFill="1" applyBorder="1" applyAlignment="1">
      <alignment horizontal="justify" vertical="center"/>
    </xf>
    <xf numFmtId="0" fontId="92" fillId="30" borderId="116" xfId="362" applyFont="1" applyFill="1" applyBorder="1" applyAlignment="1">
      <alignment horizontal="justify" vertical="center" wrapText="1"/>
    </xf>
    <xf numFmtId="0" fontId="92" fillId="30" borderId="33" xfId="362" applyFont="1" applyFill="1" applyBorder="1" applyAlignment="1">
      <alignment horizontal="justify" vertical="justify"/>
    </xf>
    <xf numFmtId="0" fontId="92" fillId="0" borderId="33" xfId="362" applyFont="1" applyFill="1" applyBorder="1" applyAlignment="1">
      <alignment horizontal="justify" vertical="center" wrapText="1"/>
    </xf>
    <xf numFmtId="190" fontId="109" fillId="28" borderId="116" xfId="0" applyNumberFormat="1" applyFont="1" applyFill="1" applyBorder="1" applyAlignment="1">
      <alignment horizontal="center" vertical="center"/>
    </xf>
    <xf numFmtId="196" fontId="67" fillId="38" borderId="77" xfId="432" applyNumberFormat="1" applyFont="1" applyFill="1" applyBorder="1" applyAlignment="1">
      <alignment horizontal="center" vertical="center"/>
    </xf>
    <xf numFmtId="0" fontId="67" fillId="0" borderId="114" xfId="359" applyFont="1" applyFill="1" applyBorder="1" applyAlignment="1">
      <alignment vertical="center" wrapText="1"/>
    </xf>
    <xf numFmtId="190" fontId="109" fillId="28" borderId="22" xfId="0" applyNumberFormat="1" applyFont="1" applyFill="1" applyBorder="1" applyAlignment="1">
      <alignment horizontal="center" vertical="center"/>
    </xf>
    <xf numFmtId="0" fontId="86" fillId="32" borderId="34" xfId="360" applyFill="1" applyBorder="1" applyAlignment="1" applyProtection="1">
      <alignment horizontal="center" vertical="center"/>
      <protection locked="0"/>
    </xf>
    <xf numFmtId="0" fontId="67" fillId="0" borderId="77" xfId="359" applyFont="1" applyFill="1" applyBorder="1" applyAlignment="1">
      <alignment horizontal="justify" vertical="center"/>
    </xf>
    <xf numFmtId="0" fontId="110" fillId="28" borderId="119" xfId="0" applyFont="1" applyFill="1" applyBorder="1" applyAlignment="1" applyProtection="1">
      <alignment horizontal="center" vertical="center"/>
      <protection locked="0"/>
    </xf>
    <xf numFmtId="2" fontId="110" fillId="28" borderId="25" xfId="0" applyNumberFormat="1" applyFont="1" applyFill="1" applyBorder="1" applyAlignment="1" applyProtection="1">
      <alignment horizontal="center" vertical="center"/>
      <protection locked="0"/>
    </xf>
    <xf numFmtId="196" fontId="110" fillId="28" borderId="120" xfId="432" applyNumberFormat="1" applyFont="1" applyFill="1" applyBorder="1" applyAlignment="1">
      <alignment horizontal="center" vertical="center"/>
    </xf>
    <xf numFmtId="196" fontId="110" fillId="28" borderId="22" xfId="432" applyNumberFormat="1" applyFont="1" applyFill="1" applyBorder="1" applyAlignment="1">
      <alignment horizontal="center" vertical="center"/>
    </xf>
    <xf numFmtId="0" fontId="69" fillId="0" borderId="106" xfId="362" applyFont="1" applyFill="1" applyBorder="1" applyAlignment="1">
      <alignment horizontal="justify" vertical="center"/>
    </xf>
    <xf numFmtId="196" fontId="67" fillId="38" borderId="116" xfId="432" applyNumberFormat="1" applyFont="1" applyFill="1" applyBorder="1" applyAlignment="1">
      <alignment horizontal="center" vertical="center"/>
    </xf>
    <xf numFmtId="0" fontId="67" fillId="41" borderId="121" xfId="0" applyFont="1" applyFill="1" applyBorder="1" applyAlignment="1">
      <alignment horizontal="left" vertical="center" wrapText="1"/>
    </xf>
    <xf numFmtId="0" fontId="67" fillId="41" borderId="122" xfId="0" applyFont="1" applyFill="1" applyBorder="1" applyAlignment="1">
      <alignment horizontal="left" vertical="center" wrapText="1"/>
    </xf>
    <xf numFmtId="0" fontId="110" fillId="28" borderId="123" xfId="0" applyFont="1" applyFill="1" applyBorder="1" applyAlignment="1" applyProtection="1">
      <alignment horizontal="center" vertical="center"/>
      <protection locked="0"/>
    </xf>
    <xf numFmtId="2" fontId="110" fillId="28" borderId="26" xfId="0" applyNumberFormat="1" applyFont="1" applyFill="1" applyBorder="1" applyAlignment="1" applyProtection="1">
      <alignment horizontal="center" vertical="center"/>
      <protection locked="0"/>
    </xf>
    <xf numFmtId="196" fontId="110" fillId="28" borderId="108" xfId="432" applyNumberFormat="1" applyFont="1" applyFill="1" applyBorder="1" applyAlignment="1">
      <alignment horizontal="center" vertical="center"/>
    </xf>
    <xf numFmtId="196" fontId="110" fillId="28" borderId="103" xfId="432" applyNumberFormat="1" applyFont="1" applyFill="1" applyBorder="1" applyAlignment="1">
      <alignment horizontal="center" vertical="center"/>
    </xf>
    <xf numFmtId="0" fontId="67" fillId="41" borderId="84" xfId="0" applyFont="1" applyFill="1" applyBorder="1" applyAlignment="1">
      <alignment horizontal="left" vertical="center" wrapText="1"/>
    </xf>
    <xf numFmtId="0" fontId="69" fillId="0" borderId="77" xfId="359" applyFont="1" applyFill="1" applyBorder="1" applyAlignment="1">
      <alignment horizontal="justify" vertical="center"/>
    </xf>
    <xf numFmtId="0" fontId="43" fillId="0" borderId="77" xfId="359" applyFont="1" applyFill="1" applyBorder="1" applyAlignment="1">
      <alignment horizontal="justify" vertical="center"/>
    </xf>
    <xf numFmtId="0" fontId="67" fillId="30" borderId="114" xfId="359" applyFont="1" applyFill="1" applyBorder="1" applyAlignment="1">
      <alignment horizontal="justify" vertical="center"/>
    </xf>
    <xf numFmtId="0" fontId="67" fillId="0" borderId="124" xfId="361" applyNumberFormat="1" applyFont="1" applyFill="1" applyBorder="1" applyAlignment="1">
      <alignment horizontal="center" vertical="center"/>
    </xf>
    <xf numFmtId="2" fontId="67" fillId="0" borderId="117" xfId="0" applyNumberFormat="1" applyFont="1" applyFill="1" applyBorder="1" applyAlignment="1" applyProtection="1">
      <alignment horizontal="center" vertical="center"/>
      <protection locked="0"/>
    </xf>
    <xf numFmtId="196" fontId="67" fillId="31" borderId="110" xfId="432" applyNumberFormat="1" applyFont="1" applyFill="1" applyBorder="1" applyAlignment="1">
      <alignment vertical="center"/>
    </xf>
    <xf numFmtId="196" fontId="102" fillId="31" borderId="125" xfId="432" applyNumberFormat="1" applyFont="1" applyFill="1" applyBorder="1" applyAlignment="1">
      <alignment horizontal="center"/>
    </xf>
    <xf numFmtId="10" fontId="43" fillId="30" borderId="50" xfId="0" applyNumberFormat="1" applyFont="1" applyFill="1" applyBorder="1" applyAlignment="1">
      <alignment horizontal="center"/>
    </xf>
    <xf numFmtId="0" fontId="60" fillId="30" borderId="0" xfId="0" applyFont="1" applyFill="1"/>
    <xf numFmtId="0" fontId="60" fillId="0" borderId="0" xfId="0" applyFont="1"/>
    <xf numFmtId="43" fontId="43" fillId="30" borderId="0" xfId="364" applyFont="1" applyFill="1"/>
    <xf numFmtId="0" fontId="106" fillId="36" borderId="103" xfId="0" applyFont="1" applyFill="1" applyBorder="1" applyAlignment="1" applyProtection="1">
      <alignment horizontal="center" vertical="center"/>
    </xf>
    <xf numFmtId="197" fontId="71" fillId="28" borderId="77" xfId="432" applyNumberFormat="1" applyFont="1" applyFill="1" applyBorder="1" applyAlignment="1">
      <alignment horizontal="center" vertical="center" wrapText="1"/>
    </xf>
    <xf numFmtId="0" fontId="71" fillId="28" borderId="105" xfId="356" applyFont="1" applyFill="1" applyBorder="1" applyAlignment="1">
      <alignment horizontal="center" vertical="center" wrapText="1"/>
    </xf>
    <xf numFmtId="197" fontId="71" fillId="28" borderId="95" xfId="432" applyNumberFormat="1" applyFont="1" applyFill="1" applyBorder="1" applyAlignment="1">
      <alignment horizontal="center" vertical="center" wrapText="1"/>
    </xf>
    <xf numFmtId="0" fontId="70" fillId="36" borderId="77" xfId="356" applyFont="1" applyFill="1" applyBorder="1" applyAlignment="1">
      <alignment horizontal="left" vertical="center" wrapText="1"/>
    </xf>
    <xf numFmtId="197" fontId="66" fillId="36" borderId="77" xfId="432" applyNumberFormat="1" applyFont="1" applyFill="1" applyBorder="1" applyAlignment="1">
      <alignment vertical="center"/>
    </xf>
    <xf numFmtId="197" fontId="66" fillId="36" borderId="112" xfId="432" applyNumberFormat="1" applyFont="1" applyFill="1" applyBorder="1" applyAlignment="1">
      <alignment vertical="center"/>
    </xf>
    <xf numFmtId="0" fontId="70" fillId="28" borderId="77" xfId="356" applyFont="1" applyFill="1" applyBorder="1" applyAlignment="1">
      <alignment horizontal="justify" vertical="center" wrapText="1"/>
    </xf>
    <xf numFmtId="197" fontId="66" fillId="28" borderId="77" xfId="432" applyNumberFormat="1" applyFont="1" applyFill="1" applyBorder="1" applyAlignment="1">
      <alignment vertical="center"/>
    </xf>
    <xf numFmtId="197" fontId="66" fillId="28" borderId="112" xfId="432" applyNumberFormat="1" applyFont="1" applyFill="1" applyBorder="1" applyAlignment="1">
      <alignment vertical="center"/>
    </xf>
    <xf numFmtId="0" fontId="71" fillId="0" borderId="32" xfId="356" applyFont="1" applyFill="1" applyBorder="1" applyAlignment="1">
      <alignment horizontal="justify" vertical="center" wrapText="1"/>
    </xf>
    <xf numFmtId="197" fontId="72" fillId="38" borderId="32" xfId="432" applyNumberFormat="1" applyFont="1" applyFill="1" applyBorder="1" applyAlignment="1">
      <alignment horizontal="center" vertical="center"/>
    </xf>
    <xf numFmtId="197" fontId="72" fillId="0" borderId="33" xfId="432" applyNumberFormat="1" applyFont="1" applyFill="1" applyBorder="1" applyAlignment="1">
      <alignment horizontal="center" vertical="center"/>
    </xf>
    <xf numFmtId="197" fontId="72" fillId="36" borderId="77" xfId="432" applyNumberFormat="1" applyFont="1" applyFill="1" applyBorder="1" applyAlignment="1">
      <alignment vertical="center"/>
    </xf>
    <xf numFmtId="197" fontId="72" fillId="36" borderId="112" xfId="432" applyNumberFormat="1" applyFont="1" applyFill="1" applyBorder="1" applyAlignment="1">
      <alignment vertical="center"/>
    </xf>
    <xf numFmtId="197" fontId="72" fillId="28" borderId="77" xfId="432" applyNumberFormat="1" applyFont="1" applyFill="1" applyBorder="1" applyAlignment="1">
      <alignment vertical="center"/>
    </xf>
    <xf numFmtId="197" fontId="72" fillId="28" borderId="112" xfId="432" applyNumberFormat="1" applyFont="1" applyFill="1" applyBorder="1" applyAlignment="1">
      <alignment vertical="center"/>
    </xf>
    <xf numFmtId="0" fontId="72" fillId="0" borderId="32" xfId="356" applyFont="1" applyFill="1" applyBorder="1" applyAlignment="1">
      <alignment horizontal="justify" vertical="center" wrapText="1"/>
    </xf>
    <xf numFmtId="0" fontId="116" fillId="0" borderId="35" xfId="356" applyFont="1" applyBorder="1" applyAlignment="1">
      <alignment horizontal="left" vertical="center" wrapText="1"/>
    </xf>
    <xf numFmtId="197" fontId="72" fillId="0" borderId="36" xfId="432" applyNumberFormat="1" applyFont="1" applyBorder="1" applyAlignment="1">
      <alignment horizontal="center" vertical="center"/>
    </xf>
    <xf numFmtId="0" fontId="116" fillId="0" borderId="32" xfId="356" applyFont="1" applyFill="1" applyBorder="1" applyAlignment="1">
      <alignment horizontal="left" vertical="center" wrapText="1"/>
    </xf>
    <xf numFmtId="0" fontId="116" fillId="42" borderId="28" xfId="356" applyFont="1" applyFill="1" applyBorder="1" applyAlignment="1">
      <alignment horizontal="left" vertical="center" wrapText="1"/>
    </xf>
    <xf numFmtId="197" fontId="72" fillId="38" borderId="28" xfId="432" applyNumberFormat="1" applyFont="1" applyFill="1" applyBorder="1" applyAlignment="1">
      <alignment horizontal="center" vertical="center"/>
    </xf>
    <xf numFmtId="4" fontId="72" fillId="42" borderId="28" xfId="356" applyNumberFormat="1" applyFont="1" applyFill="1" applyBorder="1" applyAlignment="1">
      <alignment horizontal="center" vertical="center"/>
    </xf>
    <xf numFmtId="9" fontId="72" fillId="42" borderId="28" xfId="356" applyNumberFormat="1" applyFont="1" applyFill="1" applyBorder="1" applyAlignment="1">
      <alignment horizontal="center" vertical="center"/>
    </xf>
    <xf numFmtId="2" fontId="72" fillId="42" borderId="32" xfId="356" applyNumberFormat="1" applyFont="1" applyFill="1" applyBorder="1" applyAlignment="1">
      <alignment horizontal="center" vertical="center"/>
    </xf>
    <xf numFmtId="0" fontId="72" fillId="42" borderId="28" xfId="356" applyFont="1" applyFill="1" applyBorder="1" applyAlignment="1">
      <alignment horizontal="center" vertical="center"/>
    </xf>
    <xf numFmtId="197" fontId="72" fillId="42" borderId="29" xfId="432" applyNumberFormat="1" applyFont="1" applyFill="1" applyBorder="1" applyAlignment="1">
      <alignment horizontal="center" vertical="center"/>
    </xf>
    <xf numFmtId="0" fontId="116" fillId="0" borderId="28" xfId="356" applyFont="1" applyFill="1" applyBorder="1" applyAlignment="1">
      <alignment horizontal="left" vertical="center" wrapText="1"/>
    </xf>
    <xf numFmtId="197" fontId="72" fillId="0" borderId="29" xfId="432" applyNumberFormat="1" applyFont="1" applyFill="1" applyBorder="1" applyAlignment="1">
      <alignment horizontal="center" vertical="center"/>
    </xf>
    <xf numFmtId="0" fontId="117" fillId="0" borderId="32" xfId="356" applyFont="1" applyBorder="1" applyAlignment="1">
      <alignment vertical="center"/>
    </xf>
    <xf numFmtId="197" fontId="72" fillId="38" borderId="32" xfId="432" applyNumberFormat="1" applyFont="1" applyFill="1" applyBorder="1" applyAlignment="1">
      <alignment vertical="center"/>
    </xf>
    <xf numFmtId="197" fontId="72" fillId="0" borderId="33" xfId="432" applyNumberFormat="1" applyFont="1" applyBorder="1" applyAlignment="1">
      <alignment horizontal="center" vertical="center"/>
    </xf>
    <xf numFmtId="0" fontId="70" fillId="32" borderId="127" xfId="356" applyFont="1" applyFill="1" applyBorder="1" applyAlignment="1">
      <alignment horizontal="center" vertical="center"/>
    </xf>
    <xf numFmtId="0" fontId="70" fillId="32" borderId="128" xfId="356" applyFont="1" applyFill="1" applyBorder="1" applyAlignment="1">
      <alignment horizontal="left" vertical="center" wrapText="1"/>
    </xf>
    <xf numFmtId="197" fontId="66" fillId="32" borderId="128" xfId="432" applyNumberFormat="1" applyFont="1" applyFill="1" applyBorder="1" applyAlignment="1">
      <alignment vertical="center"/>
    </xf>
    <xf numFmtId="0" fontId="66" fillId="32" borderId="128" xfId="356" applyFont="1" applyFill="1" applyBorder="1" applyAlignment="1">
      <alignment vertical="center"/>
    </xf>
    <xf numFmtId="0" fontId="66" fillId="32" borderId="129" xfId="356" applyFont="1" applyFill="1" applyBorder="1" applyAlignment="1">
      <alignment vertical="center"/>
    </xf>
    <xf numFmtId="197" fontId="70" fillId="32" borderId="130" xfId="432" applyNumberFormat="1" applyFont="1" applyFill="1" applyBorder="1" applyAlignment="1">
      <alignment horizontal="center" vertical="center"/>
    </xf>
    <xf numFmtId="0" fontId="53" fillId="35" borderId="31" xfId="0" applyFont="1" applyFill="1" applyBorder="1" applyAlignment="1" applyProtection="1">
      <alignment horizontal="justify" vertical="center" wrapText="1"/>
      <protection locked="0"/>
    </xf>
    <xf numFmtId="4" fontId="43" fillId="38" borderId="31" xfId="2" applyNumberFormat="1" applyFont="1" applyFill="1" applyBorder="1" applyAlignment="1" applyProtection="1">
      <alignment horizontal="center" vertical="center" wrapText="1"/>
      <protection locked="0"/>
    </xf>
    <xf numFmtId="198" fontId="60" fillId="0" borderId="31" xfId="2" applyNumberFormat="1" applyFont="1" applyFill="1" applyBorder="1" applyAlignment="1" applyProtection="1">
      <alignment horizontal="center" vertical="center" wrapText="1"/>
      <protection locked="0"/>
    </xf>
    <xf numFmtId="0" fontId="104" fillId="36" borderId="97" xfId="0" applyFont="1" applyFill="1" applyBorder="1" applyAlignment="1" applyProtection="1">
      <alignment horizontal="center" vertical="top"/>
    </xf>
    <xf numFmtId="191" fontId="106" fillId="36" borderId="101" xfId="432" applyNumberFormat="1" applyFont="1" applyFill="1" applyBorder="1" applyAlignment="1" applyProtection="1">
      <alignment horizontal="center" vertical="center" wrapText="1"/>
    </xf>
    <xf numFmtId="0" fontId="100" fillId="32" borderId="103" xfId="0" applyFont="1" applyFill="1" applyBorder="1" applyAlignment="1" applyProtection="1">
      <alignment horizontal="center" vertical="top"/>
    </xf>
    <xf numFmtId="191" fontId="107" fillId="32" borderId="103" xfId="432" applyNumberFormat="1" applyFont="1" applyFill="1" applyBorder="1" applyAlignment="1" applyProtection="1">
      <alignment horizontal="center" vertical="center" wrapText="1"/>
    </xf>
    <xf numFmtId="0" fontId="109" fillId="28" borderId="104" xfId="359" applyFont="1" applyFill="1" applyBorder="1" applyAlignment="1">
      <alignment horizontal="center" vertical="top"/>
    </xf>
    <xf numFmtId="191" fontId="110" fillId="28" borderId="95" xfId="432" applyNumberFormat="1" applyFont="1" applyFill="1" applyBorder="1" applyAlignment="1">
      <alignment horizontal="center" vertical="center"/>
    </xf>
    <xf numFmtId="0" fontId="112" fillId="30" borderId="106" xfId="362" applyFont="1" applyFill="1" applyBorder="1" applyAlignment="1">
      <alignment horizontal="justify" vertical="top"/>
    </xf>
    <xf numFmtId="199" fontId="67" fillId="38" borderId="92" xfId="432" applyNumberFormat="1" applyFont="1" applyFill="1" applyBorder="1" applyAlignment="1">
      <alignment horizontal="center" vertical="center"/>
    </xf>
    <xf numFmtId="199" fontId="67" fillId="0" borderId="32" xfId="0" applyNumberFormat="1" applyFont="1" applyFill="1" applyBorder="1" applyAlignment="1" applyProtection="1">
      <alignment horizontal="center" vertical="center"/>
      <protection locked="0"/>
    </xf>
    <xf numFmtId="0" fontId="67" fillId="0" borderId="108" xfId="362" applyFont="1" applyFill="1" applyBorder="1" applyAlignment="1">
      <alignment horizontal="justify" vertical="top"/>
    </xf>
    <xf numFmtId="199" fontId="67" fillId="0" borderId="92" xfId="0" applyNumberFormat="1" applyFont="1" applyFill="1" applyBorder="1" applyAlignment="1" applyProtection="1">
      <alignment horizontal="center" vertical="center"/>
      <protection locked="0"/>
    </xf>
    <xf numFmtId="0" fontId="67" fillId="0" borderId="92" xfId="362" applyFont="1" applyFill="1" applyBorder="1" applyAlignment="1">
      <alignment horizontal="justify" vertical="top"/>
    </xf>
    <xf numFmtId="199" fontId="67" fillId="0" borderId="110" xfId="0" applyNumberFormat="1" applyFont="1" applyFill="1" applyBorder="1" applyAlignment="1" applyProtection="1">
      <alignment horizontal="center" vertical="center"/>
      <protection locked="0"/>
    </xf>
    <xf numFmtId="0" fontId="69" fillId="0" borderId="92" xfId="362" applyFont="1" applyFill="1" applyBorder="1" applyAlignment="1">
      <alignment horizontal="justify" vertical="top"/>
    </xf>
    <xf numFmtId="0" fontId="109" fillId="28" borderId="112" xfId="359" applyFont="1" applyFill="1" applyBorder="1" applyAlignment="1">
      <alignment horizontal="center" vertical="top"/>
    </xf>
    <xf numFmtId="199" fontId="110" fillId="28" borderId="77" xfId="432" applyNumberFormat="1" applyFont="1" applyFill="1" applyBorder="1" applyAlignment="1">
      <alignment horizontal="center" vertical="center"/>
    </xf>
    <xf numFmtId="199" fontId="110" fillId="28" borderId="95" xfId="432" applyNumberFormat="1" applyFont="1" applyFill="1" applyBorder="1" applyAlignment="1">
      <alignment horizontal="center" vertical="center"/>
    </xf>
    <xf numFmtId="0" fontId="67" fillId="0" borderId="114" xfId="359" applyFont="1" applyFill="1" applyBorder="1" applyAlignment="1">
      <alignment horizontal="justify" vertical="top"/>
    </xf>
    <xf numFmtId="0" fontId="69" fillId="0" borderId="115" xfId="359" applyFont="1" applyFill="1" applyBorder="1" applyAlignment="1">
      <alignment horizontal="justify" vertical="top"/>
    </xf>
    <xf numFmtId="199" fontId="67" fillId="38" borderId="110" xfId="432" applyNumberFormat="1" applyFont="1" applyFill="1" applyBorder="1" applyAlignment="1">
      <alignment horizontal="center" vertical="center"/>
    </xf>
    <xf numFmtId="199" fontId="67" fillId="38" borderId="117" xfId="432" applyNumberFormat="1" applyFont="1" applyFill="1" applyBorder="1" applyAlignment="1">
      <alignment horizontal="center" vertical="center"/>
    </xf>
    <xf numFmtId="199" fontId="67" fillId="0" borderId="116" xfId="0" applyNumberFormat="1" applyFont="1" applyFill="1" applyBorder="1" applyAlignment="1" applyProtection="1">
      <alignment horizontal="center" vertical="center"/>
      <protection locked="0"/>
    </xf>
    <xf numFmtId="0" fontId="67" fillId="0" borderId="116" xfId="359" applyFont="1" applyFill="1" applyBorder="1" applyAlignment="1">
      <alignment horizontal="justify" vertical="top"/>
    </xf>
    <xf numFmtId="0" fontId="67" fillId="41" borderId="111" xfId="0" applyFont="1" applyFill="1" applyBorder="1" applyAlignment="1">
      <alignment horizontal="left" vertical="top" wrapText="1"/>
    </xf>
    <xf numFmtId="0" fontId="67" fillId="0" borderId="118" xfId="359" applyFont="1" applyFill="1" applyBorder="1" applyAlignment="1">
      <alignment horizontal="justify" vertical="top"/>
    </xf>
    <xf numFmtId="0" fontId="92" fillId="30" borderId="116" xfId="362" applyFont="1" applyFill="1" applyBorder="1" applyAlignment="1">
      <alignment horizontal="justify" vertical="top" wrapText="1"/>
    </xf>
    <xf numFmtId="0" fontId="92" fillId="30" borderId="33" xfId="362" applyFont="1" applyFill="1" applyBorder="1" applyAlignment="1">
      <alignment horizontal="justify" vertical="top"/>
    </xf>
    <xf numFmtId="0" fontId="92" fillId="0" borderId="33" xfId="362" applyFont="1" applyFill="1" applyBorder="1" applyAlignment="1">
      <alignment horizontal="justify" vertical="top" wrapText="1"/>
    </xf>
    <xf numFmtId="199" fontId="67" fillId="38" borderId="77" xfId="432" applyNumberFormat="1" applyFont="1" applyFill="1" applyBorder="1" applyAlignment="1">
      <alignment horizontal="center" vertical="center"/>
    </xf>
    <xf numFmtId="0" fontId="67" fillId="0" borderId="114" xfId="359" applyFont="1" applyFill="1" applyBorder="1" applyAlignment="1">
      <alignment vertical="top" wrapText="1"/>
    </xf>
    <xf numFmtId="0" fontId="67" fillId="0" borderId="77" xfId="359" applyFont="1" applyFill="1" applyBorder="1" applyAlignment="1">
      <alignment horizontal="justify" vertical="top"/>
    </xf>
    <xf numFmtId="199" fontId="67" fillId="0" borderId="77" xfId="0" applyNumberFormat="1" applyFont="1" applyFill="1" applyBorder="1" applyAlignment="1" applyProtection="1">
      <alignment horizontal="center" vertical="center"/>
      <protection locked="0"/>
    </xf>
    <xf numFmtId="199" fontId="110" fillId="28" borderId="120" xfId="432" applyNumberFormat="1" applyFont="1" applyFill="1" applyBorder="1" applyAlignment="1">
      <alignment horizontal="center" vertical="center"/>
    </xf>
    <xf numFmtId="199" fontId="110" fillId="28" borderId="22" xfId="432" applyNumberFormat="1" applyFont="1" applyFill="1" applyBorder="1" applyAlignment="1">
      <alignment horizontal="center" vertical="center"/>
    </xf>
    <xf numFmtId="0" fontId="69" fillId="0" borderId="106" xfId="362" applyFont="1" applyFill="1" applyBorder="1" applyAlignment="1">
      <alignment horizontal="justify" vertical="top"/>
    </xf>
    <xf numFmtId="199" fontId="67" fillId="38" borderId="116" xfId="432" applyNumberFormat="1" applyFont="1" applyFill="1" applyBorder="1" applyAlignment="1">
      <alignment horizontal="center" vertical="center"/>
    </xf>
    <xf numFmtId="0" fontId="67" fillId="41" borderId="121" xfId="0" applyFont="1" applyFill="1" applyBorder="1" applyAlignment="1">
      <alignment horizontal="left" vertical="top" wrapText="1"/>
    </xf>
    <xf numFmtId="0" fontId="67" fillId="41" borderId="122" xfId="0" applyFont="1" applyFill="1" applyBorder="1" applyAlignment="1">
      <alignment horizontal="left" vertical="top" wrapText="1"/>
    </xf>
    <xf numFmtId="199" fontId="110" fillId="28" borderId="108" xfId="432" applyNumberFormat="1" applyFont="1" applyFill="1" applyBorder="1" applyAlignment="1">
      <alignment horizontal="center" vertical="center"/>
    </xf>
    <xf numFmtId="199" fontId="110" fillId="28" borderId="103" xfId="432" applyNumberFormat="1" applyFont="1" applyFill="1" applyBorder="1" applyAlignment="1">
      <alignment horizontal="center" vertical="center"/>
    </xf>
    <xf numFmtId="0" fontId="67" fillId="41" borderId="84" xfId="0" applyFont="1" applyFill="1" applyBorder="1" applyAlignment="1">
      <alignment horizontal="left" vertical="top" wrapText="1"/>
    </xf>
    <xf numFmtId="0" fontId="69" fillId="0" borderId="77" xfId="359" applyFont="1" applyFill="1" applyBorder="1" applyAlignment="1">
      <alignment horizontal="justify" vertical="top"/>
    </xf>
    <xf numFmtId="0" fontId="43" fillId="0" borderId="77" xfId="359" applyFont="1" applyFill="1" applyBorder="1" applyAlignment="1">
      <alignment horizontal="justify" vertical="top"/>
    </xf>
    <xf numFmtId="0" fontId="67" fillId="30" borderId="114" xfId="359" applyFont="1" applyFill="1" applyBorder="1" applyAlignment="1">
      <alignment horizontal="justify" vertical="top"/>
    </xf>
    <xf numFmtId="190" fontId="102" fillId="31" borderId="125" xfId="432" applyNumberFormat="1" applyFont="1" applyFill="1" applyBorder="1" applyAlignment="1">
      <alignment horizontal="center"/>
    </xf>
    <xf numFmtId="200" fontId="67" fillId="30" borderId="87" xfId="343" applyNumberFormat="1" applyFont="1" applyFill="1" applyBorder="1" applyAlignment="1">
      <alignment horizontal="center"/>
    </xf>
    <xf numFmtId="191" fontId="67" fillId="0" borderId="88" xfId="432" applyNumberFormat="1" applyFont="1" applyBorder="1" applyAlignment="1">
      <alignment horizontal="center"/>
    </xf>
    <xf numFmtId="191" fontId="67" fillId="0" borderId="29" xfId="432" applyNumberFormat="1" applyFont="1" applyBorder="1" applyAlignment="1">
      <alignment horizontal="center"/>
    </xf>
    <xf numFmtId="191" fontId="67" fillId="31" borderId="91" xfId="432" applyNumberFormat="1" applyFont="1" applyFill="1" applyBorder="1" applyAlignment="1">
      <alignment horizontal="center"/>
    </xf>
    <xf numFmtId="196" fontId="67" fillId="32" borderId="92" xfId="432" applyNumberFormat="1" applyFont="1" applyFill="1" applyBorder="1" applyAlignment="1">
      <alignment horizontal="center" vertical="center"/>
    </xf>
    <xf numFmtId="196" fontId="67" fillId="32" borderId="110" xfId="432" applyNumberFormat="1" applyFont="1" applyFill="1" applyBorder="1" applyAlignment="1">
      <alignment horizontal="center" vertical="center"/>
    </xf>
    <xf numFmtId="196" fontId="67" fillId="32" borderId="117" xfId="432" applyNumberFormat="1" applyFont="1" applyFill="1" applyBorder="1" applyAlignment="1">
      <alignment horizontal="center" vertical="center"/>
    </xf>
    <xf numFmtId="196" fontId="67" fillId="32" borderId="77" xfId="432" applyNumberFormat="1" applyFont="1" applyFill="1" applyBorder="1" applyAlignment="1">
      <alignment horizontal="center" vertical="center"/>
    </xf>
    <xf numFmtId="196" fontId="67" fillId="32" borderId="116" xfId="432" applyNumberFormat="1" applyFont="1" applyFill="1" applyBorder="1" applyAlignment="1">
      <alignment horizontal="center" vertical="center"/>
    </xf>
    <xf numFmtId="42" fontId="67" fillId="0" borderId="32" xfId="432" applyFont="1" applyFill="1" applyBorder="1" applyAlignment="1" applyProtection="1">
      <alignment horizontal="center" vertical="center"/>
      <protection locked="0"/>
    </xf>
    <xf numFmtId="42" fontId="67" fillId="0" borderId="92" xfId="432" applyFont="1" applyFill="1" applyBorder="1" applyAlignment="1" applyProtection="1">
      <alignment horizontal="center" vertical="center"/>
      <protection locked="0"/>
    </xf>
    <xf numFmtId="42" fontId="67" fillId="0" borderId="110" xfId="432" applyFont="1" applyFill="1" applyBorder="1" applyAlignment="1" applyProtection="1">
      <alignment horizontal="center" vertical="center"/>
      <protection locked="0"/>
    </xf>
    <xf numFmtId="42" fontId="110" fillId="28" borderId="95" xfId="432" applyFont="1" applyFill="1" applyBorder="1" applyAlignment="1">
      <alignment horizontal="center" vertical="center"/>
    </xf>
    <xf numFmtId="42" fontId="67" fillId="0" borderId="116" xfId="432" applyFont="1" applyFill="1" applyBorder="1" applyAlignment="1" applyProtection="1">
      <alignment horizontal="center" vertical="center"/>
      <protection locked="0"/>
    </xf>
    <xf numFmtId="42" fontId="67" fillId="0" borderId="77" xfId="432" applyFont="1" applyFill="1" applyBorder="1" applyAlignment="1" applyProtection="1">
      <alignment horizontal="center" vertical="center"/>
      <protection locked="0"/>
    </xf>
    <xf numFmtId="42" fontId="110" fillId="28" borderId="22" xfId="432" applyFont="1" applyFill="1" applyBorder="1" applyAlignment="1">
      <alignment horizontal="center" vertical="center"/>
    </xf>
    <xf numFmtId="42" fontId="110" fillId="28" borderId="103" xfId="432" applyFont="1" applyFill="1" applyBorder="1" applyAlignment="1">
      <alignment horizontal="center" vertical="center"/>
    </xf>
    <xf numFmtId="192" fontId="72" fillId="0" borderId="32" xfId="356" applyNumberFormat="1" applyFont="1" applyFill="1" applyBorder="1" applyAlignment="1">
      <alignment horizontal="center" vertical="center"/>
    </xf>
    <xf numFmtId="10" fontId="71" fillId="38" borderId="32" xfId="356" applyNumberFormat="1" applyFont="1" applyFill="1" applyBorder="1" applyAlignment="1">
      <alignment horizontal="center" vertical="center"/>
    </xf>
    <xf numFmtId="0" fontId="120" fillId="36" borderId="96" xfId="0" applyFont="1" applyFill="1" applyBorder="1" applyAlignment="1">
      <alignment horizontal="center" wrapText="1"/>
    </xf>
    <xf numFmtId="0" fontId="121" fillId="36" borderId="97" xfId="0" applyFont="1" applyFill="1" applyBorder="1" applyAlignment="1" applyProtection="1">
      <alignment horizontal="center" wrapText="1"/>
    </xf>
    <xf numFmtId="0" fontId="121" fillId="36" borderId="83" xfId="0" applyFont="1" applyFill="1" applyBorder="1" applyAlignment="1" applyProtection="1">
      <alignment horizontal="center" vertical="center" wrapText="1"/>
    </xf>
    <xf numFmtId="0" fontId="121" fillId="36" borderId="103" xfId="0" applyFont="1" applyFill="1" applyBorder="1" applyAlignment="1" applyProtection="1">
      <alignment horizontal="center" vertical="center" wrapText="1"/>
    </xf>
    <xf numFmtId="0" fontId="121" fillId="36" borderId="99" xfId="0" applyFont="1" applyFill="1" applyBorder="1" applyAlignment="1" applyProtection="1">
      <alignment horizontal="center" vertical="center" wrapText="1"/>
    </xf>
    <xf numFmtId="4" fontId="121" fillId="36" borderId="100" xfId="0" applyNumberFormat="1" applyFont="1" applyFill="1" applyBorder="1" applyAlignment="1" applyProtection="1">
      <alignment horizontal="center" vertical="center" wrapText="1"/>
    </xf>
    <xf numFmtId="196" fontId="121" fillId="36" borderId="100" xfId="432" applyNumberFormat="1" applyFont="1" applyFill="1" applyBorder="1" applyAlignment="1" applyProtection="1">
      <alignment horizontal="center" vertical="center" wrapText="1"/>
    </xf>
    <xf numFmtId="196" fontId="121" fillId="36" borderId="101" xfId="432" applyNumberFormat="1" applyFont="1" applyFill="1" applyBorder="1" applyAlignment="1" applyProtection="1">
      <alignment horizontal="center" vertical="center" wrapText="1"/>
    </xf>
    <xf numFmtId="3" fontId="121" fillId="36" borderId="101" xfId="0" applyNumberFormat="1" applyFont="1" applyFill="1" applyBorder="1" applyAlignment="1" applyProtection="1">
      <alignment horizontal="center" vertical="center" wrapText="1"/>
    </xf>
    <xf numFmtId="0" fontId="122" fillId="32" borderId="102" xfId="0" applyFont="1" applyFill="1" applyBorder="1" applyAlignment="1" applyProtection="1">
      <alignment horizontal="center" vertical="center" wrapText="1"/>
    </xf>
    <xf numFmtId="0" fontId="122" fillId="32" borderId="103" xfId="0" applyFont="1" applyFill="1" applyBorder="1" applyAlignment="1" applyProtection="1">
      <alignment horizontal="center" vertical="center" wrapText="1"/>
    </xf>
    <xf numFmtId="0" fontId="122" fillId="32" borderId="26" xfId="0" applyFont="1" applyFill="1" applyBorder="1" applyAlignment="1" applyProtection="1">
      <alignment horizontal="center" vertical="center" wrapText="1"/>
    </xf>
    <xf numFmtId="4" fontId="122" fillId="32" borderId="26" xfId="0" applyNumberFormat="1" applyFont="1" applyFill="1" applyBorder="1" applyAlignment="1" applyProtection="1">
      <alignment horizontal="center" vertical="center" wrapText="1"/>
    </xf>
    <xf numFmtId="196" fontId="122" fillId="32" borderId="26" xfId="432" applyNumberFormat="1" applyFont="1" applyFill="1" applyBorder="1" applyAlignment="1" applyProtection="1">
      <alignment horizontal="center" vertical="center" wrapText="1"/>
    </xf>
    <xf numFmtId="196" fontId="122" fillId="32" borderId="103" xfId="432" applyNumberFormat="1" applyFont="1" applyFill="1" applyBorder="1" applyAlignment="1" applyProtection="1">
      <alignment horizontal="center" vertical="center" wrapText="1"/>
    </xf>
    <xf numFmtId="3" fontId="122" fillId="32" borderId="103" xfId="0" applyNumberFormat="1" applyFont="1" applyFill="1" applyBorder="1" applyAlignment="1" applyProtection="1">
      <alignment horizontal="center" vertical="center" wrapText="1"/>
    </xf>
    <xf numFmtId="49" fontId="123" fillId="40" borderId="76" xfId="364" applyNumberFormat="1" applyFont="1" applyFill="1" applyBorder="1" applyAlignment="1" applyProtection="1">
      <alignment horizontal="justify" vertical="justify" wrapText="1"/>
      <protection locked="0"/>
    </xf>
    <xf numFmtId="0" fontId="119" fillId="28" borderId="104" xfId="359" applyFont="1" applyFill="1" applyBorder="1" applyAlignment="1">
      <alignment horizontal="justify" vertical="justify" wrapText="1"/>
    </xf>
    <xf numFmtId="0" fontId="118" fillId="28" borderId="105" xfId="0" applyFont="1" applyFill="1" applyBorder="1" applyAlignment="1" applyProtection="1">
      <alignment horizontal="center" vertical="center" wrapText="1"/>
      <protection locked="0"/>
    </xf>
    <xf numFmtId="2" fontId="118" fillId="28" borderId="79" xfId="0" applyNumberFormat="1" applyFont="1" applyFill="1" applyBorder="1" applyAlignment="1" applyProtection="1">
      <alignment horizontal="center" vertical="center" wrapText="1"/>
      <protection locked="0"/>
    </xf>
    <xf numFmtId="196" fontId="118" fillId="28" borderId="77" xfId="432" applyNumberFormat="1" applyFont="1" applyFill="1" applyBorder="1" applyAlignment="1">
      <alignment horizontal="center" vertical="center" wrapText="1"/>
    </xf>
    <xf numFmtId="196" fontId="118" fillId="28" borderId="95" xfId="432" applyNumberFormat="1" applyFont="1" applyFill="1" applyBorder="1" applyAlignment="1">
      <alignment horizontal="center" vertical="center" wrapText="1"/>
    </xf>
    <xf numFmtId="190" fontId="119" fillId="28" borderId="95" xfId="0" applyNumberFormat="1" applyFont="1" applyFill="1" applyBorder="1" applyAlignment="1">
      <alignment horizontal="center" vertical="center" wrapText="1"/>
    </xf>
    <xf numFmtId="0" fontId="124" fillId="32" borderId="30" xfId="360" applyFont="1" applyFill="1" applyBorder="1" applyAlignment="1" applyProtection="1">
      <alignment horizontal="justify" vertical="justify" wrapText="1"/>
      <protection locked="0"/>
    </xf>
    <xf numFmtId="0" fontId="118" fillId="0" borderId="108" xfId="362" applyFont="1" applyFill="1" applyBorder="1" applyAlignment="1">
      <alignment horizontal="justify" vertical="justify" wrapText="1"/>
    </xf>
    <xf numFmtId="0" fontId="118" fillId="30" borderId="107" xfId="361" applyNumberFormat="1" applyFont="1" applyFill="1" applyBorder="1" applyAlignment="1">
      <alignment horizontal="center" vertical="center" wrapText="1"/>
    </xf>
    <xf numFmtId="2" fontId="118" fillId="0" borderId="32" xfId="0" applyNumberFormat="1" applyFont="1" applyFill="1" applyBorder="1" applyAlignment="1" applyProtection="1">
      <alignment horizontal="center" vertical="center" wrapText="1"/>
      <protection locked="0"/>
    </xf>
    <xf numFmtId="196" fontId="118" fillId="38" borderId="92" xfId="432" applyNumberFormat="1" applyFont="1" applyFill="1" applyBorder="1" applyAlignment="1">
      <alignment horizontal="center" vertical="center" wrapText="1"/>
    </xf>
    <xf numFmtId="10" fontId="119" fillId="30" borderId="85" xfId="343" applyNumberFormat="1" applyFont="1" applyFill="1" applyBorder="1" applyAlignment="1">
      <alignment horizontal="center" vertical="center" wrapText="1"/>
    </xf>
    <xf numFmtId="0" fontId="118" fillId="0" borderId="92" xfId="361" applyNumberFormat="1" applyFont="1" applyFill="1" applyBorder="1" applyAlignment="1">
      <alignment horizontal="center" vertical="center" wrapText="1"/>
    </xf>
    <xf numFmtId="2" fontId="118" fillId="0" borderId="92" xfId="0" applyNumberFormat="1" applyFont="1" applyFill="1" applyBorder="1" applyAlignment="1" applyProtection="1">
      <alignment horizontal="center" vertical="center" wrapText="1"/>
      <protection locked="0"/>
    </xf>
    <xf numFmtId="10" fontId="119" fillId="30" borderId="109" xfId="343" applyNumberFormat="1" applyFont="1" applyFill="1" applyBorder="1" applyAlignment="1">
      <alignment horizontal="center" vertical="center" wrapText="1"/>
    </xf>
    <xf numFmtId="2" fontId="118" fillId="0" borderId="110" xfId="0" applyNumberFormat="1" applyFont="1" applyFill="1" applyBorder="1" applyAlignment="1" applyProtection="1">
      <alignment horizontal="center" vertical="center" wrapText="1"/>
      <protection locked="0"/>
    </xf>
    <xf numFmtId="0" fontId="118" fillId="0" borderId="92" xfId="362" applyFont="1" applyFill="1" applyBorder="1" applyAlignment="1">
      <alignment horizontal="justify" vertical="justify" wrapText="1"/>
    </xf>
    <xf numFmtId="0" fontId="118" fillId="0" borderId="110" xfId="361" applyNumberFormat="1" applyFont="1" applyFill="1" applyBorder="1" applyAlignment="1">
      <alignment horizontal="center" vertical="center" wrapText="1"/>
    </xf>
    <xf numFmtId="0" fontId="119" fillId="0" borderId="92" xfId="362" applyFont="1" applyFill="1" applyBorder="1" applyAlignment="1">
      <alignment horizontal="justify" vertical="justify" wrapText="1"/>
    </xf>
    <xf numFmtId="0" fontId="118" fillId="0" borderId="77" xfId="361" applyNumberFormat="1" applyFont="1" applyFill="1" applyBorder="1" applyAlignment="1">
      <alignment horizontal="center" vertical="center" wrapText="1"/>
    </xf>
    <xf numFmtId="2" fontId="118" fillId="0" borderId="77" xfId="0" applyNumberFormat="1" applyFont="1" applyFill="1" applyBorder="1" applyAlignment="1" applyProtection="1">
      <alignment horizontal="center" vertical="center" wrapText="1"/>
      <protection locked="0"/>
    </xf>
    <xf numFmtId="10" fontId="119" fillId="30" borderId="111" xfId="343" applyNumberFormat="1" applyFont="1" applyFill="1" applyBorder="1" applyAlignment="1">
      <alignment horizontal="center" vertical="center" wrapText="1"/>
    </xf>
    <xf numFmtId="0" fontId="119" fillId="28" borderId="112" xfId="359" applyFont="1" applyFill="1" applyBorder="1" applyAlignment="1">
      <alignment horizontal="justify" vertical="justify" wrapText="1"/>
    </xf>
    <xf numFmtId="0" fontId="124" fillId="32" borderId="113" xfId="360" applyFont="1" applyFill="1" applyBorder="1" applyAlignment="1" applyProtection="1">
      <alignment horizontal="justify" vertical="justify" wrapText="1"/>
      <protection locked="0"/>
    </xf>
    <xf numFmtId="196" fontId="118" fillId="38" borderId="110" xfId="432" applyNumberFormat="1" applyFont="1" applyFill="1" applyBorder="1" applyAlignment="1">
      <alignment horizontal="center" vertical="center" wrapText="1"/>
    </xf>
    <xf numFmtId="0" fontId="124" fillId="32" borderId="116" xfId="360" applyFont="1" applyFill="1" applyBorder="1" applyAlignment="1" applyProtection="1">
      <alignment horizontal="justify" vertical="justify" wrapText="1"/>
      <protection locked="0"/>
    </xf>
    <xf numFmtId="196" fontId="118" fillId="38" borderId="117" xfId="432" applyNumberFormat="1" applyFont="1" applyFill="1" applyBorder="1" applyAlignment="1">
      <alignment horizontal="center" vertical="center" wrapText="1"/>
    </xf>
    <xf numFmtId="2" fontId="118" fillId="0" borderId="116" xfId="0" applyNumberFormat="1" applyFont="1" applyFill="1" applyBorder="1" applyAlignment="1" applyProtection="1">
      <alignment horizontal="center" vertical="center" wrapText="1"/>
      <protection locked="0"/>
    </xf>
    <xf numFmtId="0" fontId="124" fillId="43" borderId="116" xfId="360" applyFont="1" applyFill="1" applyBorder="1" applyAlignment="1" applyProtection="1">
      <alignment horizontal="justify" vertical="justify" wrapText="1"/>
      <protection locked="0"/>
    </xf>
    <xf numFmtId="0" fontId="118" fillId="0" borderId="116" xfId="0" applyFont="1" applyFill="1" applyBorder="1" applyAlignment="1" applyProtection="1">
      <alignment horizontal="center" vertical="center" wrapText="1"/>
      <protection locked="0"/>
    </xf>
    <xf numFmtId="0" fontId="118" fillId="41" borderId="111" xfId="0" applyFont="1" applyFill="1" applyBorder="1" applyAlignment="1">
      <alignment horizontal="justify" vertical="justify" wrapText="1"/>
    </xf>
    <xf numFmtId="0" fontId="119" fillId="30" borderId="116" xfId="362" applyFont="1" applyFill="1" applyBorder="1" applyAlignment="1">
      <alignment horizontal="justify" vertical="justify" wrapText="1"/>
    </xf>
    <xf numFmtId="0" fontId="118" fillId="0" borderId="114" xfId="359" applyFont="1" applyFill="1" applyBorder="1" applyAlignment="1">
      <alignment horizontal="justify" vertical="justify" wrapText="1"/>
    </xf>
    <xf numFmtId="190" fontId="119" fillId="28" borderId="116" xfId="0" applyNumberFormat="1" applyFont="1" applyFill="1" applyBorder="1" applyAlignment="1">
      <alignment horizontal="center" vertical="center" wrapText="1"/>
    </xf>
    <xf numFmtId="196" fontId="118" fillId="38" borderId="77" xfId="432" applyNumberFormat="1" applyFont="1" applyFill="1" applyBorder="1" applyAlignment="1">
      <alignment horizontal="center" vertical="center" wrapText="1"/>
    </xf>
    <xf numFmtId="190" fontId="119" fillId="28" borderId="22" xfId="0" applyNumberFormat="1" applyFont="1" applyFill="1" applyBorder="1" applyAlignment="1">
      <alignment horizontal="center" vertical="center" wrapText="1"/>
    </xf>
    <xf numFmtId="0" fontId="124" fillId="32" borderId="34" xfId="360" applyFont="1" applyFill="1" applyBorder="1" applyAlignment="1" applyProtection="1">
      <alignment horizontal="justify" vertical="justify" wrapText="1"/>
      <protection locked="0"/>
    </xf>
    <xf numFmtId="0" fontId="118" fillId="28" borderId="119" xfId="0" applyFont="1" applyFill="1" applyBorder="1" applyAlignment="1" applyProtection="1">
      <alignment horizontal="center" vertical="center" wrapText="1"/>
      <protection locked="0"/>
    </xf>
    <xf numFmtId="2" fontId="118" fillId="28" borderId="25" xfId="0" applyNumberFormat="1" applyFont="1" applyFill="1" applyBorder="1" applyAlignment="1" applyProtection="1">
      <alignment horizontal="center" vertical="center" wrapText="1"/>
      <protection locked="0"/>
    </xf>
    <xf numFmtId="196" fontId="118" fillId="28" borderId="120" xfId="432" applyNumberFormat="1" applyFont="1" applyFill="1" applyBorder="1" applyAlignment="1">
      <alignment horizontal="center" vertical="center" wrapText="1"/>
    </xf>
    <xf numFmtId="196" fontId="118" fillId="28" borderId="22" xfId="432" applyNumberFormat="1" applyFont="1" applyFill="1" applyBorder="1" applyAlignment="1">
      <alignment horizontal="center" vertical="center" wrapText="1"/>
    </xf>
    <xf numFmtId="196" fontId="118" fillId="38" borderId="116" xfId="432" applyNumberFormat="1" applyFont="1" applyFill="1" applyBorder="1" applyAlignment="1">
      <alignment horizontal="center" vertical="center" wrapText="1"/>
    </xf>
    <xf numFmtId="0" fontId="118" fillId="41" borderId="122" xfId="0" applyFont="1" applyFill="1" applyBorder="1" applyAlignment="1">
      <alignment horizontal="justify" vertical="justify" wrapText="1"/>
    </xf>
    <xf numFmtId="0" fontId="118" fillId="28" borderId="123" xfId="0" applyFont="1" applyFill="1" applyBorder="1" applyAlignment="1" applyProtection="1">
      <alignment horizontal="center" vertical="center" wrapText="1"/>
      <protection locked="0"/>
    </xf>
    <xf numFmtId="2" fontId="118" fillId="28" borderId="26" xfId="0" applyNumberFormat="1" applyFont="1" applyFill="1" applyBorder="1" applyAlignment="1" applyProtection="1">
      <alignment horizontal="center" vertical="center" wrapText="1"/>
      <protection locked="0"/>
    </xf>
    <xf numFmtId="196" fontId="118" fillId="28" borderId="108" xfId="432" applyNumberFormat="1" applyFont="1" applyFill="1" applyBorder="1" applyAlignment="1">
      <alignment horizontal="center" vertical="center" wrapText="1"/>
    </xf>
    <xf numFmtId="196" fontId="118" fillId="28" borderId="103" xfId="432" applyNumberFormat="1" applyFont="1" applyFill="1" applyBorder="1" applyAlignment="1">
      <alignment horizontal="center" vertical="center" wrapText="1"/>
    </xf>
    <xf numFmtId="0" fontId="118" fillId="41" borderId="84" xfId="0" applyFont="1" applyFill="1" applyBorder="1" applyAlignment="1">
      <alignment horizontal="justify" vertical="justify" wrapText="1"/>
    </xf>
    <xf numFmtId="0" fontId="119" fillId="0" borderId="77" xfId="359" applyFont="1" applyFill="1" applyBorder="1" applyAlignment="1">
      <alignment horizontal="justify" vertical="justify" wrapText="1"/>
    </xf>
    <xf numFmtId="0" fontId="118" fillId="30" borderId="114" xfId="359" applyFont="1" applyFill="1" applyBorder="1" applyAlignment="1">
      <alignment horizontal="justify" vertical="justify" wrapText="1"/>
    </xf>
    <xf numFmtId="0" fontId="118" fillId="0" borderId="124" xfId="361" applyNumberFormat="1" applyFont="1" applyFill="1" applyBorder="1" applyAlignment="1">
      <alignment horizontal="center" vertical="center" wrapText="1"/>
    </xf>
    <xf numFmtId="2" fontId="118" fillId="0" borderId="117" xfId="0" applyNumberFormat="1" applyFont="1" applyFill="1" applyBorder="1" applyAlignment="1" applyProtection="1">
      <alignment horizontal="center" vertical="center" wrapText="1"/>
      <protection locked="0"/>
    </xf>
    <xf numFmtId="10" fontId="119" fillId="30" borderId="131" xfId="343" applyNumberFormat="1" applyFont="1" applyFill="1" applyBorder="1" applyAlignment="1">
      <alignment horizontal="center" vertical="center" wrapText="1"/>
    </xf>
    <xf numFmtId="196" fontId="118" fillId="31" borderId="110" xfId="432" applyNumberFormat="1" applyFont="1" applyFill="1" applyBorder="1" applyAlignment="1">
      <alignment horizontal="center" vertical="center" wrapText="1"/>
    </xf>
    <xf numFmtId="196" fontId="119" fillId="31" borderId="125" xfId="432" applyNumberFormat="1" applyFont="1" applyFill="1" applyBorder="1" applyAlignment="1">
      <alignment horizontal="center" vertical="center" wrapText="1"/>
    </xf>
    <xf numFmtId="10" fontId="119" fillId="30" borderId="50" xfId="0" applyNumberFormat="1" applyFont="1" applyFill="1" applyBorder="1" applyAlignment="1">
      <alignment horizontal="center" vertical="center" wrapText="1"/>
    </xf>
    <xf numFmtId="10" fontId="118" fillId="30" borderId="87" xfId="343" applyNumberFormat="1" applyFont="1" applyFill="1" applyBorder="1" applyAlignment="1">
      <alignment horizontal="center" vertical="center" wrapText="1"/>
    </xf>
    <xf numFmtId="196" fontId="118" fillId="0" borderId="88" xfId="432" applyNumberFormat="1" applyFont="1" applyBorder="1" applyAlignment="1">
      <alignment horizontal="center" vertical="center" wrapText="1"/>
    </xf>
    <xf numFmtId="0" fontId="118" fillId="30" borderId="0" xfId="0" applyFont="1" applyFill="1" applyAlignment="1">
      <alignment horizontal="center" vertical="center" wrapText="1"/>
    </xf>
    <xf numFmtId="10" fontId="118" fillId="38" borderId="28" xfId="343" applyNumberFormat="1" applyFont="1" applyFill="1" applyBorder="1" applyAlignment="1">
      <alignment horizontal="center" vertical="center" wrapText="1"/>
    </xf>
    <xf numFmtId="196" fontId="118" fillId="0" borderId="29" xfId="432" applyNumberFormat="1" applyFont="1" applyBorder="1" applyAlignment="1">
      <alignment horizontal="center" vertical="center" wrapText="1"/>
    </xf>
    <xf numFmtId="10" fontId="118" fillId="38" borderId="90" xfId="343" applyNumberFormat="1" applyFont="1" applyFill="1" applyBorder="1" applyAlignment="1">
      <alignment horizontal="center" vertical="center" wrapText="1"/>
    </xf>
    <xf numFmtId="196" fontId="118" fillId="31" borderId="91" xfId="432" applyNumberFormat="1" applyFont="1" applyFill="1" applyBorder="1" applyAlignment="1">
      <alignment horizontal="center" vertical="center" wrapText="1"/>
    </xf>
    <xf numFmtId="0" fontId="118" fillId="0" borderId="0" xfId="0" applyFont="1" applyAlignment="1">
      <alignment horizontal="center" vertical="center" wrapText="1"/>
    </xf>
    <xf numFmtId="196" fontId="119" fillId="28" borderId="92" xfId="432" applyNumberFormat="1" applyFont="1" applyFill="1" applyBorder="1" applyAlignment="1">
      <alignment horizontal="center" vertical="center" wrapText="1"/>
    </xf>
    <xf numFmtId="196" fontId="119" fillId="28" borderId="93" xfId="432" applyNumberFormat="1" applyFont="1" applyFill="1" applyBorder="1" applyAlignment="1">
      <alignment horizontal="center" vertical="center" wrapText="1"/>
    </xf>
    <xf numFmtId="43" fontId="119" fillId="30" borderId="0" xfId="364" applyFont="1" applyFill="1" applyAlignment="1">
      <alignment horizontal="center" vertical="center" wrapText="1"/>
    </xf>
    <xf numFmtId="197" fontId="12" fillId="0" borderId="0" xfId="432" applyNumberFormat="1" applyFont="1" applyAlignment="1">
      <alignment vertical="center"/>
    </xf>
    <xf numFmtId="197" fontId="12" fillId="0" borderId="0" xfId="432" applyNumberFormat="1" applyFont="1" applyAlignment="1">
      <alignment horizontal="center" vertical="center"/>
    </xf>
    <xf numFmtId="0" fontId="70" fillId="32" borderId="76" xfId="356" applyFont="1" applyFill="1" applyBorder="1" applyAlignment="1">
      <alignment horizontal="center" vertical="center"/>
    </xf>
    <xf numFmtId="0" fontId="70" fillId="32" borderId="77" xfId="356" applyFont="1" applyFill="1" applyBorder="1" applyAlignment="1">
      <alignment horizontal="left" vertical="center" wrapText="1"/>
    </xf>
    <xf numFmtId="197" fontId="66" fillId="32" borderId="77" xfId="432" applyNumberFormat="1" applyFont="1" applyFill="1" applyBorder="1" applyAlignment="1">
      <alignment vertical="center"/>
    </xf>
    <xf numFmtId="0" fontId="66" fillId="32" borderId="77" xfId="356" applyFont="1" applyFill="1" applyBorder="1" applyAlignment="1">
      <alignment vertical="center"/>
    </xf>
    <xf numFmtId="0" fontId="66" fillId="32" borderId="78" xfId="356" applyFont="1" applyFill="1" applyBorder="1" applyAlignment="1">
      <alignment vertical="center"/>
    </xf>
    <xf numFmtId="197" fontId="70" fillId="32" borderId="112" xfId="432" applyNumberFormat="1" applyFont="1" applyFill="1" applyBorder="1" applyAlignment="1">
      <alignment horizontal="center" vertical="center"/>
    </xf>
    <xf numFmtId="197" fontId="71" fillId="31" borderId="32" xfId="432" applyNumberFormat="1" applyFont="1" applyFill="1" applyBorder="1" applyAlignment="1">
      <alignment horizontal="center" vertical="center"/>
    </xf>
    <xf numFmtId="10" fontId="71" fillId="31" borderId="32" xfId="343" applyNumberFormat="1" applyFont="1" applyFill="1" applyBorder="1" applyAlignment="1">
      <alignment horizontal="center" vertical="center"/>
    </xf>
    <xf numFmtId="197" fontId="72" fillId="31" borderId="33" xfId="432" applyNumberFormat="1" applyFont="1" applyFill="1" applyBorder="1" applyAlignment="1">
      <alignment horizontal="center" vertical="center"/>
    </xf>
    <xf numFmtId="197" fontId="70" fillId="0" borderId="28" xfId="432" applyNumberFormat="1" applyFont="1" applyBorder="1" applyAlignment="1">
      <alignment vertical="center"/>
    </xf>
    <xf numFmtId="10" fontId="70" fillId="0" borderId="28" xfId="356" applyNumberFormat="1" applyFont="1" applyBorder="1" applyAlignment="1">
      <alignment horizontal="center" vertical="center"/>
    </xf>
    <xf numFmtId="197" fontId="70" fillId="0" borderId="29" xfId="432" applyNumberFormat="1" applyFont="1" applyBorder="1" applyAlignment="1">
      <alignment horizontal="center" vertical="center"/>
    </xf>
    <xf numFmtId="10" fontId="70" fillId="33" borderId="77" xfId="356" applyNumberFormat="1" applyFont="1" applyFill="1" applyBorder="1" applyAlignment="1">
      <alignment horizontal="center" vertical="center" wrapText="1"/>
    </xf>
    <xf numFmtId="9" fontId="70" fillId="33" borderId="78" xfId="356" applyNumberFormat="1" applyFont="1" applyFill="1" applyBorder="1" applyAlignment="1">
      <alignment horizontal="center" vertical="center" wrapText="1"/>
    </xf>
    <xf numFmtId="197" fontId="66" fillId="33" borderId="112" xfId="432" applyNumberFormat="1" applyFont="1" applyFill="1" applyBorder="1" applyAlignment="1">
      <alignment vertical="center"/>
    </xf>
    <xf numFmtId="0" fontId="127" fillId="0" borderId="30" xfId="356" applyFont="1" applyBorder="1" applyAlignment="1">
      <alignment horizontal="center" vertical="center"/>
    </xf>
    <xf numFmtId="0" fontId="128" fillId="0" borderId="32" xfId="356" applyFont="1" applyBorder="1" applyAlignment="1">
      <alignment vertical="center"/>
    </xf>
    <xf numFmtId="197" fontId="129" fillId="38" borderId="32" xfId="432" applyNumberFormat="1" applyFont="1" applyFill="1" applyBorder="1" applyAlignment="1">
      <alignment vertical="center"/>
    </xf>
    <xf numFmtId="0" fontId="129" fillId="0" borderId="32" xfId="356" applyFont="1" applyBorder="1" applyAlignment="1">
      <alignment vertical="center"/>
    </xf>
    <xf numFmtId="10" fontId="129" fillId="0" borderId="32" xfId="356" applyNumberFormat="1" applyFont="1" applyBorder="1" applyAlignment="1">
      <alignment horizontal="center" vertical="center"/>
    </xf>
    <xf numFmtId="0" fontId="129" fillId="0" borderId="43" xfId="356" applyFont="1" applyBorder="1" applyAlignment="1">
      <alignment vertical="center"/>
    </xf>
    <xf numFmtId="197" fontId="129" fillId="0" borderId="33" xfId="432" applyNumberFormat="1" applyFont="1" applyBorder="1" applyAlignment="1">
      <alignment horizontal="center" vertical="center"/>
    </xf>
    <xf numFmtId="43" fontId="106" fillId="36" borderId="101" xfId="364" applyFont="1" applyFill="1" applyBorder="1" applyAlignment="1" applyProtection="1">
      <alignment horizontal="center" vertical="center" wrapText="1"/>
    </xf>
    <xf numFmtId="43" fontId="107" fillId="32" borderId="103" xfId="364" applyFont="1" applyFill="1" applyBorder="1" applyAlignment="1" applyProtection="1">
      <alignment horizontal="center" vertical="center" wrapText="1"/>
    </xf>
    <xf numFmtId="43" fontId="110" fillId="28" borderId="95" xfId="364" applyFont="1" applyFill="1" applyBorder="1" applyAlignment="1">
      <alignment horizontal="center" vertical="center"/>
    </xf>
    <xf numFmtId="0" fontId="130" fillId="32" borderId="30" xfId="360" applyFont="1" applyFill="1" applyBorder="1" applyAlignment="1" applyProtection="1">
      <alignment horizontal="center" vertical="center"/>
      <protection locked="0"/>
    </xf>
    <xf numFmtId="0" fontId="131" fillId="30" borderId="106" xfId="362" applyFont="1" applyFill="1" applyBorder="1" applyAlignment="1">
      <alignment horizontal="justify" vertical="justify"/>
    </xf>
    <xf numFmtId="0" fontId="133" fillId="30" borderId="107" xfId="361" applyNumberFormat="1" applyFont="1" applyFill="1" applyBorder="1" applyAlignment="1">
      <alignment horizontal="center" vertical="center"/>
    </xf>
    <xf numFmtId="2" fontId="133" fillId="0" borderId="32" xfId="0" applyNumberFormat="1" applyFont="1" applyFill="1" applyBorder="1" applyAlignment="1" applyProtection="1">
      <alignment horizontal="center" vertical="center"/>
      <protection locked="0"/>
    </xf>
    <xf numFmtId="196" fontId="133" fillId="38" borderId="92" xfId="432" applyNumberFormat="1" applyFont="1" applyFill="1" applyBorder="1" applyAlignment="1">
      <alignment horizontal="center" vertical="center"/>
    </xf>
    <xf numFmtId="43" fontId="133" fillId="0" borderId="32" xfId="364" applyFont="1" applyFill="1" applyBorder="1" applyAlignment="1" applyProtection="1">
      <alignment horizontal="center" vertical="center"/>
      <protection locked="0"/>
    </xf>
    <xf numFmtId="0" fontId="133" fillId="0" borderId="108" xfId="362" applyFont="1" applyFill="1" applyBorder="1" applyAlignment="1">
      <alignment horizontal="justify" vertical="center"/>
    </xf>
    <xf numFmtId="0" fontId="133" fillId="0" borderId="92" xfId="361" applyNumberFormat="1" applyFont="1" applyFill="1" applyBorder="1" applyAlignment="1">
      <alignment horizontal="center" vertical="center"/>
    </xf>
    <xf numFmtId="2" fontId="133" fillId="0" borderId="92" xfId="0" applyNumberFormat="1" applyFont="1" applyFill="1" applyBorder="1" applyAlignment="1" applyProtection="1">
      <alignment horizontal="center" vertical="center"/>
      <protection locked="0"/>
    </xf>
    <xf numFmtId="43" fontId="133" fillId="0" borderId="92" xfId="364" applyFont="1" applyFill="1" applyBorder="1" applyAlignment="1" applyProtection="1">
      <alignment horizontal="center" vertical="center"/>
      <protection locked="0"/>
    </xf>
    <xf numFmtId="0" fontId="133" fillId="0" borderId="92" xfId="362" applyFont="1" applyFill="1" applyBorder="1" applyAlignment="1">
      <alignment horizontal="justify" vertical="center"/>
    </xf>
    <xf numFmtId="0" fontId="133" fillId="0" borderId="110" xfId="361" applyNumberFormat="1" applyFont="1" applyFill="1" applyBorder="1" applyAlignment="1">
      <alignment horizontal="center" vertical="center"/>
    </xf>
    <xf numFmtId="2" fontId="133" fillId="0" borderId="110" xfId="0" applyNumberFormat="1" applyFont="1" applyFill="1" applyBorder="1" applyAlignment="1" applyProtection="1">
      <alignment horizontal="center" vertical="center"/>
      <protection locked="0"/>
    </xf>
    <xf numFmtId="43" fontId="133" fillId="0" borderId="110" xfId="364" applyFont="1" applyFill="1" applyBorder="1" applyAlignment="1" applyProtection="1">
      <alignment horizontal="center" vertical="center"/>
      <protection locked="0"/>
    </xf>
    <xf numFmtId="0" fontId="107" fillId="0" borderId="92" xfId="362" applyFont="1" applyFill="1" applyBorder="1" applyAlignment="1">
      <alignment horizontal="justify" vertical="center"/>
    </xf>
    <xf numFmtId="0" fontId="133" fillId="0" borderId="77" xfId="361" applyNumberFormat="1" applyFont="1" applyFill="1" applyBorder="1" applyAlignment="1">
      <alignment horizontal="center" vertical="center"/>
    </xf>
    <xf numFmtId="2" fontId="133" fillId="0" borderId="77" xfId="0" applyNumberFormat="1" applyFont="1" applyFill="1" applyBorder="1" applyAlignment="1" applyProtection="1">
      <alignment horizontal="center" vertical="center"/>
      <protection locked="0"/>
    </xf>
    <xf numFmtId="49" fontId="135" fillId="40" borderId="76" xfId="364" applyNumberFormat="1" applyFont="1" applyFill="1" applyBorder="1" applyAlignment="1" applyProtection="1">
      <alignment horizontal="center" vertical="center" wrapText="1"/>
      <protection locked="0"/>
    </xf>
    <xf numFmtId="0" fontId="136" fillId="28" borderId="112" xfId="359" applyFont="1" applyFill="1" applyBorder="1" applyAlignment="1">
      <alignment horizontal="center" vertical="center"/>
    </xf>
    <xf numFmtId="0" fontId="137" fillId="28" borderId="105" xfId="0" applyFont="1" applyFill="1" applyBorder="1" applyAlignment="1" applyProtection="1">
      <alignment horizontal="center" vertical="center"/>
      <protection locked="0"/>
    </xf>
    <xf numFmtId="2" fontId="137" fillId="28" borderId="79" xfId="0" applyNumberFormat="1" applyFont="1" applyFill="1" applyBorder="1" applyAlignment="1" applyProtection="1">
      <alignment horizontal="center" vertical="center"/>
      <protection locked="0"/>
    </xf>
    <xf numFmtId="196" fontId="137" fillId="28" borderId="77" xfId="432" applyNumberFormat="1" applyFont="1" applyFill="1" applyBorder="1" applyAlignment="1">
      <alignment horizontal="center" vertical="center"/>
    </xf>
    <xf numFmtId="43" fontId="137" fillId="28" borderId="95" xfId="364" applyFont="1" applyFill="1" applyBorder="1" applyAlignment="1">
      <alignment horizontal="center" vertical="center"/>
    </xf>
    <xf numFmtId="0" fontId="138" fillId="32" borderId="113" xfId="360" applyFont="1" applyFill="1" applyBorder="1" applyAlignment="1" applyProtection="1">
      <alignment horizontal="center" vertical="center"/>
      <protection locked="0"/>
    </xf>
    <xf numFmtId="0" fontId="133" fillId="0" borderId="114" xfId="359" applyFont="1" applyFill="1" applyBorder="1" applyAlignment="1">
      <alignment horizontal="justify" vertical="center"/>
    </xf>
    <xf numFmtId="0" fontId="136" fillId="28" borderId="104" xfId="359" applyFont="1" applyFill="1" applyBorder="1" applyAlignment="1">
      <alignment horizontal="center" vertical="center"/>
    </xf>
    <xf numFmtId="0" fontId="107" fillId="0" borderId="115" xfId="359" applyFont="1" applyFill="1" applyBorder="1" applyAlignment="1">
      <alignment horizontal="justify" vertical="center"/>
    </xf>
    <xf numFmtId="0" fontId="133" fillId="0" borderId="110" xfId="0" applyFont="1" applyFill="1" applyBorder="1" applyAlignment="1" applyProtection="1">
      <alignment horizontal="center" vertical="center"/>
      <protection locked="0"/>
    </xf>
    <xf numFmtId="196" fontId="133" fillId="38" borderId="110" xfId="432" applyNumberFormat="1" applyFont="1" applyFill="1" applyBorder="1" applyAlignment="1">
      <alignment horizontal="center" vertical="center"/>
    </xf>
    <xf numFmtId="0" fontId="133" fillId="0" borderId="50" xfId="361" applyNumberFormat="1" applyFont="1" applyFill="1" applyBorder="1" applyAlignment="1">
      <alignment horizontal="center" vertical="center"/>
    </xf>
    <xf numFmtId="2" fontId="133" fillId="0" borderId="50" xfId="0" applyNumberFormat="1" applyFont="1" applyFill="1" applyBorder="1" applyAlignment="1" applyProtection="1">
      <alignment horizontal="center" vertical="center"/>
      <protection locked="0"/>
    </xf>
    <xf numFmtId="0" fontId="133" fillId="0" borderId="50" xfId="0" applyFont="1" applyFill="1" applyBorder="1" applyAlignment="1" applyProtection="1">
      <alignment horizontal="center" vertical="center"/>
      <protection locked="0"/>
    </xf>
    <xf numFmtId="0" fontId="138" fillId="32" borderId="116" xfId="360" applyFont="1" applyFill="1" applyBorder="1" applyAlignment="1" applyProtection="1">
      <alignment horizontal="center" vertical="center"/>
      <protection locked="0"/>
    </xf>
    <xf numFmtId="0" fontId="133" fillId="0" borderId="116" xfId="0" applyFont="1" applyFill="1" applyBorder="1" applyAlignment="1" applyProtection="1">
      <alignment horizontal="center" vertical="center"/>
      <protection locked="0"/>
    </xf>
    <xf numFmtId="2" fontId="133" fillId="0" borderId="116" xfId="0" applyNumberFormat="1" applyFont="1" applyFill="1" applyBorder="1" applyAlignment="1" applyProtection="1">
      <alignment horizontal="center" vertical="center"/>
      <protection locked="0"/>
    </xf>
    <xf numFmtId="196" fontId="133" fillId="38" borderId="117" xfId="432" applyNumberFormat="1" applyFont="1" applyFill="1" applyBorder="1" applyAlignment="1">
      <alignment horizontal="center" vertical="center"/>
    </xf>
    <xf numFmtId="43" fontId="133" fillId="0" borderId="116" xfId="364" applyFont="1" applyFill="1" applyBorder="1" applyAlignment="1" applyProtection="1">
      <alignment horizontal="center" vertical="center"/>
      <protection locked="0"/>
    </xf>
    <xf numFmtId="0" fontId="133" fillId="0" borderId="116" xfId="359" applyFont="1" applyFill="1" applyBorder="1" applyAlignment="1">
      <alignment horizontal="justify" vertical="center"/>
    </xf>
    <xf numFmtId="0" fontId="133" fillId="41" borderId="111" xfId="0" applyFont="1" applyFill="1" applyBorder="1" applyAlignment="1">
      <alignment horizontal="left" vertical="center" wrapText="1"/>
    </xf>
    <xf numFmtId="0" fontId="133" fillId="0" borderId="118" xfId="359" applyFont="1" applyFill="1" applyBorder="1" applyAlignment="1">
      <alignment horizontal="justify" vertical="center"/>
    </xf>
    <xf numFmtId="0" fontId="139" fillId="30" borderId="116" xfId="362" applyFont="1" applyFill="1" applyBorder="1" applyAlignment="1">
      <alignment horizontal="justify" vertical="center" wrapText="1"/>
    </xf>
    <xf numFmtId="0" fontId="139" fillId="30" borderId="33" xfId="362" applyFont="1" applyFill="1" applyBorder="1" applyAlignment="1">
      <alignment horizontal="justify" vertical="justify"/>
    </xf>
    <xf numFmtId="0" fontId="139" fillId="0" borderId="33" xfId="362" applyFont="1" applyFill="1" applyBorder="1" applyAlignment="1">
      <alignment horizontal="justify" vertical="center" wrapText="1"/>
    </xf>
    <xf numFmtId="196" fontId="133" fillId="38" borderId="77" xfId="432" applyNumberFormat="1" applyFont="1" applyFill="1" applyBorder="1" applyAlignment="1">
      <alignment horizontal="center" vertical="center"/>
    </xf>
    <xf numFmtId="0" fontId="133" fillId="0" borderId="114" xfId="359" applyFont="1" applyFill="1" applyBorder="1" applyAlignment="1">
      <alignment vertical="center" wrapText="1"/>
    </xf>
    <xf numFmtId="0" fontId="138" fillId="32" borderId="34" xfId="360" applyFont="1" applyFill="1" applyBorder="1" applyAlignment="1" applyProtection="1">
      <alignment horizontal="center" vertical="center"/>
      <protection locked="0"/>
    </xf>
    <xf numFmtId="0" fontId="133" fillId="0" borderId="77" xfId="359" applyFont="1" applyFill="1" applyBorder="1" applyAlignment="1">
      <alignment horizontal="justify" vertical="center"/>
    </xf>
    <xf numFmtId="43" fontId="133" fillId="0" borderId="77" xfId="364" applyFont="1" applyFill="1" applyBorder="1" applyAlignment="1" applyProtection="1">
      <alignment horizontal="center" vertical="center"/>
      <protection locked="0"/>
    </xf>
    <xf numFmtId="0" fontId="137" fillId="28" borderId="119" xfId="0" applyFont="1" applyFill="1" applyBorder="1" applyAlignment="1" applyProtection="1">
      <alignment horizontal="center" vertical="center"/>
      <protection locked="0"/>
    </xf>
    <xf numFmtId="2" fontId="137" fillId="28" borderId="25" xfId="0" applyNumberFormat="1" applyFont="1" applyFill="1" applyBorder="1" applyAlignment="1" applyProtection="1">
      <alignment horizontal="center" vertical="center"/>
      <protection locked="0"/>
    </xf>
    <xf numFmtId="196" fontId="137" fillId="28" borderId="120" xfId="432" applyNumberFormat="1" applyFont="1" applyFill="1" applyBorder="1" applyAlignment="1">
      <alignment horizontal="center" vertical="center"/>
    </xf>
    <xf numFmtId="43" fontId="137" fillId="28" borderId="22" xfId="364" applyFont="1" applyFill="1" applyBorder="1" applyAlignment="1">
      <alignment horizontal="center" vertical="center"/>
    </xf>
    <xf numFmtId="0" fontId="107" fillId="0" borderId="106" xfId="362" applyFont="1" applyFill="1" applyBorder="1" applyAlignment="1">
      <alignment horizontal="justify" vertical="center"/>
    </xf>
    <xf numFmtId="196" fontId="133" fillId="38" borderId="116" xfId="432" applyNumberFormat="1" applyFont="1" applyFill="1" applyBorder="1" applyAlignment="1">
      <alignment horizontal="center" vertical="center"/>
    </xf>
    <xf numFmtId="0" fontId="133" fillId="41" borderId="121" xfId="0" applyFont="1" applyFill="1" applyBorder="1" applyAlignment="1">
      <alignment horizontal="left" vertical="center" wrapText="1"/>
    </xf>
    <xf numFmtId="0" fontId="133" fillId="41" borderId="122" xfId="0" applyFont="1" applyFill="1" applyBorder="1" applyAlignment="1">
      <alignment horizontal="left" vertical="center" wrapText="1"/>
    </xf>
    <xf numFmtId="0" fontId="137" fillId="28" borderId="123" xfId="0" applyFont="1" applyFill="1" applyBorder="1" applyAlignment="1" applyProtection="1">
      <alignment horizontal="center" vertical="center"/>
      <protection locked="0"/>
    </xf>
    <xf numFmtId="2" fontId="137" fillId="28" borderId="26" xfId="0" applyNumberFormat="1" applyFont="1" applyFill="1" applyBorder="1" applyAlignment="1" applyProtection="1">
      <alignment horizontal="center" vertical="center"/>
      <protection locked="0"/>
    </xf>
    <xf numFmtId="196" fontId="137" fillId="28" borderId="108" xfId="432" applyNumberFormat="1" applyFont="1" applyFill="1" applyBorder="1" applyAlignment="1">
      <alignment horizontal="center" vertical="center"/>
    </xf>
    <xf numFmtId="43" fontId="137" fillId="28" borderId="103" xfId="364" applyFont="1" applyFill="1" applyBorder="1" applyAlignment="1">
      <alignment horizontal="center" vertical="center"/>
    </xf>
    <xf numFmtId="0" fontId="133" fillId="41" borderId="84" xfId="0" applyFont="1" applyFill="1" applyBorder="1" applyAlignment="1">
      <alignment horizontal="left" vertical="center" wrapText="1"/>
    </xf>
    <xf numFmtId="0" fontId="107" fillId="0" borderId="77" xfId="359" applyFont="1" applyFill="1" applyBorder="1" applyAlignment="1">
      <alignment horizontal="justify" vertical="center"/>
    </xf>
    <xf numFmtId="0" fontId="65" fillId="0" borderId="77" xfId="359" applyFont="1" applyFill="1" applyBorder="1" applyAlignment="1">
      <alignment horizontal="justify" vertical="center"/>
    </xf>
    <xf numFmtId="0" fontId="133" fillId="30" borderId="114" xfId="359" applyFont="1" applyFill="1" applyBorder="1" applyAlignment="1">
      <alignment horizontal="justify" vertical="center"/>
    </xf>
    <xf numFmtId="0" fontId="133" fillId="0" borderId="124" xfId="361" applyNumberFormat="1" applyFont="1" applyFill="1" applyBorder="1" applyAlignment="1">
      <alignment horizontal="center" vertical="center"/>
    </xf>
    <xf numFmtId="2" fontId="133" fillId="0" borderId="117" xfId="0" applyNumberFormat="1" applyFont="1" applyFill="1" applyBorder="1" applyAlignment="1" applyProtection="1">
      <alignment horizontal="center" vertical="center"/>
      <protection locked="0"/>
    </xf>
    <xf numFmtId="196" fontId="133" fillId="31" borderId="110" xfId="432" applyNumberFormat="1" applyFont="1" applyFill="1" applyBorder="1" applyAlignment="1">
      <alignment vertical="center"/>
    </xf>
    <xf numFmtId="43" fontId="135" fillId="31" borderId="125" xfId="364" applyFont="1" applyFill="1" applyBorder="1" applyAlignment="1">
      <alignment horizontal="center"/>
    </xf>
    <xf numFmtId="10" fontId="133" fillId="30" borderId="87" xfId="343" applyNumberFormat="1" applyFont="1" applyFill="1" applyBorder="1" applyAlignment="1">
      <alignment horizontal="center"/>
    </xf>
    <xf numFmtId="43" fontId="133" fillId="0" borderId="88" xfId="364" applyFont="1" applyBorder="1" applyAlignment="1">
      <alignment horizontal="center"/>
    </xf>
    <xf numFmtId="10" fontId="133" fillId="38" borderId="28" xfId="343" applyNumberFormat="1" applyFont="1" applyFill="1" applyBorder="1" applyAlignment="1">
      <alignment horizontal="center"/>
    </xf>
    <xf numFmtId="43" fontId="133" fillId="0" borderId="29" xfId="364" applyFont="1" applyBorder="1" applyAlignment="1">
      <alignment horizontal="center"/>
    </xf>
    <xf numFmtId="10" fontId="133" fillId="38" borderId="90" xfId="343" applyNumberFormat="1" applyFont="1" applyFill="1" applyBorder="1" applyAlignment="1">
      <alignment horizontal="center"/>
    </xf>
    <xf numFmtId="43" fontId="133" fillId="31" borderId="91" xfId="364" applyFont="1" applyFill="1" applyBorder="1" applyAlignment="1">
      <alignment horizontal="center"/>
    </xf>
    <xf numFmtId="196" fontId="100" fillId="28" borderId="92" xfId="432" applyNumberFormat="1" applyFont="1" applyFill="1" applyBorder="1" applyAlignment="1">
      <alignment vertical="center"/>
    </xf>
    <xf numFmtId="43" fontId="135" fillId="28" borderId="93" xfId="364" applyFont="1" applyFill="1" applyBorder="1" applyAlignment="1">
      <alignment horizontal="center"/>
    </xf>
    <xf numFmtId="0" fontId="104" fillId="36" borderId="97" xfId="0" applyFont="1" applyFill="1" applyBorder="1" applyAlignment="1" applyProtection="1">
      <alignment horizontal="center" wrapText="1"/>
    </xf>
    <xf numFmtId="0" fontId="106" fillId="36" borderId="103" xfId="0" applyFont="1" applyFill="1" applyBorder="1" applyAlignment="1" applyProtection="1">
      <alignment horizontal="center" vertical="center" wrapText="1"/>
    </xf>
    <xf numFmtId="44" fontId="106" fillId="36" borderId="101" xfId="433" applyFont="1" applyFill="1" applyBorder="1" applyAlignment="1" applyProtection="1">
      <alignment horizontal="center" vertical="center" wrapText="1"/>
    </xf>
    <xf numFmtId="0" fontId="100" fillId="32" borderId="103" xfId="0" applyFont="1" applyFill="1" applyBorder="1" applyAlignment="1" applyProtection="1">
      <alignment horizontal="center" vertical="center" wrapText="1"/>
    </xf>
    <xf numFmtId="44" fontId="107" fillId="32" borderId="103" xfId="433" applyFont="1" applyFill="1" applyBorder="1" applyAlignment="1" applyProtection="1">
      <alignment horizontal="center" vertical="center" wrapText="1"/>
    </xf>
    <xf numFmtId="0" fontId="109" fillId="28" borderId="104" xfId="359" applyFont="1" applyFill="1" applyBorder="1" applyAlignment="1">
      <alignment horizontal="center" vertical="center" wrapText="1"/>
    </xf>
    <xf numFmtId="44" fontId="110" fillId="28" borderId="95" xfId="433" applyFont="1" applyFill="1" applyBorder="1" applyAlignment="1">
      <alignment horizontal="center" vertical="center"/>
    </xf>
    <xf numFmtId="0" fontId="112" fillId="30" borderId="106" xfId="362" applyFont="1" applyFill="1" applyBorder="1" applyAlignment="1">
      <alignment horizontal="justify" vertical="justify" wrapText="1"/>
    </xf>
    <xf numFmtId="44" fontId="67" fillId="0" borderId="32" xfId="433" applyFont="1" applyFill="1" applyBorder="1" applyAlignment="1" applyProtection="1">
      <alignment horizontal="center" vertical="center"/>
      <protection locked="0"/>
    </xf>
    <xf numFmtId="0" fontId="67" fillId="0" borderId="108" xfId="362" applyFont="1" applyFill="1" applyBorder="1" applyAlignment="1">
      <alignment horizontal="justify" vertical="center" wrapText="1"/>
    </xf>
    <xf numFmtId="44" fontId="67" fillId="0" borderId="92" xfId="433" applyFont="1" applyFill="1" applyBorder="1" applyAlignment="1" applyProtection="1">
      <alignment horizontal="center" vertical="center"/>
      <protection locked="0"/>
    </xf>
    <xf numFmtId="0" fontId="67" fillId="0" borderId="92" xfId="362" applyFont="1" applyFill="1" applyBorder="1" applyAlignment="1">
      <alignment horizontal="justify" vertical="center" wrapText="1"/>
    </xf>
    <xf numFmtId="44" fontId="67" fillId="0" borderId="110" xfId="433" applyFont="1" applyFill="1" applyBorder="1" applyAlignment="1" applyProtection="1">
      <alignment horizontal="center" vertical="center"/>
      <protection locked="0"/>
    </xf>
    <xf numFmtId="0" fontId="69" fillId="0" borderId="92" xfId="362" applyFont="1" applyFill="1" applyBorder="1" applyAlignment="1">
      <alignment horizontal="justify" vertical="center" wrapText="1"/>
    </xf>
    <xf numFmtId="0" fontId="109" fillId="28" borderId="112" xfId="359" applyFont="1" applyFill="1" applyBorder="1" applyAlignment="1">
      <alignment horizontal="center" vertical="center" wrapText="1"/>
    </xf>
    <xf numFmtId="0" fontId="67" fillId="0" borderId="114" xfId="359" applyFont="1" applyFill="1" applyBorder="1" applyAlignment="1">
      <alignment horizontal="justify" vertical="center" wrapText="1"/>
    </xf>
    <xf numFmtId="0" fontId="69" fillId="0" borderId="115" xfId="359" applyFont="1" applyFill="1" applyBorder="1" applyAlignment="1">
      <alignment horizontal="justify" vertical="center" wrapText="1"/>
    </xf>
    <xf numFmtId="44" fontId="67" fillId="0" borderId="116" xfId="433" applyFont="1" applyFill="1" applyBorder="1" applyAlignment="1" applyProtection="1">
      <alignment horizontal="center" vertical="center"/>
      <protection locked="0"/>
    </xf>
    <xf numFmtId="0" fontId="67" fillId="0" borderId="116" xfId="359" applyFont="1" applyFill="1" applyBorder="1" applyAlignment="1">
      <alignment horizontal="justify" vertical="center" wrapText="1"/>
    </xf>
    <xf numFmtId="0" fontId="67" fillId="0" borderId="118" xfId="359" applyFont="1" applyFill="1" applyBorder="1" applyAlignment="1">
      <alignment horizontal="justify" vertical="center" wrapText="1"/>
    </xf>
    <xf numFmtId="0" fontId="92" fillId="30" borderId="33" xfId="362" applyFont="1" applyFill="1" applyBorder="1" applyAlignment="1">
      <alignment horizontal="justify" vertical="justify" wrapText="1"/>
    </xf>
    <xf numFmtId="0" fontId="67" fillId="0" borderId="77" xfId="359" applyFont="1" applyFill="1" applyBorder="1" applyAlignment="1">
      <alignment horizontal="justify" vertical="center" wrapText="1"/>
    </xf>
    <xf numFmtId="44" fontId="67" fillId="0" borderId="77" xfId="433" applyFont="1" applyFill="1" applyBorder="1" applyAlignment="1" applyProtection="1">
      <alignment horizontal="center" vertical="center"/>
      <protection locked="0"/>
    </xf>
    <xf numFmtId="44" fontId="110" fillId="28" borderId="22" xfId="433" applyFont="1" applyFill="1" applyBorder="1" applyAlignment="1">
      <alignment horizontal="center" vertical="center"/>
    </xf>
    <xf numFmtId="0" fontId="69" fillId="0" borderId="106" xfId="362" applyFont="1" applyFill="1" applyBorder="1" applyAlignment="1">
      <alignment horizontal="justify" vertical="center" wrapText="1"/>
    </xf>
    <xf numFmtId="44" fontId="110" fillId="28" borderId="103" xfId="433" applyFont="1" applyFill="1" applyBorder="1" applyAlignment="1">
      <alignment horizontal="center" vertical="center"/>
    </xf>
    <xf numFmtId="0" fontId="69" fillId="0" borderId="77" xfId="359" applyFont="1" applyFill="1" applyBorder="1" applyAlignment="1">
      <alignment horizontal="justify" vertical="center" wrapText="1"/>
    </xf>
    <xf numFmtId="0" fontId="43" fillId="0" borderId="77" xfId="359" applyFont="1" applyFill="1" applyBorder="1" applyAlignment="1">
      <alignment horizontal="justify" vertical="center" wrapText="1"/>
    </xf>
    <xf numFmtId="0" fontId="67" fillId="30" borderId="114" xfId="359" applyFont="1" applyFill="1" applyBorder="1" applyAlignment="1">
      <alignment horizontal="justify" vertical="center" wrapText="1"/>
    </xf>
    <xf numFmtId="44" fontId="102" fillId="31" borderId="125" xfId="433" applyFont="1" applyFill="1" applyBorder="1" applyAlignment="1">
      <alignment horizontal="center"/>
    </xf>
    <xf numFmtId="201" fontId="67" fillId="30" borderId="87" xfId="343" applyNumberFormat="1" applyFont="1" applyFill="1" applyBorder="1" applyAlignment="1">
      <alignment horizontal="center"/>
    </xf>
    <xf numFmtId="44" fontId="67" fillId="0" borderId="88" xfId="433" applyFont="1" applyBorder="1" applyAlignment="1">
      <alignment horizontal="center"/>
    </xf>
    <xf numFmtId="44" fontId="67" fillId="0" borderId="29" xfId="433" applyFont="1" applyBorder="1" applyAlignment="1">
      <alignment horizontal="center"/>
    </xf>
    <xf numFmtId="44" fontId="67" fillId="31" borderId="91" xfId="433" applyFont="1" applyFill="1" applyBorder="1" applyAlignment="1">
      <alignment horizontal="center"/>
    </xf>
    <xf numFmtId="44" fontId="102" fillId="28" borderId="93" xfId="433" applyFont="1" applyFill="1" applyBorder="1" applyAlignment="1">
      <alignment horizontal="center"/>
    </xf>
    <xf numFmtId="10" fontId="43" fillId="30" borderId="0" xfId="343" applyNumberFormat="1" applyFont="1" applyFill="1"/>
    <xf numFmtId="201" fontId="71" fillId="31" borderId="32" xfId="343" applyNumberFormat="1" applyFont="1" applyFill="1" applyBorder="1" applyAlignment="1">
      <alignment horizontal="center" vertical="center"/>
    </xf>
    <xf numFmtId="202" fontId="70" fillId="33" borderId="77" xfId="356" applyNumberFormat="1" applyFont="1" applyFill="1" applyBorder="1" applyAlignment="1">
      <alignment horizontal="center" vertical="center" wrapText="1"/>
    </xf>
    <xf numFmtId="197" fontId="70" fillId="0" borderId="0" xfId="432" applyNumberFormat="1" applyFont="1" applyBorder="1" applyAlignment="1">
      <alignment horizontal="center" vertical="center"/>
    </xf>
    <xf numFmtId="3" fontId="106" fillId="36" borderId="146" xfId="0" applyNumberFormat="1" applyFont="1" applyFill="1" applyBorder="1" applyAlignment="1" applyProtection="1">
      <alignment horizontal="center" vertical="center" wrapText="1"/>
    </xf>
    <xf numFmtId="3" fontId="107" fillId="32" borderId="26" xfId="0" applyNumberFormat="1" applyFont="1" applyFill="1" applyBorder="1" applyAlignment="1" applyProtection="1">
      <alignment horizontal="center" vertical="center" wrapText="1"/>
    </xf>
    <xf numFmtId="190" fontId="109" fillId="28" borderId="79" xfId="0" applyNumberFormat="1" applyFont="1" applyFill="1" applyBorder="1" applyAlignment="1">
      <alignment horizontal="center" vertical="center"/>
    </xf>
    <xf numFmtId="190" fontId="109" fillId="28" borderId="94" xfId="0" applyNumberFormat="1" applyFont="1" applyFill="1" applyBorder="1" applyAlignment="1">
      <alignment horizontal="center" vertical="center"/>
    </xf>
    <xf numFmtId="190" fontId="109" fillId="28" borderId="25" xfId="0" applyNumberFormat="1" applyFont="1" applyFill="1" applyBorder="1" applyAlignment="1">
      <alignment horizontal="center" vertical="center"/>
    </xf>
    <xf numFmtId="10" fontId="43" fillId="30" borderId="147" xfId="0" applyNumberFormat="1" applyFont="1" applyFill="1" applyBorder="1" applyAlignment="1">
      <alignment horizontal="center"/>
    </xf>
    <xf numFmtId="190" fontId="109" fillId="44" borderId="31" xfId="0" applyNumberFormat="1" applyFont="1" applyFill="1" applyBorder="1" applyAlignment="1">
      <alignment horizontal="center" vertical="center"/>
    </xf>
    <xf numFmtId="10" fontId="43" fillId="44" borderId="31" xfId="343" applyNumberFormat="1" applyFont="1" applyFill="1" applyBorder="1" applyAlignment="1">
      <alignment horizontal="center" vertical="center"/>
    </xf>
    <xf numFmtId="10" fontId="43" fillId="44" borderId="31" xfId="0" applyNumberFormat="1" applyFont="1" applyFill="1" applyBorder="1" applyAlignment="1">
      <alignment horizontal="center"/>
    </xf>
    <xf numFmtId="10" fontId="60" fillId="44" borderId="31" xfId="0" applyNumberFormat="1" applyFont="1" applyFill="1" applyBorder="1"/>
    <xf numFmtId="191" fontId="67" fillId="44" borderId="31" xfId="432" applyNumberFormat="1" applyFont="1" applyFill="1" applyBorder="1" applyAlignment="1">
      <alignment horizontal="center"/>
    </xf>
    <xf numFmtId="10" fontId="43" fillId="44" borderId="31" xfId="343" applyNumberFormat="1" applyFont="1" applyFill="1" applyBorder="1"/>
    <xf numFmtId="191" fontId="102" fillId="44" borderId="31" xfId="432" applyNumberFormat="1" applyFont="1" applyFill="1" applyBorder="1" applyAlignment="1">
      <alignment horizontal="center"/>
    </xf>
    <xf numFmtId="190" fontId="109" fillId="44" borderId="42" xfId="0" applyNumberFormat="1" applyFont="1" applyFill="1" applyBorder="1" applyAlignment="1">
      <alignment horizontal="center" vertical="center"/>
    </xf>
    <xf numFmtId="0" fontId="89" fillId="0" borderId="0" xfId="0" quotePrefix="1"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left" vertical="center"/>
    </xf>
    <xf numFmtId="3" fontId="106" fillId="0" borderId="0" xfId="0" applyNumberFormat="1" applyFont="1" applyFill="1" applyBorder="1" applyAlignment="1" applyProtection="1">
      <alignment horizontal="center" vertical="center" wrapText="1"/>
    </xf>
    <xf numFmtId="203" fontId="67" fillId="38" borderId="92" xfId="364" applyNumberFormat="1" applyFont="1" applyFill="1" applyBorder="1" applyAlignment="1">
      <alignment horizontal="center" vertical="center"/>
    </xf>
    <xf numFmtId="203" fontId="67" fillId="0" borderId="32" xfId="364" applyNumberFormat="1" applyFont="1" applyFill="1" applyBorder="1" applyAlignment="1" applyProtection="1">
      <alignment horizontal="center" vertical="center"/>
      <protection locked="0"/>
    </xf>
    <xf numFmtId="203" fontId="67" fillId="0" borderId="92" xfId="364" applyNumberFormat="1" applyFont="1" applyFill="1" applyBorder="1" applyAlignment="1" applyProtection="1">
      <alignment horizontal="center" vertical="center"/>
      <protection locked="0"/>
    </xf>
    <xf numFmtId="203" fontId="67" fillId="0" borderId="110" xfId="364" applyNumberFormat="1" applyFont="1" applyFill="1" applyBorder="1" applyAlignment="1" applyProtection="1">
      <alignment horizontal="center" vertical="center"/>
      <protection locked="0"/>
    </xf>
    <xf numFmtId="203" fontId="110" fillId="28" borderId="77" xfId="364" applyNumberFormat="1" applyFont="1" applyFill="1" applyBorder="1" applyAlignment="1">
      <alignment horizontal="center" vertical="center"/>
    </xf>
    <xf numFmtId="203" fontId="110" fillId="28" borderId="95" xfId="364" applyNumberFormat="1" applyFont="1" applyFill="1" applyBorder="1" applyAlignment="1">
      <alignment horizontal="center" vertical="center"/>
    </xf>
    <xf numFmtId="203" fontId="67" fillId="38" borderId="110" xfId="364" applyNumberFormat="1" applyFont="1" applyFill="1" applyBorder="1" applyAlignment="1">
      <alignment horizontal="center" vertical="center"/>
    </xf>
    <xf numFmtId="203" fontId="67" fillId="38" borderId="117" xfId="364" applyNumberFormat="1" applyFont="1" applyFill="1" applyBorder="1" applyAlignment="1">
      <alignment horizontal="center" vertical="center"/>
    </xf>
    <xf numFmtId="203" fontId="67" fillId="0" borderId="116" xfId="364" applyNumberFormat="1" applyFont="1" applyFill="1" applyBorder="1" applyAlignment="1" applyProtection="1">
      <alignment horizontal="center" vertical="center"/>
      <protection locked="0"/>
    </xf>
    <xf numFmtId="203" fontId="67" fillId="38" borderId="77" xfId="364" applyNumberFormat="1" applyFont="1" applyFill="1" applyBorder="1" applyAlignment="1">
      <alignment horizontal="center" vertical="center"/>
    </xf>
    <xf numFmtId="203" fontId="67" fillId="0" borderId="77" xfId="364" applyNumberFormat="1" applyFont="1" applyFill="1" applyBorder="1" applyAlignment="1" applyProtection="1">
      <alignment horizontal="center" vertical="center"/>
      <protection locked="0"/>
    </xf>
    <xf numFmtId="203" fontId="110" fillId="28" borderId="120" xfId="364" applyNumberFormat="1" applyFont="1" applyFill="1" applyBorder="1" applyAlignment="1">
      <alignment horizontal="center" vertical="center"/>
    </xf>
    <xf numFmtId="203" fontId="110" fillId="28" borderId="22" xfId="364" applyNumberFormat="1" applyFont="1" applyFill="1" applyBorder="1" applyAlignment="1">
      <alignment horizontal="center" vertical="center"/>
    </xf>
    <xf numFmtId="203" fontId="67" fillId="38" borderId="116" xfId="364" applyNumberFormat="1" applyFont="1" applyFill="1" applyBorder="1" applyAlignment="1">
      <alignment horizontal="center" vertical="center"/>
    </xf>
    <xf numFmtId="203" fontId="110" fillId="28" borderId="108" xfId="364" applyNumberFormat="1" applyFont="1" applyFill="1" applyBorder="1" applyAlignment="1">
      <alignment horizontal="center" vertical="center"/>
    </xf>
    <xf numFmtId="203" fontId="110" fillId="28" borderId="103" xfId="364" applyNumberFormat="1" applyFont="1" applyFill="1" applyBorder="1" applyAlignment="1">
      <alignment horizontal="center" vertical="center"/>
    </xf>
    <xf numFmtId="199" fontId="102" fillId="28" borderId="93" xfId="432" applyNumberFormat="1" applyFont="1" applyFill="1" applyBorder="1" applyAlignment="1">
      <alignment horizontal="center"/>
    </xf>
    <xf numFmtId="203" fontId="43" fillId="30" borderId="0" xfId="364" applyNumberFormat="1" applyFont="1" applyFill="1"/>
    <xf numFmtId="0" fontId="16" fillId="0" borderId="0" xfId="356" applyFont="1" applyFill="1" applyAlignment="1">
      <alignment horizontal="center" vertical="center"/>
    </xf>
    <xf numFmtId="189" fontId="140" fillId="38" borderId="64" xfId="349" applyNumberFormat="1" applyFont="1" applyFill="1" applyBorder="1" applyAlignment="1" applyProtection="1">
      <alignment horizontal="center" vertical="center" wrapText="1"/>
      <protection locked="0"/>
    </xf>
    <xf numFmtId="0" fontId="13" fillId="0" borderId="0" xfId="104" applyFont="1" applyFill="1" applyAlignment="1" applyProtection="1">
      <alignment horizontal="center" vertical="center"/>
    </xf>
    <xf numFmtId="200" fontId="71" fillId="31" borderId="32" xfId="343" applyNumberFormat="1" applyFont="1" applyFill="1" applyBorder="1" applyAlignment="1">
      <alignment horizontal="center" vertical="center"/>
    </xf>
    <xf numFmtId="202" fontId="71" fillId="31" borderId="32" xfId="343" applyNumberFormat="1" applyFont="1" applyFill="1" applyBorder="1" applyAlignment="1">
      <alignment horizontal="center" vertical="center"/>
    </xf>
    <xf numFmtId="204" fontId="67" fillId="30" borderId="87" xfId="343" applyNumberFormat="1" applyFont="1" applyFill="1" applyBorder="1" applyAlignment="1">
      <alignment horizontal="center"/>
    </xf>
    <xf numFmtId="204" fontId="71" fillId="31" borderId="32" xfId="343" applyNumberFormat="1" applyFont="1" applyFill="1" applyBorder="1" applyAlignment="1">
      <alignment horizontal="center" vertical="center"/>
    </xf>
    <xf numFmtId="204" fontId="70" fillId="33" borderId="77" xfId="356" applyNumberFormat="1" applyFont="1" applyFill="1" applyBorder="1" applyAlignment="1">
      <alignment horizontal="center" vertical="center" wrapText="1"/>
    </xf>
    <xf numFmtId="0" fontId="112" fillId="30" borderId="106" xfId="362" applyFont="1" applyFill="1" applyBorder="1" applyAlignment="1">
      <alignment horizontal="left" vertical="center" wrapText="1"/>
    </xf>
    <xf numFmtId="0" fontId="67" fillId="30" borderId="108" xfId="362" applyFont="1" applyFill="1" applyBorder="1" applyAlignment="1">
      <alignment horizontal="justify" vertical="center"/>
    </xf>
    <xf numFmtId="0" fontId="67" fillId="30" borderId="92" xfId="362" applyFont="1" applyFill="1" applyBorder="1" applyAlignment="1">
      <alignment horizontal="justify" vertical="center"/>
    </xf>
    <xf numFmtId="0" fontId="69" fillId="30" borderId="115" xfId="359" applyFont="1" applyFill="1" applyBorder="1" applyAlignment="1">
      <alignment horizontal="justify" vertical="center"/>
    </xf>
    <xf numFmtId="0" fontId="67" fillId="30" borderId="116" xfId="359" applyFont="1" applyFill="1" applyBorder="1" applyAlignment="1">
      <alignment horizontal="justify" vertical="center"/>
    </xf>
    <xf numFmtId="0" fontId="67" fillId="45" borderId="111" xfId="0" applyFont="1" applyFill="1" applyBorder="1" applyAlignment="1">
      <alignment horizontal="left" vertical="center" wrapText="1"/>
    </xf>
    <xf numFmtId="0" fontId="67" fillId="30" borderId="118" xfId="359" applyFont="1" applyFill="1" applyBorder="1" applyAlignment="1">
      <alignment horizontal="justify" vertical="center"/>
    </xf>
    <xf numFmtId="0" fontId="92" fillId="30" borderId="33" xfId="362" applyFont="1" applyFill="1" applyBorder="1" applyAlignment="1">
      <alignment horizontal="justify" vertical="center" wrapText="1"/>
    </xf>
    <xf numFmtId="0" fontId="67" fillId="30" borderId="114" xfId="359" applyFont="1" applyFill="1" applyBorder="1" applyAlignment="1">
      <alignment vertical="center" wrapText="1"/>
    </xf>
    <xf numFmtId="0" fontId="67" fillId="30" borderId="77" xfId="359" applyFont="1" applyFill="1" applyBorder="1" applyAlignment="1">
      <alignment horizontal="justify" vertical="center"/>
    </xf>
    <xf numFmtId="0" fontId="69" fillId="30" borderId="106" xfId="362" applyFont="1" applyFill="1" applyBorder="1" applyAlignment="1">
      <alignment horizontal="justify" vertical="center"/>
    </xf>
    <xf numFmtId="0" fontId="67" fillId="45" borderId="121" xfId="0" applyFont="1" applyFill="1" applyBorder="1" applyAlignment="1">
      <alignment horizontal="left" vertical="center" wrapText="1"/>
    </xf>
    <xf numFmtId="0" fontId="67" fillId="45" borderId="122" xfId="0" applyFont="1" applyFill="1" applyBorder="1" applyAlignment="1">
      <alignment horizontal="left" vertical="center" wrapText="1"/>
    </xf>
    <xf numFmtId="0" fontId="69" fillId="30" borderId="77" xfId="359" applyFont="1" applyFill="1" applyBorder="1" applyAlignment="1">
      <alignment horizontal="justify" vertical="center"/>
    </xf>
    <xf numFmtId="169" fontId="13" fillId="0" borderId="0" xfId="104" applyNumberFormat="1" applyFont="1" applyAlignment="1" applyProtection="1">
      <alignment horizontal="center" vertical="center"/>
    </xf>
    <xf numFmtId="205" fontId="13" fillId="0" borderId="0" xfId="432" applyNumberFormat="1" applyFont="1" applyAlignment="1" applyProtection="1">
      <alignment horizontal="center" vertical="center"/>
    </xf>
    <xf numFmtId="10" fontId="141" fillId="33" borderId="77" xfId="356" applyNumberFormat="1" applyFont="1" applyFill="1" applyBorder="1" applyAlignment="1">
      <alignment horizontal="center" vertical="center" wrapText="1"/>
    </xf>
    <xf numFmtId="191" fontId="12" fillId="0" borderId="0" xfId="104" applyNumberFormat="1" applyProtection="1"/>
    <xf numFmtId="196" fontId="67" fillId="44" borderId="31" xfId="0" applyNumberFormat="1" applyFont="1" applyFill="1" applyBorder="1" applyAlignment="1" applyProtection="1">
      <alignment horizontal="center" vertical="center"/>
      <protection locked="0"/>
    </xf>
    <xf numFmtId="0" fontId="73" fillId="0" borderId="0" xfId="356" applyFont="1" applyBorder="1" applyAlignment="1">
      <alignment horizontal="center" vertical="center"/>
    </xf>
    <xf numFmtId="196" fontId="69" fillId="44" borderId="31" xfId="0" applyNumberFormat="1" applyFont="1" applyFill="1" applyBorder="1" applyAlignment="1" applyProtection="1">
      <alignment horizontal="center" vertical="center"/>
      <protection locked="0"/>
    </xf>
    <xf numFmtId="0" fontId="68" fillId="0" borderId="0" xfId="356" applyFont="1" applyFill="1" applyBorder="1" applyAlignment="1">
      <alignment horizontal="center" vertical="center" wrapText="1"/>
    </xf>
    <xf numFmtId="0" fontId="12" fillId="0" borderId="0" xfId="0" applyFont="1" applyAlignment="1" applyProtection="1">
      <alignment vertical="center" wrapText="1"/>
    </xf>
    <xf numFmtId="169" fontId="12" fillId="0" borderId="0" xfId="0" applyNumberFormat="1" applyFont="1" applyAlignment="1" applyProtection="1">
      <alignment vertical="center"/>
    </xf>
    <xf numFmtId="0" fontId="48" fillId="31" borderId="37" xfId="0" applyFont="1" applyFill="1" applyBorder="1" applyAlignment="1" applyProtection="1">
      <alignment horizontal="center" vertical="center" wrapText="1"/>
    </xf>
    <xf numFmtId="0" fontId="48" fillId="31" borderId="39" xfId="0" applyFont="1" applyFill="1" applyBorder="1" applyAlignment="1" applyProtection="1">
      <alignment horizontal="center" vertical="center" wrapText="1"/>
    </xf>
    <xf numFmtId="0" fontId="12" fillId="0" borderId="0" xfId="0" applyFont="1" applyFill="1" applyAlignment="1" applyProtection="1">
      <alignment horizontal="justify" vertical="top" wrapText="1"/>
    </xf>
    <xf numFmtId="0" fontId="0" fillId="0" borderId="0" xfId="0" applyFill="1" applyAlignment="1" applyProtection="1">
      <alignment horizontal="justify" vertical="top" wrapText="1"/>
      <protection locked="0"/>
    </xf>
    <xf numFmtId="0" fontId="16" fillId="31" borderId="20" xfId="0" applyFont="1" applyFill="1" applyBorder="1" applyAlignment="1" applyProtection="1">
      <alignment horizontal="center" vertical="center" wrapText="1"/>
    </xf>
    <xf numFmtId="0" fontId="16" fillId="31" borderId="17" xfId="0" applyFont="1" applyFill="1" applyBorder="1" applyAlignment="1" applyProtection="1">
      <alignment horizontal="center" vertical="center" wrapText="1"/>
    </xf>
    <xf numFmtId="0" fontId="60" fillId="31" borderId="18" xfId="0" applyFont="1" applyFill="1" applyBorder="1" applyAlignment="1" applyProtection="1">
      <alignment horizontal="justify" vertical="center" wrapText="1"/>
      <protection locked="0"/>
    </xf>
    <xf numFmtId="0" fontId="60" fillId="31" borderId="19" xfId="0" applyFont="1" applyFill="1" applyBorder="1" applyAlignment="1" applyProtection="1">
      <alignment horizontal="justify" vertical="center" wrapText="1"/>
      <protection locked="0"/>
    </xf>
    <xf numFmtId="0" fontId="13" fillId="31" borderId="18" xfId="0" applyFont="1" applyFill="1" applyBorder="1" applyAlignment="1" applyProtection="1">
      <alignment horizontal="center" vertical="center" wrapText="1"/>
      <protection locked="0"/>
    </xf>
    <xf numFmtId="0" fontId="13" fillId="31" borderId="19" xfId="0" applyFont="1" applyFill="1" applyBorder="1" applyAlignment="1" applyProtection="1">
      <alignment horizontal="center" vertical="center" wrapText="1"/>
      <protection locked="0"/>
    </xf>
    <xf numFmtId="0" fontId="48" fillId="31" borderId="38" xfId="351" applyFont="1" applyFill="1" applyBorder="1" applyAlignment="1">
      <alignment horizontal="center" wrapText="1"/>
    </xf>
    <xf numFmtId="0" fontId="48" fillId="31" borderId="39" xfId="351" applyFont="1" applyFill="1" applyBorder="1" applyAlignment="1">
      <alignment horizontal="center" wrapText="1"/>
    </xf>
    <xf numFmtId="0" fontId="13" fillId="31" borderId="0" xfId="351" applyFont="1" applyFill="1" applyBorder="1" applyAlignment="1">
      <alignment horizontal="center"/>
    </xf>
    <xf numFmtId="0" fontId="13" fillId="31" borderId="19" xfId="351" applyFont="1" applyFill="1" applyBorder="1" applyAlignment="1">
      <alignment horizontal="center"/>
    </xf>
    <xf numFmtId="0" fontId="43" fillId="31" borderId="0" xfId="351" applyFont="1" applyFill="1" applyBorder="1" applyAlignment="1">
      <alignment horizontal="center" vertical="center" wrapText="1"/>
    </xf>
    <xf numFmtId="0" fontId="43" fillId="31" borderId="19" xfId="351" applyFont="1" applyFill="1" applyBorder="1" applyAlignment="1">
      <alignment horizontal="center" vertical="center" wrapText="1"/>
    </xf>
    <xf numFmtId="0" fontId="60" fillId="0" borderId="0" xfId="351" applyFont="1" applyAlignment="1" applyProtection="1">
      <alignment horizontal="center" vertical="center" wrapText="1"/>
      <protection locked="0"/>
    </xf>
    <xf numFmtId="0" fontId="60" fillId="0" borderId="0" xfId="351" applyFont="1" applyAlignment="1" applyProtection="1">
      <alignment horizontal="center" vertical="center"/>
      <protection locked="0"/>
    </xf>
    <xf numFmtId="0" fontId="60" fillId="31" borderId="37" xfId="351" applyFont="1" applyFill="1" applyBorder="1" applyAlignment="1">
      <alignment horizontal="center"/>
    </xf>
    <xf numFmtId="0" fontId="60" fillId="31" borderId="18" xfId="351" applyFont="1" applyFill="1" applyBorder="1" applyAlignment="1">
      <alignment horizontal="center"/>
    </xf>
    <xf numFmtId="0" fontId="43" fillId="32" borderId="20" xfId="351" applyFont="1" applyFill="1" applyBorder="1" applyAlignment="1" applyProtection="1">
      <alignment horizontal="center" wrapText="1"/>
      <protection locked="0"/>
    </xf>
    <xf numFmtId="0" fontId="43" fillId="32" borderId="21" xfId="351" applyFont="1" applyFill="1" applyBorder="1" applyAlignment="1" applyProtection="1">
      <alignment horizontal="center" wrapText="1"/>
      <protection locked="0"/>
    </xf>
    <xf numFmtId="0" fontId="43" fillId="32" borderId="17" xfId="351" applyFont="1" applyFill="1" applyBorder="1" applyAlignment="1" applyProtection="1">
      <alignment horizontal="center" wrapText="1"/>
      <protection locked="0"/>
    </xf>
    <xf numFmtId="0" fontId="16" fillId="31" borderId="20" xfId="351" applyFont="1" applyFill="1" applyBorder="1" applyAlignment="1">
      <alignment horizontal="center" vertical="center" wrapText="1"/>
    </xf>
    <xf numFmtId="0" fontId="16" fillId="31" borderId="21" xfId="351" applyFont="1" applyFill="1" applyBorder="1" applyAlignment="1">
      <alignment horizontal="center" vertical="center" wrapText="1"/>
    </xf>
    <xf numFmtId="0" fontId="16" fillId="31" borderId="17" xfId="351" applyFont="1" applyFill="1" applyBorder="1" applyAlignment="1">
      <alignment horizontal="center" vertical="center" wrapText="1"/>
    </xf>
    <xf numFmtId="0" fontId="95" fillId="31" borderId="0" xfId="350" applyFont="1" applyFill="1" applyAlignment="1" applyProtection="1">
      <alignment horizontal="left" vertical="center"/>
    </xf>
    <xf numFmtId="0" fontId="16" fillId="34" borderId="31" xfId="0" applyFont="1" applyFill="1" applyBorder="1" applyAlignment="1" applyProtection="1">
      <alignment horizontal="center" vertical="center"/>
    </xf>
    <xf numFmtId="0" fontId="63" fillId="33" borderId="2" xfId="0" applyFont="1" applyFill="1" applyBorder="1" applyAlignment="1" applyProtection="1">
      <alignment horizontal="center" vertical="center" wrapText="1"/>
    </xf>
    <xf numFmtId="0" fontId="63" fillId="33" borderId="40" xfId="0" applyFont="1" applyFill="1" applyBorder="1" applyAlignment="1" applyProtection="1">
      <alignment horizontal="center" vertical="center" wrapText="1"/>
    </xf>
    <xf numFmtId="0" fontId="63" fillId="33" borderId="45" xfId="0" applyFont="1" applyFill="1" applyBorder="1" applyAlignment="1" applyProtection="1">
      <alignment horizontal="center" vertical="center" wrapText="1"/>
    </xf>
    <xf numFmtId="0" fontId="61" fillId="33" borderId="31" xfId="0" applyFont="1" applyFill="1" applyBorder="1" applyAlignment="1" applyProtection="1">
      <alignment horizontal="center" vertical="center" textRotation="255" wrapText="1"/>
    </xf>
    <xf numFmtId="0" fontId="13" fillId="32" borderId="53" xfId="1" applyNumberFormat="1" applyFont="1" applyFill="1" applyBorder="1" applyAlignment="1" applyProtection="1">
      <alignment horizontal="center" vertical="center" wrapText="1"/>
    </xf>
    <xf numFmtId="0" fontId="13" fillId="32" borderId="55" xfId="1" applyNumberFormat="1" applyFont="1" applyFill="1" applyBorder="1" applyAlignment="1" applyProtection="1">
      <alignment horizontal="center" vertical="center" wrapText="1"/>
    </xf>
    <xf numFmtId="0" fontId="13" fillId="32" borderId="56" xfId="1" applyNumberFormat="1" applyFont="1" applyFill="1" applyBorder="1" applyAlignment="1" applyProtection="1">
      <alignment horizontal="center" vertical="center" wrapText="1"/>
    </xf>
    <xf numFmtId="0" fontId="13" fillId="32" borderId="20" xfId="1" applyNumberFormat="1" applyFont="1" applyFill="1" applyBorder="1" applyAlignment="1" applyProtection="1">
      <alignment horizontal="center" vertical="center" wrapText="1"/>
    </xf>
    <xf numFmtId="0" fontId="13" fillId="32" borderId="21" xfId="1" applyNumberFormat="1" applyFont="1" applyFill="1" applyBorder="1" applyAlignment="1" applyProtection="1">
      <alignment horizontal="center" vertical="center" wrapText="1"/>
    </xf>
    <xf numFmtId="0" fontId="13" fillId="32" borderId="17" xfId="1" applyNumberFormat="1" applyFont="1" applyFill="1" applyBorder="1" applyAlignment="1" applyProtection="1">
      <alignment horizontal="center" vertical="center" wrapText="1"/>
    </xf>
    <xf numFmtId="0" fontId="16" fillId="33" borderId="52" xfId="2" applyNumberFormat="1" applyFont="1" applyFill="1" applyBorder="1" applyAlignment="1" applyProtection="1">
      <alignment horizontal="center" vertical="center" wrapText="1"/>
    </xf>
    <xf numFmtId="0" fontId="16" fillId="33" borderId="42" xfId="2" applyNumberFormat="1" applyFont="1" applyFill="1" applyBorder="1" applyAlignment="1" applyProtection="1">
      <alignment horizontal="center" vertical="center" wrapText="1"/>
    </xf>
    <xf numFmtId="0" fontId="55" fillId="33" borderId="51" xfId="0" applyFont="1" applyFill="1" applyBorder="1" applyAlignment="1" applyProtection="1">
      <alignment horizontal="center" vertical="center" textRotation="255" wrapText="1"/>
    </xf>
    <xf numFmtId="0" fontId="55" fillId="33" borderId="42" xfId="0" applyFont="1" applyFill="1" applyBorder="1" applyAlignment="1" applyProtection="1">
      <alignment horizontal="center" vertical="center" textRotation="255" wrapText="1"/>
    </xf>
    <xf numFmtId="0" fontId="96" fillId="31" borderId="0" xfId="2" applyNumberFormat="1" applyFont="1" applyFill="1" applyAlignment="1" applyProtection="1">
      <alignment horizontal="center" vertical="center" wrapText="1"/>
    </xf>
    <xf numFmtId="168" fontId="13" fillId="33" borderId="31" xfId="3" applyNumberFormat="1" applyFont="1" applyFill="1" applyBorder="1" applyAlignment="1" applyProtection="1">
      <alignment horizontal="center" vertical="center" wrapText="1"/>
    </xf>
    <xf numFmtId="167" fontId="13" fillId="33" borderId="31" xfId="3" applyFont="1" applyFill="1" applyBorder="1" applyAlignment="1" applyProtection="1">
      <alignment horizontal="center" vertical="center" wrapText="1"/>
    </xf>
    <xf numFmtId="169" fontId="13" fillId="38" borderId="31" xfId="3" applyNumberFormat="1" applyFont="1" applyFill="1" applyBorder="1" applyAlignment="1" applyProtection="1">
      <alignment horizontal="center" vertical="center" wrapText="1"/>
      <protection locked="0"/>
    </xf>
    <xf numFmtId="167" fontId="16" fillId="33" borderId="2" xfId="3" applyFont="1" applyFill="1" applyBorder="1" applyAlignment="1" applyProtection="1">
      <alignment horizontal="center" vertical="center" wrapText="1"/>
    </xf>
    <xf numFmtId="167" fontId="16" fillId="33" borderId="54" xfId="3" applyFont="1" applyFill="1" applyBorder="1" applyAlignment="1" applyProtection="1">
      <alignment horizontal="center" vertical="center" wrapText="1"/>
    </xf>
    <xf numFmtId="189" fontId="13" fillId="38" borderId="2" xfId="3" applyNumberFormat="1" applyFont="1" applyFill="1" applyBorder="1" applyAlignment="1" applyProtection="1">
      <alignment horizontal="center" vertical="center" wrapText="1"/>
      <protection locked="0"/>
    </xf>
    <xf numFmtId="189" fontId="13" fillId="38" borderId="54" xfId="3" applyNumberFormat="1" applyFont="1" applyFill="1" applyBorder="1" applyAlignment="1" applyProtection="1">
      <alignment horizontal="center" vertical="center" wrapText="1"/>
      <protection locked="0"/>
    </xf>
    <xf numFmtId="0" fontId="13" fillId="32" borderId="31" xfId="1" applyNumberFormat="1" applyFont="1" applyFill="1" applyBorder="1" applyAlignment="1" applyProtection="1">
      <alignment horizontal="center" vertical="center" wrapText="1"/>
    </xf>
    <xf numFmtId="0" fontId="15" fillId="0" borderId="0" xfId="2" applyFont="1" applyFill="1" applyAlignment="1" applyProtection="1">
      <alignment horizontal="left" vertical="center" wrapText="1"/>
    </xf>
    <xf numFmtId="0" fontId="61" fillId="33" borderId="52" xfId="0" applyFont="1" applyFill="1" applyBorder="1" applyAlignment="1" applyProtection="1">
      <alignment horizontal="center" vertical="center" textRotation="255" wrapText="1"/>
    </xf>
    <xf numFmtId="0" fontId="15" fillId="38" borderId="0" xfId="2" applyFont="1" applyFill="1" applyBorder="1" applyAlignment="1" applyProtection="1">
      <alignment horizontal="justify" vertical="center" wrapText="1"/>
      <protection locked="0"/>
    </xf>
    <xf numFmtId="0" fontId="15" fillId="0" borderId="18" xfId="2" applyFont="1" applyFill="1" applyBorder="1" applyAlignment="1" applyProtection="1">
      <alignment horizontal="center" vertical="center" wrapText="1"/>
    </xf>
    <xf numFmtId="0" fontId="15" fillId="0" borderId="0" xfId="2" applyFont="1" applyFill="1" applyBorder="1" applyAlignment="1" applyProtection="1">
      <alignment horizontal="center" vertical="center" wrapText="1"/>
    </xf>
    <xf numFmtId="0" fontId="96" fillId="31" borderId="18" xfId="2" applyFont="1" applyFill="1" applyBorder="1" applyAlignment="1" applyProtection="1">
      <alignment horizontal="center" vertical="center" wrapText="1"/>
    </xf>
    <xf numFmtId="0" fontId="96" fillId="31" borderId="0" xfId="2" applyFont="1" applyFill="1" applyBorder="1" applyAlignment="1" applyProtection="1">
      <alignment horizontal="center" vertical="center" wrapText="1"/>
    </xf>
    <xf numFmtId="0" fontId="16" fillId="33" borderId="31" xfId="2" applyNumberFormat="1" applyFont="1" applyFill="1" applyBorder="1" applyAlignment="1" applyProtection="1">
      <alignment horizontal="center" vertical="center" wrapText="1"/>
    </xf>
    <xf numFmtId="0" fontId="16" fillId="39" borderId="31" xfId="2" applyNumberFormat="1" applyFont="1" applyFill="1" applyBorder="1" applyAlignment="1" applyProtection="1">
      <alignment horizontal="center" vertical="center" wrapText="1"/>
    </xf>
    <xf numFmtId="0" fontId="16" fillId="0" borderId="31" xfId="2" applyFont="1" applyFill="1" applyBorder="1" applyAlignment="1" applyProtection="1">
      <alignment horizontal="center" vertical="center" wrapText="1"/>
    </xf>
    <xf numFmtId="0" fontId="16" fillId="29" borderId="31" xfId="2" applyFont="1" applyFill="1" applyBorder="1" applyAlignment="1" applyProtection="1">
      <alignment horizontal="center" vertical="center" wrapText="1"/>
    </xf>
    <xf numFmtId="0" fontId="93" fillId="29" borderId="2" xfId="2" applyFont="1" applyFill="1" applyBorder="1" applyAlignment="1" applyProtection="1">
      <alignment horizontal="center" vertical="center" wrapText="1"/>
    </xf>
    <xf numFmtId="0" fontId="93" fillId="29" borderId="54" xfId="2" applyFont="1" applyFill="1" applyBorder="1" applyAlignment="1" applyProtection="1">
      <alignment horizontal="center" vertical="center" wrapText="1"/>
    </xf>
    <xf numFmtId="0" fontId="93" fillId="33" borderId="2" xfId="2" applyFont="1" applyFill="1" applyBorder="1" applyAlignment="1" applyProtection="1">
      <alignment horizontal="center" vertical="center" wrapText="1"/>
    </xf>
    <xf numFmtId="0" fontId="93" fillId="33" borderId="54" xfId="2" applyFont="1" applyFill="1" applyBorder="1" applyAlignment="1" applyProtection="1">
      <alignment horizontal="center" vertical="center" wrapText="1"/>
    </xf>
    <xf numFmtId="0" fontId="93" fillId="39" borderId="2" xfId="2" applyFont="1" applyFill="1" applyBorder="1" applyAlignment="1" applyProtection="1">
      <alignment horizontal="center" vertical="center" wrapText="1"/>
    </xf>
    <xf numFmtId="0" fontId="93" fillId="39" borderId="54" xfId="2" applyFont="1" applyFill="1" applyBorder="1" applyAlignment="1" applyProtection="1">
      <alignment horizontal="center" vertical="center" wrapText="1"/>
    </xf>
    <xf numFmtId="0" fontId="77" fillId="30" borderId="2" xfId="349" applyFont="1" applyFill="1" applyBorder="1" applyAlignment="1" applyProtection="1">
      <alignment horizontal="left" vertical="center" wrapText="1"/>
    </xf>
    <xf numFmtId="0" fontId="77" fillId="30" borderId="40" xfId="349" applyFont="1" applyFill="1" applyBorder="1" applyAlignment="1" applyProtection="1">
      <alignment horizontal="left" vertical="center" wrapText="1"/>
    </xf>
    <xf numFmtId="0" fontId="77" fillId="30" borderId="45" xfId="349" applyFont="1" applyFill="1" applyBorder="1" applyAlignment="1" applyProtection="1">
      <alignment horizontal="left" vertical="center" wrapText="1"/>
    </xf>
    <xf numFmtId="0" fontId="48" fillId="31" borderId="37" xfId="2" applyFont="1" applyFill="1" applyBorder="1" applyAlignment="1" applyProtection="1">
      <alignment horizontal="center" vertical="center" wrapText="1"/>
    </xf>
    <xf numFmtId="0" fontId="48" fillId="31" borderId="38" xfId="2" applyFont="1" applyFill="1" applyBorder="1" applyAlignment="1" applyProtection="1">
      <alignment horizontal="center" vertical="center" wrapText="1"/>
    </xf>
    <xf numFmtId="0" fontId="48" fillId="31" borderId="55" xfId="2" applyFont="1" applyFill="1" applyBorder="1" applyAlignment="1" applyProtection="1">
      <alignment horizontal="center" vertical="center" wrapText="1"/>
    </xf>
    <xf numFmtId="0" fontId="48" fillId="31" borderId="39" xfId="2" applyFont="1" applyFill="1" applyBorder="1" applyAlignment="1" applyProtection="1">
      <alignment horizontal="center" vertical="center" wrapText="1"/>
    </xf>
    <xf numFmtId="0" fontId="13" fillId="31" borderId="18" xfId="2" applyFont="1" applyFill="1" applyBorder="1" applyAlignment="1" applyProtection="1">
      <alignment horizontal="center" vertical="center" wrapText="1"/>
    </xf>
    <xf numFmtId="0" fontId="13" fillId="31" borderId="0" xfId="2" applyFont="1" applyFill="1" applyBorder="1" applyAlignment="1" applyProtection="1">
      <alignment horizontal="center" vertical="center" wrapText="1"/>
    </xf>
    <xf numFmtId="0" fontId="13" fillId="31" borderId="19" xfId="2" applyFont="1" applyFill="1" applyBorder="1" applyAlignment="1" applyProtection="1">
      <alignment horizontal="center" vertical="center" wrapText="1"/>
    </xf>
    <xf numFmtId="0" fontId="43" fillId="31" borderId="18" xfId="2" applyFont="1" applyFill="1" applyBorder="1" applyAlignment="1" applyProtection="1">
      <alignment horizontal="center" vertical="center" wrapText="1"/>
    </xf>
    <xf numFmtId="0" fontId="43" fillId="31" borderId="0" xfId="2" applyFont="1" applyFill="1" applyBorder="1" applyAlignment="1" applyProtection="1">
      <alignment horizontal="center" vertical="center" wrapText="1"/>
    </xf>
    <xf numFmtId="0" fontId="43" fillId="31" borderId="19" xfId="2" applyFont="1" applyFill="1" applyBorder="1" applyAlignment="1" applyProtection="1">
      <alignment horizontal="center" vertical="center" wrapText="1"/>
    </xf>
    <xf numFmtId="0" fontId="16" fillId="31" borderId="20" xfId="2" applyFont="1" applyFill="1" applyBorder="1" applyAlignment="1" applyProtection="1">
      <alignment horizontal="center" vertical="center" wrapText="1"/>
    </xf>
    <xf numFmtId="0" fontId="16" fillId="31" borderId="21" xfId="2" applyFont="1" applyFill="1" applyBorder="1" applyAlignment="1" applyProtection="1">
      <alignment horizontal="center" vertical="center" wrapText="1"/>
    </xf>
    <xf numFmtId="0" fontId="16" fillId="31" borderId="17" xfId="2" applyFont="1" applyFill="1" applyBorder="1" applyAlignment="1" applyProtection="1">
      <alignment horizontal="center" vertical="center" wrapText="1"/>
    </xf>
    <xf numFmtId="0" fontId="58" fillId="29" borderId="2" xfId="349" applyFont="1" applyFill="1" applyBorder="1" applyAlignment="1" applyProtection="1">
      <alignment horizontal="center" vertical="center" wrapText="1"/>
    </xf>
    <xf numFmtId="0" fontId="58" fillId="29" borderId="40" xfId="349" applyFont="1" applyFill="1" applyBorder="1" applyAlignment="1" applyProtection="1">
      <alignment horizontal="center" vertical="center" wrapText="1"/>
    </xf>
    <xf numFmtId="0" fontId="58" fillId="29" borderId="45" xfId="349" applyFont="1" applyFill="1" applyBorder="1" applyAlignment="1" applyProtection="1">
      <alignment horizontal="center" vertical="center" wrapText="1"/>
    </xf>
    <xf numFmtId="0" fontId="57" fillId="29" borderId="68" xfId="349" applyFont="1" applyFill="1" applyBorder="1" applyAlignment="1" applyProtection="1">
      <alignment horizontal="center" vertical="center"/>
    </xf>
    <xf numFmtId="0" fontId="57" fillId="29" borderId="69" xfId="349" applyFont="1" applyFill="1" applyBorder="1" applyAlignment="1" applyProtection="1">
      <alignment horizontal="center" vertical="center"/>
    </xf>
    <xf numFmtId="0" fontId="57" fillId="29" borderId="70" xfId="349" applyFont="1" applyFill="1" applyBorder="1" applyAlignment="1" applyProtection="1">
      <alignment horizontal="center" vertical="center"/>
    </xf>
    <xf numFmtId="0" fontId="57" fillId="29" borderId="59" xfId="349" applyFont="1" applyFill="1" applyBorder="1" applyAlignment="1" applyProtection="1">
      <alignment horizontal="center" vertical="center" wrapText="1"/>
    </xf>
    <xf numFmtId="0" fontId="57" fillId="29" borderId="60" xfId="349" applyFont="1" applyFill="1" applyBorder="1" applyAlignment="1" applyProtection="1">
      <alignment horizontal="center" vertical="center" wrapText="1"/>
    </xf>
    <xf numFmtId="0" fontId="57" fillId="29" borderId="81" xfId="349" applyFont="1" applyFill="1" applyBorder="1" applyAlignment="1" applyProtection="1">
      <alignment horizontal="center" vertical="center"/>
    </xf>
    <xf numFmtId="0" fontId="57" fillId="29" borderId="62" xfId="349" applyFont="1" applyFill="1" applyBorder="1" applyAlignment="1" applyProtection="1">
      <alignment horizontal="center" vertical="center"/>
    </xf>
    <xf numFmtId="0" fontId="57" fillId="29" borderId="31" xfId="349" applyFont="1" applyFill="1" applyBorder="1" applyAlignment="1" applyProtection="1">
      <alignment horizontal="center" vertical="center"/>
    </xf>
    <xf numFmtId="0" fontId="59" fillId="38" borderId="31" xfId="349" applyFont="1" applyFill="1" applyBorder="1" applyAlignment="1" applyProtection="1">
      <alignment horizontal="justify" vertical="center" wrapText="1"/>
      <protection locked="0"/>
    </xf>
    <xf numFmtId="0" fontId="58" fillId="29" borderId="31" xfId="349" applyFont="1" applyFill="1" applyBorder="1" applyAlignment="1" applyProtection="1">
      <alignment horizontal="center" vertical="center" wrapText="1"/>
    </xf>
    <xf numFmtId="0" fontId="57" fillId="29" borderId="80" xfId="349" applyFont="1" applyFill="1" applyBorder="1" applyAlignment="1" applyProtection="1">
      <alignment horizontal="center" vertical="center" wrapText="1"/>
    </xf>
    <xf numFmtId="0" fontId="57" fillId="29" borderId="63" xfId="349" applyFont="1" applyFill="1" applyBorder="1" applyAlignment="1" applyProtection="1">
      <alignment horizontal="center" vertical="center" wrapText="1"/>
    </xf>
    <xf numFmtId="0" fontId="58" fillId="30" borderId="55" xfId="349" applyFont="1" applyFill="1" applyBorder="1" applyAlignment="1" applyProtection="1">
      <alignment horizontal="left" vertical="center"/>
    </xf>
    <xf numFmtId="0" fontId="58" fillId="30" borderId="72" xfId="349" applyFont="1" applyFill="1" applyBorder="1" applyAlignment="1" applyProtection="1">
      <alignment horizontal="left" vertical="center"/>
    </xf>
    <xf numFmtId="0" fontId="58" fillId="33" borderId="66" xfId="349" applyFont="1" applyFill="1" applyBorder="1" applyAlignment="1" applyProtection="1">
      <alignment horizontal="center" vertical="center" wrapText="1"/>
    </xf>
    <xf numFmtId="0" fontId="58" fillId="33" borderId="67" xfId="349" applyFont="1" applyFill="1" applyBorder="1" applyAlignment="1" applyProtection="1">
      <alignment horizontal="center" vertical="center" wrapText="1"/>
    </xf>
    <xf numFmtId="0" fontId="57" fillId="29" borderId="81" xfId="349" applyFont="1" applyFill="1" applyBorder="1" applyAlignment="1" applyProtection="1">
      <alignment horizontal="center"/>
    </xf>
    <xf numFmtId="0" fontId="57" fillId="29" borderId="65" xfId="349" applyFont="1" applyFill="1" applyBorder="1" applyAlignment="1" applyProtection="1">
      <alignment horizontal="center"/>
    </xf>
    <xf numFmtId="0" fontId="57" fillId="29" borderId="62" xfId="349" applyFont="1" applyFill="1" applyBorder="1" applyAlignment="1" applyProtection="1">
      <alignment horizontal="center"/>
    </xf>
    <xf numFmtId="0" fontId="58" fillId="30" borderId="74" xfId="349" applyFont="1" applyFill="1" applyBorder="1" applyAlignment="1" applyProtection="1">
      <alignment horizontal="left" vertical="center"/>
    </xf>
    <xf numFmtId="0" fontId="58" fillId="30" borderId="75" xfId="349" applyFont="1" applyFill="1" applyBorder="1" applyAlignment="1" applyProtection="1">
      <alignment horizontal="left" vertical="center"/>
    </xf>
    <xf numFmtId="1" fontId="43" fillId="29" borderId="31" xfId="0" applyNumberFormat="1" applyFont="1" applyFill="1" applyBorder="1" applyAlignment="1" applyProtection="1">
      <alignment horizontal="center" vertical="center"/>
    </xf>
    <xf numFmtId="193" fontId="12" fillId="33" borderId="2" xfId="0" applyNumberFormat="1" applyFont="1" applyFill="1" applyBorder="1" applyAlignment="1" applyProtection="1">
      <alignment horizontal="center" vertical="center"/>
    </xf>
    <xf numFmtId="193" fontId="12" fillId="33" borderId="54" xfId="0" applyNumberFormat="1" applyFont="1" applyFill="1" applyBorder="1" applyAlignment="1" applyProtection="1">
      <alignment horizontal="center" vertical="center"/>
    </xf>
    <xf numFmtId="193" fontId="12" fillId="33" borderId="31" xfId="0" applyNumberFormat="1" applyFont="1" applyFill="1" applyBorder="1" applyAlignment="1" applyProtection="1">
      <alignment horizontal="center" vertical="center"/>
    </xf>
    <xf numFmtId="0" fontId="12" fillId="33" borderId="31" xfId="0" applyFont="1" applyFill="1" applyBorder="1" applyAlignment="1" applyProtection="1">
      <alignment horizontal="center" vertical="center"/>
    </xf>
    <xf numFmtId="0" fontId="43" fillId="29" borderId="31" xfId="0" applyFont="1" applyFill="1" applyBorder="1" applyAlignment="1" applyProtection="1">
      <alignment horizontal="center" vertical="center" wrapText="1"/>
    </xf>
    <xf numFmtId="0" fontId="96" fillId="31" borderId="20" xfId="2" applyFont="1" applyFill="1" applyBorder="1" applyAlignment="1" applyProtection="1">
      <alignment horizontal="left" vertical="center" wrapText="1"/>
    </xf>
    <xf numFmtId="0" fontId="96" fillId="31" borderId="21" xfId="2" applyFont="1" applyFill="1" applyBorder="1" applyAlignment="1" applyProtection="1">
      <alignment horizontal="left" vertical="center" wrapText="1"/>
    </xf>
    <xf numFmtId="0" fontId="43" fillId="29" borderId="31" xfId="0" applyFont="1" applyFill="1" applyBorder="1" applyAlignment="1" applyProtection="1">
      <alignment horizontal="center" vertical="center"/>
    </xf>
    <xf numFmtId="0" fontId="43" fillId="0" borderId="21" xfId="0" applyFont="1" applyBorder="1" applyAlignment="1" applyProtection="1">
      <alignment horizontal="center"/>
    </xf>
    <xf numFmtId="0" fontId="43" fillId="0" borderId="0" xfId="0" applyFont="1" applyBorder="1" applyAlignment="1" applyProtection="1">
      <alignment horizontal="center"/>
    </xf>
    <xf numFmtId="0" fontId="48" fillId="29" borderId="53" xfId="0" applyFont="1" applyFill="1" applyBorder="1" applyAlignment="1" applyProtection="1">
      <alignment horizontal="center" vertical="center"/>
    </xf>
    <xf numFmtId="0" fontId="48" fillId="29" borderId="55" xfId="0" applyFont="1" applyFill="1" applyBorder="1" applyAlignment="1" applyProtection="1">
      <alignment horizontal="center" vertical="center"/>
    </xf>
    <xf numFmtId="0" fontId="48" fillId="29" borderId="56" xfId="0" applyFont="1" applyFill="1" applyBorder="1" applyAlignment="1" applyProtection="1">
      <alignment horizontal="center" vertical="center"/>
    </xf>
    <xf numFmtId="0" fontId="48" fillId="29" borderId="20" xfId="0" applyFont="1" applyFill="1" applyBorder="1" applyAlignment="1" applyProtection="1">
      <alignment horizontal="center" vertical="center"/>
    </xf>
    <xf numFmtId="0" fontId="48" fillId="29" borderId="21" xfId="0" applyFont="1" applyFill="1" applyBorder="1" applyAlignment="1" applyProtection="1">
      <alignment horizontal="center" vertical="center"/>
    </xf>
    <xf numFmtId="0" fontId="48" fillId="29" borderId="17" xfId="0" applyFont="1" applyFill="1" applyBorder="1" applyAlignment="1" applyProtection="1">
      <alignment horizontal="center" vertical="center"/>
    </xf>
    <xf numFmtId="0" fontId="14" fillId="29" borderId="31" xfId="0" applyFont="1" applyFill="1" applyBorder="1" applyAlignment="1" applyProtection="1">
      <alignment horizontal="center" vertical="center"/>
    </xf>
    <xf numFmtId="193" fontId="14" fillId="33" borderId="31" xfId="0" applyNumberFormat="1" applyFont="1" applyFill="1" applyBorder="1" applyAlignment="1" applyProtection="1">
      <alignment horizontal="center" vertical="center"/>
    </xf>
    <xf numFmtId="0" fontId="14" fillId="33" borderId="31" xfId="0" applyFont="1" applyFill="1" applyBorder="1" applyAlignment="1" applyProtection="1">
      <alignment horizontal="center" vertical="center"/>
    </xf>
    <xf numFmtId="0" fontId="16" fillId="29" borderId="31" xfId="0" applyFont="1" applyFill="1" applyBorder="1" applyAlignment="1" applyProtection="1">
      <alignment horizontal="center" vertical="center"/>
    </xf>
    <xf numFmtId="3" fontId="107" fillId="46" borderId="148" xfId="0" applyNumberFormat="1" applyFont="1" applyFill="1" applyBorder="1" applyAlignment="1" applyProtection="1">
      <alignment horizontal="center" vertical="center" wrapText="1"/>
    </xf>
    <xf numFmtId="3" fontId="107" fillId="46" borderId="54" xfId="0" applyNumberFormat="1" applyFont="1" applyFill="1" applyBorder="1" applyAlignment="1" applyProtection="1">
      <alignment horizontal="center" vertical="center" wrapText="1"/>
    </xf>
    <xf numFmtId="0" fontId="67" fillId="38" borderId="82" xfId="0" applyFont="1" applyFill="1" applyBorder="1" applyAlignment="1">
      <alignment horizontal="center" vertical="center" wrapText="1"/>
    </xf>
    <xf numFmtId="0" fontId="67" fillId="38" borderId="22" xfId="0" applyFont="1" applyFill="1" applyBorder="1" applyAlignment="1">
      <alignment horizontal="center" vertical="center" wrapText="1"/>
    </xf>
    <xf numFmtId="0" fontId="67" fillId="38" borderId="23" xfId="0" applyFont="1" applyFill="1" applyBorder="1" applyAlignment="1">
      <alignment horizontal="center" vertical="center" wrapText="1"/>
    </xf>
    <xf numFmtId="0" fontId="67" fillId="38" borderId="24" xfId="0" applyFont="1" applyFill="1" applyBorder="1" applyAlignment="1">
      <alignment horizontal="center" vertical="center" wrapText="1"/>
    </xf>
    <xf numFmtId="0" fontId="67" fillId="38" borderId="126" xfId="0" applyFont="1" applyFill="1" applyBorder="1" applyAlignment="1">
      <alignment horizontal="center" vertical="center" wrapText="1"/>
    </xf>
    <xf numFmtId="0" fontId="67" fillId="38" borderId="103" xfId="0" applyFont="1" applyFill="1" applyBorder="1" applyAlignment="1">
      <alignment horizontal="center" vertical="center" wrapText="1"/>
    </xf>
    <xf numFmtId="0" fontId="69" fillId="31" borderId="96" xfId="0" applyFont="1" applyFill="1" applyBorder="1" applyAlignment="1">
      <alignment horizontal="center" vertical="center"/>
    </xf>
    <xf numFmtId="0" fontId="69" fillId="31" borderId="110" xfId="0" applyFont="1" applyFill="1" applyBorder="1" applyAlignment="1">
      <alignment horizontal="center" vertical="center"/>
    </xf>
    <xf numFmtId="0" fontId="89" fillId="31" borderId="94" xfId="0" quotePrefix="1" applyFont="1" applyFill="1" applyBorder="1" applyAlignment="1" applyProtection="1">
      <alignment horizontal="center" vertical="center" wrapText="1"/>
    </xf>
    <xf numFmtId="0" fontId="89" fillId="31" borderId="79" xfId="0" quotePrefix="1" applyFont="1" applyFill="1" applyBorder="1" applyAlignment="1" applyProtection="1">
      <alignment horizontal="center" vertical="center" wrapText="1"/>
    </xf>
    <xf numFmtId="0" fontId="89" fillId="31" borderId="95" xfId="0" quotePrefix="1" applyFont="1" applyFill="1" applyBorder="1" applyAlignment="1" applyProtection="1">
      <alignment horizontal="center" vertical="center" wrapText="1"/>
    </xf>
    <xf numFmtId="0" fontId="89" fillId="31" borderId="82" xfId="0" applyFont="1" applyFill="1" applyBorder="1" applyAlignment="1" applyProtection="1">
      <alignment horizontal="center" vertical="center" wrapText="1"/>
    </xf>
    <xf numFmtId="0" fontId="89" fillId="31" borderId="25" xfId="0" applyFont="1" applyFill="1" applyBorder="1" applyAlignment="1" applyProtection="1">
      <alignment horizontal="center" vertical="center" wrapText="1"/>
    </xf>
    <xf numFmtId="0" fontId="89" fillId="31" borderId="22" xfId="0" applyFont="1" applyFill="1" applyBorder="1" applyAlignment="1" applyProtection="1">
      <alignment horizontal="center" vertical="center" wrapText="1"/>
    </xf>
    <xf numFmtId="0" fontId="89" fillId="31" borderId="23" xfId="0" applyFont="1" applyFill="1" applyBorder="1" applyAlignment="1" applyProtection="1">
      <alignment horizontal="center" vertical="center" wrapText="1"/>
    </xf>
    <xf numFmtId="0" fontId="89" fillId="31" borderId="0" xfId="0" applyFont="1" applyFill="1" applyBorder="1" applyAlignment="1" applyProtection="1">
      <alignment horizontal="center" vertical="center" wrapText="1"/>
    </xf>
    <xf numFmtId="0" fontId="89" fillId="31" borderId="24" xfId="0" applyFont="1" applyFill="1" applyBorder="1" applyAlignment="1" applyProtection="1">
      <alignment horizontal="center" vertical="center" wrapText="1"/>
    </xf>
    <xf numFmtId="0" fontId="89" fillId="31" borderId="126" xfId="0" applyFont="1" applyFill="1" applyBorder="1" applyAlignment="1" applyProtection="1">
      <alignment horizontal="center" vertical="center" wrapText="1"/>
    </xf>
    <xf numFmtId="0" fontId="89" fillId="31" borderId="26" xfId="0" applyFont="1" applyFill="1" applyBorder="1" applyAlignment="1" applyProtection="1">
      <alignment horizontal="center" vertical="center" wrapText="1"/>
    </xf>
    <xf numFmtId="0" fontId="89" fillId="31" borderId="103" xfId="0" applyFont="1" applyFill="1" applyBorder="1" applyAlignment="1" applyProtection="1">
      <alignment horizontal="center" vertical="center" wrapText="1"/>
    </xf>
    <xf numFmtId="0" fontId="68" fillId="31" borderId="85" xfId="0" applyFont="1" applyFill="1" applyBorder="1" applyAlignment="1" applyProtection="1">
      <alignment horizontal="center" vertical="center" wrapText="1"/>
    </xf>
    <xf numFmtId="0" fontId="68" fillId="31" borderId="111" xfId="0" applyFont="1" applyFill="1" applyBorder="1" applyAlignment="1" applyProtection="1">
      <alignment horizontal="center" vertical="center" wrapText="1"/>
    </xf>
    <xf numFmtId="0" fontId="68" fillId="31" borderId="82" xfId="0" applyFont="1" applyFill="1" applyBorder="1" applyAlignment="1" applyProtection="1">
      <alignment horizontal="center" vertical="center" wrapText="1"/>
    </xf>
    <xf numFmtId="0" fontId="68" fillId="31" borderId="25" xfId="0" applyFont="1" applyFill="1" applyBorder="1" applyAlignment="1" applyProtection="1">
      <alignment horizontal="center" vertical="center" wrapText="1"/>
    </xf>
    <xf numFmtId="0" fontId="68" fillId="31" borderId="22" xfId="0" applyFont="1" applyFill="1" applyBorder="1" applyAlignment="1" applyProtection="1">
      <alignment horizontal="center" vertical="center" wrapText="1"/>
    </xf>
    <xf numFmtId="0" fontId="68" fillId="31" borderId="126" xfId="0" applyFont="1" applyFill="1" applyBorder="1" applyAlignment="1" applyProtection="1">
      <alignment horizontal="center" vertical="center" wrapText="1"/>
    </xf>
    <xf numFmtId="0" fontId="68" fillId="31" borderId="26" xfId="0" applyFont="1" applyFill="1" applyBorder="1" applyAlignment="1" applyProtection="1">
      <alignment horizontal="center" vertical="center" wrapText="1"/>
    </xf>
    <xf numFmtId="0" fontId="68" fillId="31" borderId="103" xfId="0" applyFont="1" applyFill="1" applyBorder="1" applyAlignment="1" applyProtection="1">
      <alignment horizontal="center" vertical="center" wrapText="1"/>
    </xf>
    <xf numFmtId="0" fontId="105" fillId="36" borderId="98" xfId="0" applyFont="1" applyFill="1" applyBorder="1" applyAlignment="1" applyProtection="1">
      <alignment horizontal="left" vertical="center"/>
    </xf>
    <xf numFmtId="0" fontId="105" fillId="36" borderId="97" xfId="0" applyFont="1" applyFill="1" applyBorder="1" applyAlignment="1" applyProtection="1">
      <alignment horizontal="left" vertical="center"/>
    </xf>
    <xf numFmtId="10" fontId="43" fillId="30" borderId="85" xfId="343" applyNumberFormat="1" applyFont="1" applyFill="1" applyBorder="1" applyAlignment="1">
      <alignment horizontal="center" vertical="center"/>
    </xf>
    <xf numFmtId="10" fontId="43" fillId="30" borderId="109" xfId="343" applyNumberFormat="1" applyFont="1" applyFill="1" applyBorder="1" applyAlignment="1">
      <alignment horizontal="center" vertical="center"/>
    </xf>
    <xf numFmtId="10" fontId="43" fillId="30" borderId="111" xfId="343" applyNumberFormat="1" applyFont="1" applyFill="1" applyBorder="1" applyAlignment="1">
      <alignment horizontal="center" vertical="center"/>
    </xf>
    <xf numFmtId="0" fontId="67" fillId="0" borderId="82" xfId="0" applyFont="1" applyFill="1" applyBorder="1" applyAlignment="1">
      <alignment horizontal="center" vertical="center" wrapText="1"/>
    </xf>
    <xf numFmtId="0" fontId="67" fillId="0" borderId="22" xfId="0" applyFont="1" applyFill="1" applyBorder="1" applyAlignment="1">
      <alignment horizontal="center" vertical="center" wrapText="1"/>
    </xf>
    <xf numFmtId="0" fontId="67" fillId="0" borderId="23" xfId="0" applyFont="1" applyFill="1" applyBorder="1" applyAlignment="1">
      <alignment horizontal="center" vertical="center" wrapText="1"/>
    </xf>
    <xf numFmtId="0" fontId="67" fillId="0" borderId="24" xfId="0" applyFont="1" applyFill="1" applyBorder="1" applyAlignment="1">
      <alignment horizontal="center" vertical="center" wrapText="1"/>
    </xf>
    <xf numFmtId="0" fontId="67" fillId="0" borderId="126" xfId="0" applyFont="1" applyFill="1" applyBorder="1" applyAlignment="1">
      <alignment horizontal="center" vertical="center" wrapText="1"/>
    </xf>
    <xf numFmtId="0" fontId="67" fillId="0" borderId="103" xfId="0" applyFont="1" applyFill="1" applyBorder="1" applyAlignment="1">
      <alignment horizontal="center" vertical="center" wrapText="1"/>
    </xf>
    <xf numFmtId="0" fontId="107" fillId="31" borderId="96" xfId="0" applyFont="1" applyFill="1" applyBorder="1" applyAlignment="1">
      <alignment horizontal="center" vertical="center"/>
    </xf>
    <xf numFmtId="0" fontId="107" fillId="31" borderId="110" xfId="0" applyFont="1" applyFill="1" applyBorder="1" applyAlignment="1">
      <alignment horizontal="center" vertical="center"/>
    </xf>
    <xf numFmtId="0" fontId="119" fillId="31" borderId="132" xfId="0" applyFont="1" applyFill="1" applyBorder="1" applyAlignment="1">
      <alignment horizontal="center" vertical="center" wrapText="1"/>
    </xf>
    <xf numFmtId="0" fontId="119" fillId="31" borderId="98" xfId="0" applyFont="1" applyFill="1" applyBorder="1" applyAlignment="1">
      <alignment horizontal="center" vertical="center" wrapText="1"/>
    </xf>
    <xf numFmtId="0" fontId="119" fillId="31" borderId="133" xfId="0" applyFont="1" applyFill="1" applyBorder="1" applyAlignment="1">
      <alignment horizontal="center" vertical="center" wrapText="1"/>
    </xf>
    <xf numFmtId="0" fontId="118" fillId="38" borderId="82" xfId="0" applyFont="1" applyFill="1" applyBorder="1" applyAlignment="1">
      <alignment horizontal="center" vertical="center" wrapText="1"/>
    </xf>
    <xf numFmtId="0" fontId="118" fillId="38" borderId="22" xfId="0" applyFont="1" applyFill="1" applyBorder="1" applyAlignment="1">
      <alignment horizontal="center" vertical="center" wrapText="1"/>
    </xf>
    <xf numFmtId="0" fontId="118" fillId="38" borderId="23" xfId="0" applyFont="1" applyFill="1" applyBorder="1" applyAlignment="1">
      <alignment horizontal="center" vertical="center" wrapText="1"/>
    </xf>
    <xf numFmtId="0" fontId="118" fillId="38" borderId="24" xfId="0" applyFont="1" applyFill="1" applyBorder="1" applyAlignment="1">
      <alignment horizontal="center" vertical="center" wrapText="1"/>
    </xf>
    <xf numFmtId="0" fontId="118" fillId="38" borderId="126" xfId="0" applyFont="1" applyFill="1" applyBorder="1" applyAlignment="1">
      <alignment horizontal="center" vertical="center" wrapText="1"/>
    </xf>
    <xf numFmtId="0" fontId="118" fillId="38" borderId="103" xfId="0" applyFont="1" applyFill="1" applyBorder="1" applyAlignment="1">
      <alignment horizontal="center" vertical="center" wrapText="1"/>
    </xf>
    <xf numFmtId="0" fontId="90" fillId="0" borderId="26" xfId="104" applyFont="1" applyBorder="1" applyAlignment="1" applyProtection="1">
      <alignment horizontal="center"/>
    </xf>
    <xf numFmtId="0" fontId="69" fillId="30" borderId="86" xfId="0" applyFont="1" applyFill="1" applyBorder="1" applyAlignment="1">
      <alignment horizontal="center" vertical="center"/>
    </xf>
    <xf numFmtId="0" fontId="69" fillId="30" borderId="87" xfId="0" applyFont="1" applyFill="1" applyBorder="1" applyAlignment="1">
      <alignment horizontal="center" vertical="center"/>
    </xf>
    <xf numFmtId="0" fontId="69" fillId="30" borderId="27" xfId="0" applyFont="1" applyFill="1" applyBorder="1" applyAlignment="1">
      <alignment horizontal="center" vertical="center"/>
    </xf>
    <xf numFmtId="0" fontId="69" fillId="30" borderId="28" xfId="0" applyFont="1" applyFill="1" applyBorder="1" applyAlignment="1">
      <alignment horizontal="center" vertical="center"/>
    </xf>
    <xf numFmtId="0" fontId="119" fillId="30" borderId="140" xfId="0" applyFont="1" applyFill="1" applyBorder="1" applyAlignment="1">
      <alignment horizontal="center" vertical="center" wrapText="1"/>
    </xf>
    <xf numFmtId="0" fontId="119" fillId="30" borderId="141" xfId="0" applyFont="1" applyFill="1" applyBorder="1" applyAlignment="1">
      <alignment horizontal="center" vertical="center" wrapText="1"/>
    </xf>
    <xf numFmtId="0" fontId="119" fillId="30" borderId="142" xfId="0" applyFont="1" applyFill="1" applyBorder="1" applyAlignment="1">
      <alignment horizontal="center" vertical="center" wrapText="1"/>
    </xf>
    <xf numFmtId="10" fontId="43" fillId="30" borderId="82" xfId="343" applyNumberFormat="1" applyFont="1" applyFill="1" applyBorder="1" applyAlignment="1">
      <alignment horizontal="center" vertical="center"/>
    </xf>
    <xf numFmtId="10" fontId="43" fillId="30" borderId="23" xfId="343" applyNumberFormat="1" applyFont="1" applyFill="1" applyBorder="1" applyAlignment="1">
      <alignment horizontal="center" vertical="center"/>
    </xf>
    <xf numFmtId="10" fontId="43" fillId="30" borderId="126" xfId="343" applyNumberFormat="1" applyFont="1" applyFill="1" applyBorder="1" applyAlignment="1">
      <alignment horizontal="center" vertical="center"/>
    </xf>
    <xf numFmtId="0" fontId="69" fillId="31" borderId="89" xfId="0" applyFont="1" applyFill="1" applyBorder="1" applyAlignment="1">
      <alignment horizontal="center" vertical="center"/>
    </xf>
    <xf numFmtId="0" fontId="69" fillId="31" borderId="90" xfId="0" applyFont="1" applyFill="1" applyBorder="1" applyAlignment="1">
      <alignment horizontal="center" vertical="center"/>
    </xf>
    <xf numFmtId="0" fontId="68" fillId="28" borderId="83" xfId="0" applyFont="1" applyFill="1" applyBorder="1" applyAlignment="1">
      <alignment horizontal="center" vertical="center"/>
    </xf>
    <xf numFmtId="0" fontId="68" fillId="28" borderId="92" xfId="0" applyFont="1" applyFill="1" applyBorder="1" applyAlignment="1">
      <alignment horizontal="center" vertical="center"/>
    </xf>
    <xf numFmtId="0" fontId="119" fillId="31" borderId="94" xfId="0" quotePrefix="1" applyFont="1" applyFill="1" applyBorder="1" applyAlignment="1" applyProtection="1">
      <alignment horizontal="center" vertical="center" wrapText="1"/>
    </xf>
    <xf numFmtId="0" fontId="119" fillId="31" borderId="79" xfId="0" quotePrefix="1" applyFont="1" applyFill="1" applyBorder="1" applyAlignment="1" applyProtection="1">
      <alignment horizontal="center" vertical="center" wrapText="1"/>
    </xf>
    <xf numFmtId="0" fontId="119" fillId="31" borderId="95" xfId="0" quotePrefix="1" applyFont="1" applyFill="1" applyBorder="1" applyAlignment="1" applyProtection="1">
      <alignment horizontal="center" vertical="center" wrapText="1"/>
    </xf>
    <xf numFmtId="0" fontId="119" fillId="31" borderId="82" xfId="0" applyFont="1" applyFill="1" applyBorder="1" applyAlignment="1" applyProtection="1">
      <alignment horizontal="center" vertical="center" wrapText="1"/>
    </xf>
    <xf numFmtId="0" fontId="119" fillId="31" borderId="25" xfId="0" applyFont="1" applyFill="1" applyBorder="1" applyAlignment="1" applyProtection="1">
      <alignment horizontal="center" vertical="center" wrapText="1"/>
    </xf>
    <xf numFmtId="0" fontId="119" fillId="31" borderId="22" xfId="0" applyFont="1" applyFill="1" applyBorder="1" applyAlignment="1" applyProtection="1">
      <alignment horizontal="center" vertical="center" wrapText="1"/>
    </xf>
    <xf numFmtId="0" fontId="119" fillId="31" borderId="23" xfId="0" applyFont="1" applyFill="1" applyBorder="1" applyAlignment="1" applyProtection="1">
      <alignment horizontal="center" vertical="center" wrapText="1"/>
    </xf>
    <xf numFmtId="0" fontId="119" fillId="31" borderId="0" xfId="0" applyFont="1" applyFill="1" applyBorder="1" applyAlignment="1" applyProtection="1">
      <alignment horizontal="center" vertical="center" wrapText="1"/>
    </xf>
    <xf numFmtId="0" fontId="119" fillId="31" borderId="24" xfId="0" applyFont="1" applyFill="1" applyBorder="1" applyAlignment="1" applyProtection="1">
      <alignment horizontal="center" vertical="center" wrapText="1"/>
    </xf>
    <xf numFmtId="0" fontId="119" fillId="31" borderId="126" xfId="0" applyFont="1" applyFill="1" applyBorder="1" applyAlignment="1" applyProtection="1">
      <alignment horizontal="center" vertical="center" wrapText="1"/>
    </xf>
    <xf numFmtId="0" fontId="119" fillId="31" borderId="26" xfId="0" applyFont="1" applyFill="1" applyBorder="1" applyAlignment="1" applyProtection="1">
      <alignment horizontal="center" vertical="center" wrapText="1"/>
    </xf>
    <xf numFmtId="0" fontId="119" fillId="31" borderId="103" xfId="0" applyFont="1" applyFill="1" applyBorder="1" applyAlignment="1" applyProtection="1">
      <alignment horizontal="center" vertical="center" wrapText="1"/>
    </xf>
    <xf numFmtId="0" fontId="119" fillId="31" borderId="85" xfId="0" applyFont="1" applyFill="1" applyBorder="1" applyAlignment="1" applyProtection="1">
      <alignment horizontal="center" vertical="center" wrapText="1"/>
    </xf>
    <xf numFmtId="0" fontId="119" fillId="31" borderId="111" xfId="0" applyFont="1" applyFill="1" applyBorder="1" applyAlignment="1" applyProtection="1">
      <alignment horizontal="center" vertical="center" wrapText="1"/>
    </xf>
    <xf numFmtId="0" fontId="121" fillId="36" borderId="132" xfId="0" applyFont="1" applyFill="1" applyBorder="1" applyAlignment="1" applyProtection="1">
      <alignment horizontal="left" vertical="center" wrapText="1"/>
    </xf>
    <xf numFmtId="0" fontId="121" fillId="36" borderId="98" xfId="0" applyFont="1" applyFill="1" applyBorder="1" applyAlignment="1" applyProtection="1">
      <alignment horizontal="left" vertical="center" wrapText="1"/>
    </xf>
    <xf numFmtId="0" fontId="121" fillId="36" borderId="97" xfId="0" applyFont="1" applyFill="1" applyBorder="1" applyAlignment="1" applyProtection="1">
      <alignment horizontal="left" vertical="center" wrapText="1"/>
    </xf>
    <xf numFmtId="0" fontId="119" fillId="30" borderId="143" xfId="0" applyFont="1" applyFill="1" applyBorder="1" applyAlignment="1">
      <alignment horizontal="center" vertical="center" wrapText="1"/>
    </xf>
    <xf numFmtId="0" fontId="119" fillId="30" borderId="144" xfId="0" applyFont="1" applyFill="1" applyBorder="1" applyAlignment="1">
      <alignment horizontal="center" vertical="center" wrapText="1"/>
    </xf>
    <xf numFmtId="0" fontId="119" fillId="30" borderId="145" xfId="0" applyFont="1" applyFill="1" applyBorder="1" applyAlignment="1">
      <alignment horizontal="center" vertical="center" wrapText="1"/>
    </xf>
    <xf numFmtId="0" fontId="119" fillId="31" borderId="137" xfId="0" applyFont="1" applyFill="1" applyBorder="1" applyAlignment="1">
      <alignment horizontal="center" vertical="center" wrapText="1"/>
    </xf>
    <xf numFmtId="0" fontId="119" fillId="31" borderId="138" xfId="0" applyFont="1" applyFill="1" applyBorder="1" applyAlignment="1">
      <alignment horizontal="center" vertical="center" wrapText="1"/>
    </xf>
    <xf numFmtId="0" fontId="119" fillId="31" borderId="139" xfId="0" applyFont="1" applyFill="1" applyBorder="1" applyAlignment="1">
      <alignment horizontal="center" vertical="center" wrapText="1"/>
    </xf>
    <xf numFmtId="0" fontId="119" fillId="28" borderId="134" xfId="0" applyFont="1" applyFill="1" applyBorder="1" applyAlignment="1">
      <alignment horizontal="center" vertical="center" wrapText="1"/>
    </xf>
    <xf numFmtId="0" fontId="119" fillId="28" borderId="135" xfId="0" applyFont="1" applyFill="1" applyBorder="1" applyAlignment="1">
      <alignment horizontal="center" vertical="center" wrapText="1"/>
    </xf>
    <xf numFmtId="0" fontId="119" fillId="28" borderId="136" xfId="0" applyFont="1" applyFill="1" applyBorder="1" applyAlignment="1">
      <alignment horizontal="center" vertical="center" wrapText="1"/>
    </xf>
    <xf numFmtId="0" fontId="107" fillId="30" borderId="86" xfId="0" applyFont="1" applyFill="1" applyBorder="1" applyAlignment="1">
      <alignment horizontal="center" vertical="center"/>
    </xf>
    <xf numFmtId="0" fontId="107" fillId="30" borderId="87" xfId="0" applyFont="1" applyFill="1" applyBorder="1" applyAlignment="1">
      <alignment horizontal="center" vertical="center"/>
    </xf>
    <xf numFmtId="0" fontId="107" fillId="30" borderId="27" xfId="0" applyFont="1" applyFill="1" applyBorder="1" applyAlignment="1">
      <alignment horizontal="center" vertical="center"/>
    </xf>
    <xf numFmtId="0" fontId="107" fillId="30" borderId="28" xfId="0" applyFont="1" applyFill="1" applyBorder="1" applyAlignment="1">
      <alignment horizontal="center" vertical="center"/>
    </xf>
    <xf numFmtId="0" fontId="107" fillId="31" borderId="89" xfId="0" applyFont="1" applyFill="1" applyBorder="1" applyAlignment="1">
      <alignment horizontal="center" vertical="center"/>
    </xf>
    <xf numFmtId="0" fontId="107" fillId="31" borderId="90" xfId="0" applyFont="1" applyFill="1" applyBorder="1" applyAlignment="1">
      <alignment horizontal="center" vertical="center"/>
    </xf>
    <xf numFmtId="0" fontId="100" fillId="28" borderId="83" xfId="0" applyFont="1" applyFill="1" applyBorder="1" applyAlignment="1">
      <alignment horizontal="center" vertical="center"/>
    </xf>
    <xf numFmtId="0" fontId="100" fillId="28" borderId="92" xfId="0" applyFont="1" applyFill="1" applyBorder="1" applyAlignment="1">
      <alignment horizontal="center" vertical="center"/>
    </xf>
    <xf numFmtId="0" fontId="73" fillId="0" borderId="26" xfId="356" applyFont="1" applyBorder="1" applyAlignment="1">
      <alignment horizontal="center" vertical="center"/>
    </xf>
    <xf numFmtId="0" fontId="70" fillId="38" borderId="94" xfId="356" applyFont="1" applyFill="1" applyBorder="1" applyAlignment="1">
      <alignment horizontal="center" vertical="center" wrapText="1"/>
    </xf>
    <xf numFmtId="0" fontId="70" fillId="38" borderId="95" xfId="356" applyFont="1" applyFill="1" applyBorder="1" applyAlignment="1">
      <alignment horizontal="center" vertical="center" wrapText="1"/>
    </xf>
    <xf numFmtId="0" fontId="68" fillId="33" borderId="79" xfId="356" applyFont="1" applyFill="1" applyBorder="1" applyAlignment="1">
      <alignment horizontal="center" vertical="center" wrapText="1"/>
    </xf>
    <xf numFmtId="0" fontId="68" fillId="33" borderId="95" xfId="356" applyFont="1" applyFill="1" applyBorder="1" applyAlignment="1">
      <alignment horizontal="center" vertical="center" wrapText="1"/>
    </xf>
    <xf numFmtId="0" fontId="70" fillId="33" borderId="94" xfId="356" applyFont="1" applyFill="1" applyBorder="1" applyAlignment="1">
      <alignment horizontal="center" vertical="center" wrapText="1"/>
    </xf>
    <xf numFmtId="0" fontId="70" fillId="33" borderId="79" xfId="356" applyFont="1" applyFill="1" applyBorder="1" applyAlignment="1">
      <alignment horizontal="center" vertical="center" wrapText="1"/>
    </xf>
    <xf numFmtId="0" fontId="70" fillId="33" borderId="105" xfId="356" applyFont="1" applyFill="1" applyBorder="1" applyAlignment="1">
      <alignment horizontal="center" vertical="center" wrapText="1"/>
    </xf>
    <xf numFmtId="0" fontId="70" fillId="0" borderId="94" xfId="356" applyFont="1" applyFill="1" applyBorder="1" applyAlignment="1">
      <alignment horizontal="center" vertical="center" wrapText="1"/>
    </xf>
    <xf numFmtId="0" fontId="70" fillId="0" borderId="95" xfId="356" applyFont="1" applyFill="1" applyBorder="1" applyAlignment="1">
      <alignment horizontal="center" vertical="center" wrapText="1"/>
    </xf>
    <xf numFmtId="0" fontId="64" fillId="32" borderId="31" xfId="350" applyFont="1" applyFill="1" applyBorder="1" applyAlignment="1" applyProtection="1">
      <alignment horizontal="center" vertical="center" wrapText="1"/>
    </xf>
    <xf numFmtId="0" fontId="50" fillId="32" borderId="31" xfId="350" applyFont="1" applyFill="1" applyBorder="1" applyAlignment="1" applyProtection="1">
      <alignment horizontal="justify" vertical="center"/>
    </xf>
    <xf numFmtId="0" fontId="50" fillId="32" borderId="31" xfId="350" applyFont="1" applyFill="1" applyBorder="1" applyAlignment="1" applyProtection="1">
      <alignment horizontal="justify" vertical="center" wrapText="1"/>
    </xf>
    <xf numFmtId="8" fontId="12" fillId="0" borderId="31" xfId="350" applyNumberFormat="1" applyFont="1" applyFill="1" applyBorder="1" applyAlignment="1" applyProtection="1">
      <alignment horizontal="center" vertical="center"/>
      <protection locked="0"/>
    </xf>
    <xf numFmtId="8" fontId="12" fillId="0" borderId="31" xfId="421" applyNumberFormat="1" applyFont="1" applyFill="1" applyBorder="1" applyAlignment="1" applyProtection="1">
      <alignment horizontal="center" vertical="center" wrapText="1"/>
      <protection locked="0"/>
    </xf>
    <xf numFmtId="0" fontId="14" fillId="37" borderId="31" xfId="421" applyFont="1" applyFill="1" applyBorder="1" applyAlignment="1" applyProtection="1">
      <alignment horizontal="center" vertical="center"/>
      <protection locked="0"/>
    </xf>
    <xf numFmtId="6" fontId="12" fillId="0" borderId="31" xfId="350" applyNumberFormat="1" applyFont="1" applyFill="1" applyBorder="1" applyAlignment="1" applyProtection="1">
      <alignment horizontal="center" vertical="center"/>
      <protection locked="0"/>
    </xf>
    <xf numFmtId="0" fontId="51" fillId="37" borderId="31" xfId="421" applyFont="1" applyFill="1" applyBorder="1" applyAlignment="1" applyProtection="1">
      <alignment horizontal="justify" vertical="center"/>
      <protection locked="0"/>
    </xf>
    <xf numFmtId="0" fontId="50" fillId="35" borderId="31" xfId="350" applyFont="1" applyFill="1" applyBorder="1" applyAlignment="1" applyProtection="1">
      <alignment horizontal="justify" vertical="center" wrapText="1"/>
    </xf>
    <xf numFmtId="0" fontId="53" fillId="35" borderId="31" xfId="0" applyFont="1" applyFill="1" applyBorder="1" applyAlignment="1" applyProtection="1">
      <alignment horizontal="justify" vertical="center" wrapText="1"/>
    </xf>
    <xf numFmtId="0" fontId="0" fillId="0" borderId="0" xfId="0" applyAlignment="1">
      <alignment vertical="top" wrapText="1"/>
    </xf>
    <xf numFmtId="6" fontId="0" fillId="0" borderId="0" xfId="0" applyNumberFormat="1" applyAlignment="1">
      <alignment horizontal="left" wrapText="1"/>
    </xf>
    <xf numFmtId="0" fontId="144" fillId="0" borderId="0" xfId="0" applyFont="1"/>
    <xf numFmtId="0" fontId="0" fillId="0" borderId="0" xfId="0" applyFill="1" applyBorder="1" applyAlignment="1">
      <alignment vertical="top" wrapText="1"/>
    </xf>
    <xf numFmtId="6" fontId="0" fillId="0" borderId="0" xfId="0" applyNumberFormat="1" applyAlignment="1">
      <alignment horizontal="left"/>
    </xf>
    <xf numFmtId="0" fontId="0" fillId="0" borderId="0" xfId="0" applyAlignment="1">
      <alignment horizontal="left" vertical="top" wrapText="1"/>
    </xf>
    <xf numFmtId="0" fontId="142" fillId="0" borderId="0" xfId="0" applyFont="1" applyFill="1" applyBorder="1" applyAlignment="1">
      <alignment vertical="top" wrapText="1"/>
    </xf>
    <xf numFmtId="2" fontId="67" fillId="30" borderId="110" xfId="0" applyNumberFormat="1" applyFont="1" applyFill="1" applyBorder="1" applyAlignment="1" applyProtection="1">
      <alignment horizontal="center" vertical="center"/>
      <protection locked="0"/>
    </xf>
    <xf numFmtId="2" fontId="67" fillId="30" borderId="50" xfId="0" applyNumberFormat="1" applyFont="1" applyFill="1" applyBorder="1" applyAlignment="1" applyProtection="1">
      <alignment horizontal="center" vertical="center"/>
      <protection locked="0"/>
    </xf>
    <xf numFmtId="2" fontId="67" fillId="30" borderId="116" xfId="0" applyNumberFormat="1" applyFont="1" applyFill="1" applyBorder="1" applyAlignment="1" applyProtection="1">
      <alignment horizontal="center" vertical="center"/>
      <protection locked="0"/>
    </xf>
    <xf numFmtId="2" fontId="67" fillId="30" borderId="77" xfId="0" applyNumberFormat="1" applyFont="1" applyFill="1" applyBorder="1" applyAlignment="1" applyProtection="1">
      <alignment horizontal="center" vertical="center"/>
      <protection locked="0"/>
    </xf>
    <xf numFmtId="0" fontId="118" fillId="30" borderId="116" xfId="0" applyFont="1" applyFill="1" applyBorder="1" applyAlignment="1" applyProtection="1">
      <alignment horizontal="center" vertical="center" wrapText="1"/>
      <protection locked="0"/>
    </xf>
    <xf numFmtId="2" fontId="118" fillId="30" borderId="116" xfId="0" applyNumberFormat="1" applyFont="1" applyFill="1" applyBorder="1" applyAlignment="1" applyProtection="1">
      <alignment horizontal="center" vertical="center" wrapText="1"/>
      <protection locked="0"/>
    </xf>
    <xf numFmtId="0" fontId="118" fillId="30" borderId="116" xfId="359" applyFont="1" applyFill="1" applyBorder="1" applyAlignment="1">
      <alignment horizontal="justify" vertical="justify" wrapText="1"/>
    </xf>
    <xf numFmtId="0" fontId="118" fillId="45" borderId="111" xfId="0" applyFont="1" applyFill="1" applyBorder="1" applyAlignment="1">
      <alignment horizontal="justify" vertical="justify" wrapText="1"/>
    </xf>
    <xf numFmtId="0" fontId="118" fillId="30" borderId="118" xfId="359" applyFont="1" applyFill="1" applyBorder="1" applyAlignment="1">
      <alignment horizontal="justify" vertical="justify" wrapText="1"/>
    </xf>
    <xf numFmtId="0" fontId="119" fillId="30" borderId="33" xfId="362" applyFont="1" applyFill="1" applyBorder="1" applyAlignment="1">
      <alignment horizontal="justify" vertical="justify" wrapText="1"/>
    </xf>
    <xf numFmtId="0" fontId="118" fillId="30" borderId="116" xfId="362" applyFont="1" applyFill="1" applyBorder="1" applyAlignment="1">
      <alignment horizontal="justify" vertical="justify" wrapText="1"/>
    </xf>
    <xf numFmtId="0" fontId="118" fillId="30" borderId="77" xfId="359" applyFont="1" applyFill="1" applyBorder="1" applyAlignment="1">
      <alignment horizontal="justify" vertical="justify" wrapText="1"/>
    </xf>
    <xf numFmtId="2" fontId="118" fillId="30" borderId="77" xfId="0" applyNumberFormat="1" applyFont="1" applyFill="1" applyBorder="1" applyAlignment="1" applyProtection="1">
      <alignment horizontal="center" vertical="center" wrapText="1"/>
      <protection locked="0"/>
    </xf>
    <xf numFmtId="0" fontId="119" fillId="30" borderId="106" xfId="362" applyFont="1" applyFill="1" applyBorder="1" applyAlignment="1">
      <alignment horizontal="justify" vertical="justify" wrapText="1"/>
    </xf>
    <xf numFmtId="0" fontId="118" fillId="45" borderId="121" xfId="0" applyFont="1" applyFill="1" applyBorder="1" applyAlignment="1">
      <alignment horizontal="justify" vertical="justify" wrapText="1"/>
    </xf>
    <xf numFmtId="0" fontId="119" fillId="30" borderId="77" xfId="359" applyFont="1" applyFill="1" applyBorder="1" applyAlignment="1">
      <alignment horizontal="justify" vertical="justify" wrapText="1"/>
    </xf>
    <xf numFmtId="0" fontId="12" fillId="0" borderId="0" xfId="0" applyFont="1" applyAlignment="1">
      <alignment vertical="top" wrapText="1"/>
    </xf>
    <xf numFmtId="0" fontId="12" fillId="0" borderId="0" xfId="0" applyFont="1" applyFill="1" applyBorder="1" applyAlignment="1">
      <alignment vertical="top" wrapText="1"/>
    </xf>
  </cellXfs>
  <cellStyles count="434">
    <cellStyle name="%" xfId="146"/>
    <cellStyle name="%_ANEXO #7.ITEMS INSTALS. ELECTRICAS GECOLSA 2a.ETAPA." xfId="147"/>
    <cellStyle name="%_Plaza Mayor N 006 2077 DOC95_ANEXO 456" xfId="148"/>
    <cellStyle name="_Book2" xfId="149"/>
    <cellStyle name="20% - Accent1" xfId="150"/>
    <cellStyle name="20% - Accent2" xfId="151"/>
    <cellStyle name="20% - Accent3" xfId="152"/>
    <cellStyle name="20% - Accent4" xfId="153"/>
    <cellStyle name="20% - Accent5" xfId="154"/>
    <cellStyle name="20% - Accent6" xfId="155"/>
    <cellStyle name="20% - Énfasis1 2" xfId="156"/>
    <cellStyle name="20% - Énfasis1 3" xfId="157"/>
    <cellStyle name="20% - Énfasis1 4" xfId="158"/>
    <cellStyle name="20% - Énfasis2 2" xfId="159"/>
    <cellStyle name="20% - Énfasis2 3" xfId="160"/>
    <cellStyle name="20% - Énfasis2 4" xfId="161"/>
    <cellStyle name="20% - Énfasis3 2" xfId="162"/>
    <cellStyle name="20% - Énfasis3 3" xfId="163"/>
    <cellStyle name="20% - Énfasis3 4" xfId="164"/>
    <cellStyle name="20% - Énfasis4 2" xfId="165"/>
    <cellStyle name="20% - Énfasis4 3" xfId="166"/>
    <cellStyle name="20% - Énfasis4 4" xfId="167"/>
    <cellStyle name="20% - Énfasis5 2" xfId="168"/>
    <cellStyle name="20% - Énfasis5 3" xfId="169"/>
    <cellStyle name="20% - Énfasis6 2" xfId="170"/>
    <cellStyle name="20% - Énfasis6 3" xfId="171"/>
    <cellStyle name="20% - Énfasis6 4" xfId="172"/>
    <cellStyle name="40% - Accent1" xfId="173"/>
    <cellStyle name="40% - Accent2" xfId="174"/>
    <cellStyle name="40% - Accent3" xfId="175"/>
    <cellStyle name="40% - Accent4" xfId="176"/>
    <cellStyle name="40% - Accent5" xfId="177"/>
    <cellStyle name="40% - Accent6" xfId="178"/>
    <cellStyle name="40% - Énfasis1 2" xfId="179"/>
    <cellStyle name="40% - Énfasis1 3" xfId="180"/>
    <cellStyle name="40% - Énfasis1 4" xfId="181"/>
    <cellStyle name="40% - Énfasis2 2" xfId="182"/>
    <cellStyle name="40% - Énfasis2 3" xfId="183"/>
    <cellStyle name="40% - Énfasis3 2" xfId="184"/>
    <cellStyle name="40% - Énfasis3 3" xfId="185"/>
    <cellStyle name="40% - Énfasis3 4" xfId="186"/>
    <cellStyle name="40% - Énfasis4 2" xfId="187"/>
    <cellStyle name="40% - Énfasis4 3" xfId="188"/>
    <cellStyle name="40% - Énfasis4 4" xfId="189"/>
    <cellStyle name="40% - Énfasis5 2" xfId="190"/>
    <cellStyle name="40% - Énfasis5 3" xfId="191"/>
    <cellStyle name="40% - Énfasis5 4" xfId="192"/>
    <cellStyle name="40% - Énfasis6 2" xfId="193"/>
    <cellStyle name="40% - Énfasis6 3" xfId="194"/>
    <cellStyle name="40% - Énfasis6 4" xfId="195"/>
    <cellStyle name="60% - Accent1" xfId="196"/>
    <cellStyle name="60% - Accent2" xfId="197"/>
    <cellStyle name="60% - Accent3" xfId="198"/>
    <cellStyle name="60% - Accent4" xfId="199"/>
    <cellStyle name="60% - Accent5" xfId="200"/>
    <cellStyle name="60% - Accent6" xfId="201"/>
    <cellStyle name="60% - Énfasis1 2" xfId="202"/>
    <cellStyle name="60% - Énfasis1 3" xfId="203"/>
    <cellStyle name="60% - Énfasis1 4" xfId="204"/>
    <cellStyle name="60% - Énfasis2 2" xfId="205"/>
    <cellStyle name="60% - Énfasis2 3" xfId="206"/>
    <cellStyle name="60% - Énfasis2 4" xfId="207"/>
    <cellStyle name="60% - Énfasis3 2" xfId="208"/>
    <cellStyle name="60% - Énfasis3 3" xfId="209"/>
    <cellStyle name="60% - Énfasis3 4" xfId="210"/>
    <cellStyle name="60% - Énfasis4 2" xfId="211"/>
    <cellStyle name="60% - Énfasis4 3" xfId="212"/>
    <cellStyle name="60% - Énfasis4 4" xfId="213"/>
    <cellStyle name="60% - Énfasis5 2" xfId="214"/>
    <cellStyle name="60% - Énfasis5 3" xfId="215"/>
    <cellStyle name="60% - Énfasis5 4" xfId="216"/>
    <cellStyle name="60% - Énfasis6 2" xfId="217"/>
    <cellStyle name="60% - Énfasis6 3" xfId="218"/>
    <cellStyle name="60% - Énfasis6 4" xfId="219"/>
    <cellStyle name="Accent1" xfId="220"/>
    <cellStyle name="Accent2" xfId="221"/>
    <cellStyle name="Accent3" xfId="222"/>
    <cellStyle name="Accent4" xfId="223"/>
    <cellStyle name="Accent5" xfId="224"/>
    <cellStyle name="Accent6" xfId="225"/>
    <cellStyle name="ACTAS" xfId="226"/>
    <cellStyle name="Bad" xfId="227"/>
    <cellStyle name="Buena 2" xfId="228"/>
    <cellStyle name="Buena 3" xfId="229"/>
    <cellStyle name="Buena 4" xfId="230"/>
    <cellStyle name="Calculation" xfId="231"/>
    <cellStyle name="Calculation 2" xfId="397"/>
    <cellStyle name="Cálculo 2" xfId="232"/>
    <cellStyle name="Cálculo 2 2" xfId="398"/>
    <cellStyle name="Cálculo 3" xfId="233"/>
    <cellStyle name="Cálculo 3 2" xfId="399"/>
    <cellStyle name="Cálculo 4" xfId="234"/>
    <cellStyle name="Cálculo 4 2" xfId="400"/>
    <cellStyle name="Celda de comprobación 2" xfId="235"/>
    <cellStyle name="Celda de comprobación 3" xfId="236"/>
    <cellStyle name="Celda vinculada 2" xfId="237"/>
    <cellStyle name="Celda vinculada 3" xfId="238"/>
    <cellStyle name="Celda vinculada 4" xfId="239"/>
    <cellStyle name="Check Cell" xfId="240"/>
    <cellStyle name="Ecuación" xfId="241"/>
    <cellStyle name="Encabezado 4 2" xfId="242"/>
    <cellStyle name="Encabezado 4 3" xfId="243"/>
    <cellStyle name="Encabezado 4 4" xfId="244"/>
    <cellStyle name="Énfasis1 2" xfId="245"/>
    <cellStyle name="Énfasis1 3" xfId="246"/>
    <cellStyle name="Énfasis1 4" xfId="247"/>
    <cellStyle name="Énfasis2 2" xfId="248"/>
    <cellStyle name="Énfasis2 3" xfId="249"/>
    <cellStyle name="Énfasis2 4" xfId="250"/>
    <cellStyle name="Énfasis3 2" xfId="251"/>
    <cellStyle name="Énfasis3 3" xfId="252"/>
    <cellStyle name="Énfasis3 4" xfId="253"/>
    <cellStyle name="Énfasis4 2" xfId="254"/>
    <cellStyle name="Énfasis4 3" xfId="255"/>
    <cellStyle name="Énfasis4 4" xfId="256"/>
    <cellStyle name="Énfasis5 2" xfId="257"/>
    <cellStyle name="Énfasis5 3" xfId="258"/>
    <cellStyle name="Énfasis6 2" xfId="259"/>
    <cellStyle name="Énfasis6 3" xfId="260"/>
    <cellStyle name="Énfasis6 4" xfId="261"/>
    <cellStyle name="Entrada 2" xfId="262"/>
    <cellStyle name="Entrada 2 2" xfId="401"/>
    <cellStyle name="Entrada 3" xfId="263"/>
    <cellStyle name="Entrada 3 2" xfId="402"/>
    <cellStyle name="Entrada 4" xfId="264"/>
    <cellStyle name="Entrada 4 2" xfId="403"/>
    <cellStyle name="Estilo 1" xfId="265"/>
    <cellStyle name="Estilo 1 2" xfId="404"/>
    <cellStyle name="Euro" xfId="4"/>
    <cellStyle name="Explanatory Text" xfId="266"/>
    <cellStyle name="FIGURA" xfId="267"/>
    <cellStyle name="Good" xfId="268"/>
    <cellStyle name="Heading 1" xfId="269"/>
    <cellStyle name="Heading 2" xfId="270"/>
    <cellStyle name="Heading 3" xfId="271"/>
    <cellStyle name="Heading 4" xfId="272"/>
    <cellStyle name="Hipervínculo 2" xfId="5"/>
    <cellStyle name="Hipervínculo 3" xfId="6"/>
    <cellStyle name="Hipervínculo 4" xfId="360"/>
    <cellStyle name="Incorrecto 2" xfId="273"/>
    <cellStyle name="Incorrecto 3" xfId="274"/>
    <cellStyle name="Incorrecto 4" xfId="275"/>
    <cellStyle name="Input" xfId="276"/>
    <cellStyle name="Input 2" xfId="405"/>
    <cellStyle name="Linked Cell" xfId="277"/>
    <cellStyle name="Millares" xfId="1" builtinId="3"/>
    <cellStyle name="Millares [0]" xfId="428" builtinId="6"/>
    <cellStyle name="Millares 10" xfId="7"/>
    <cellStyle name="Millares 10 2" xfId="8"/>
    <cellStyle name="Millares 10 2 2" xfId="364"/>
    <cellStyle name="Millares 10 3" xfId="9"/>
    <cellStyle name="Millares 10 3 2" xfId="365"/>
    <cellStyle name="Millares 10 4" xfId="363"/>
    <cellStyle name="Millares 11" xfId="10"/>
    <cellStyle name="Millares 11 2" xfId="11"/>
    <cellStyle name="Millares 11 2 2" xfId="367"/>
    <cellStyle name="Millares 11 3" xfId="12"/>
    <cellStyle name="Millares 11 3 2" xfId="368"/>
    <cellStyle name="Millares 11 4" xfId="366"/>
    <cellStyle name="Millares 12" xfId="13"/>
    <cellStyle name="Millares 12 2" xfId="14"/>
    <cellStyle name="Millares 13" xfId="354"/>
    <cellStyle name="Millares 13 2" xfId="425"/>
    <cellStyle name="Millares 2" xfId="15"/>
    <cellStyle name="Millares 2 10" xfId="16"/>
    <cellStyle name="Millares 2 10 2" xfId="17"/>
    <cellStyle name="Millares 2 10 3" xfId="18"/>
    <cellStyle name="Millares 2 11" xfId="19"/>
    <cellStyle name="Millares 2 11 2" xfId="20"/>
    <cellStyle name="Millares 2 11 2 2" xfId="371"/>
    <cellStyle name="Millares 2 11 3" xfId="370"/>
    <cellStyle name="Millares 2 12" xfId="21"/>
    <cellStyle name="Millares 2 12 2" xfId="22"/>
    <cellStyle name="Millares 2 12 2 2" xfId="373"/>
    <cellStyle name="Millares 2 12 3" xfId="372"/>
    <cellStyle name="Millares 2 13" xfId="23"/>
    <cellStyle name="Millares 2 13 2" xfId="24"/>
    <cellStyle name="Millares 2 13 2 2" xfId="375"/>
    <cellStyle name="Millares 2 13 3" xfId="374"/>
    <cellStyle name="Millares 2 14" xfId="25"/>
    <cellStyle name="Millares 2 14 2" xfId="26"/>
    <cellStyle name="Millares 2 14 2 2" xfId="377"/>
    <cellStyle name="Millares 2 14 3" xfId="376"/>
    <cellStyle name="Millares 2 15" xfId="27"/>
    <cellStyle name="Millares 2 15 2" xfId="28"/>
    <cellStyle name="Millares 2 15 2 2" xfId="379"/>
    <cellStyle name="Millares 2 15 3" xfId="378"/>
    <cellStyle name="Millares 2 16" xfId="369"/>
    <cellStyle name="Millares 2 2" xfId="29"/>
    <cellStyle name="Millares 2 2 2" xfId="30"/>
    <cellStyle name="Millares 2 2 2 2" xfId="31"/>
    <cellStyle name="Millares 2 2 2 3" xfId="32"/>
    <cellStyle name="Millares 2 2 2 4" xfId="380"/>
    <cellStyle name="Millares 2 2 3" xfId="33"/>
    <cellStyle name="Millares 2 2 3 2" xfId="381"/>
    <cellStyle name="Millares 2 2 4" xfId="278"/>
    <cellStyle name="Millares 2 2 5" xfId="279"/>
    <cellStyle name="Millares 2 3" xfId="34"/>
    <cellStyle name="Millares 2 3 2" xfId="35"/>
    <cellStyle name="Millares 2 3 2 2" xfId="36"/>
    <cellStyle name="Millares 2 3 2 3" xfId="37"/>
    <cellStyle name="Millares 2 3 3" xfId="38"/>
    <cellStyle name="Millares 2 3 4" xfId="39"/>
    <cellStyle name="Millares 2 4" xfId="40"/>
    <cellStyle name="Millares 2 4 2" xfId="41"/>
    <cellStyle name="Millares 2 4 3" xfId="42"/>
    <cellStyle name="Millares 2 5" xfId="43"/>
    <cellStyle name="Millares 2 5 2" xfId="44"/>
    <cellStyle name="Millares 2 5 3" xfId="45"/>
    <cellStyle name="Millares 2 6" xfId="46"/>
    <cellStyle name="Millares 2 6 2" xfId="47"/>
    <cellStyle name="Millares 2 6 2 2" xfId="383"/>
    <cellStyle name="Millares 2 6 3" xfId="48"/>
    <cellStyle name="Millares 2 6 3 2" xfId="384"/>
    <cellStyle name="Millares 2 6 4" xfId="382"/>
    <cellStyle name="Millares 2 7" xfId="49"/>
    <cellStyle name="Millares 2 8" xfId="50"/>
    <cellStyle name="Millares 2 9" xfId="51"/>
    <cellStyle name="Millares 2 9 2" xfId="52"/>
    <cellStyle name="Millares 2 9 3" xfId="53"/>
    <cellStyle name="Millares 2 9 3 2" xfId="386"/>
    <cellStyle name="Millares 2 9 4" xfId="385"/>
    <cellStyle name="Millares 3" xfId="54"/>
    <cellStyle name="Millares 3 2" xfId="55"/>
    <cellStyle name="Millares 3 2 2" xfId="56"/>
    <cellStyle name="Millares 3 2 2 2" xfId="57"/>
    <cellStyle name="Millares 3 2 2 3" xfId="58"/>
    <cellStyle name="Millares 3 2 3" xfId="59"/>
    <cellStyle name="Millares 3 2 4" xfId="60"/>
    <cellStyle name="Millares 3 3" xfId="61"/>
    <cellStyle name="Millares 3 3 2" xfId="62"/>
    <cellStyle name="Millares 3 3 2 2" xfId="63"/>
    <cellStyle name="Millares 3 3 2 3" xfId="64"/>
    <cellStyle name="Millares 3 3 3" xfId="65"/>
    <cellStyle name="Millares 3 3 4" xfId="66"/>
    <cellStyle name="Millares 3 4" xfId="67"/>
    <cellStyle name="Millares 3 5" xfId="68"/>
    <cellStyle name="Millares 4" xfId="69"/>
    <cellStyle name="Millares 4 2" xfId="70"/>
    <cellStyle name="Millares 4 2 2" xfId="388"/>
    <cellStyle name="Millares 4 3" xfId="71"/>
    <cellStyle name="Millares 4 3 2" xfId="389"/>
    <cellStyle name="Millares 4 4" xfId="387"/>
    <cellStyle name="Millares 5" xfId="72"/>
    <cellStyle name="Millares 5 2" xfId="73"/>
    <cellStyle name="Millares 5 3" xfId="74"/>
    <cellStyle name="Millares 6" xfId="75"/>
    <cellStyle name="Millares 6 2" xfId="76"/>
    <cellStyle name="Millares 6 2 2" xfId="391"/>
    <cellStyle name="Millares 6 3" xfId="77"/>
    <cellStyle name="Millares 6 3 2" xfId="392"/>
    <cellStyle name="Millares 6 4" xfId="390"/>
    <cellStyle name="Millares 7" xfId="78"/>
    <cellStyle name="Millares 7 2" xfId="79"/>
    <cellStyle name="Millares 7 3" xfId="80"/>
    <cellStyle name="Millares 8" xfId="81"/>
    <cellStyle name="Millares 8 2" xfId="82"/>
    <cellStyle name="Millares 8 2 2" xfId="83"/>
    <cellStyle name="Millares 8 3" xfId="84"/>
    <cellStyle name="Millares 8 4" xfId="85"/>
    <cellStyle name="Millares 9" xfId="86"/>
    <cellStyle name="Millares 9 2" xfId="87"/>
    <cellStyle name="Millares 9 2 2" xfId="394"/>
    <cellStyle name="Millares 9 3" xfId="88"/>
    <cellStyle name="Millares 9 3 2" xfId="395"/>
    <cellStyle name="Millares 9 4" xfId="393"/>
    <cellStyle name="Millares_Formato Evaluacion LP No. 41 Biblioteca Belen" xfId="3"/>
    <cellStyle name="Moneda" xfId="433" builtinId="4"/>
    <cellStyle name="Moneda [0]" xfId="432" builtinId="7"/>
    <cellStyle name="Moneda [0] 10" xfId="280"/>
    <cellStyle name="Moneda [0] 11" xfId="281"/>
    <cellStyle name="Moneda [0] 14" xfId="282"/>
    <cellStyle name="Moneda [0] 2" xfId="283"/>
    <cellStyle name="Moneda [0] 3" xfId="284"/>
    <cellStyle name="Moneda 11" xfId="430"/>
    <cellStyle name="Moneda 2" xfId="89"/>
    <cellStyle name="Moneda 2 2" xfId="90"/>
    <cellStyle name="Moneda 2 2 2" xfId="285"/>
    <cellStyle name="Moneda 2 3" xfId="91"/>
    <cellStyle name="Moneda 2 4" xfId="92"/>
    <cellStyle name="Moneda 2_Tableros" xfId="286"/>
    <cellStyle name="Moneda 3" xfId="93"/>
    <cellStyle name="Moneda 3 2" xfId="94"/>
    <cellStyle name="Moneda 3 3" xfId="95"/>
    <cellStyle name="Moneda 3 4" xfId="340"/>
    <cellStyle name="Moneda 4" xfId="96"/>
    <cellStyle name="Moneda 4 2" xfId="97"/>
    <cellStyle name="Moneda 4 3" xfId="98"/>
    <cellStyle name="Moneda 5" xfId="99"/>
    <cellStyle name="Moneda 5 2" xfId="396"/>
    <cellStyle name="Moneda 6" xfId="100"/>
    <cellStyle name="Moneda 6 2" xfId="101"/>
    <cellStyle name="Moneda 6 3" xfId="102"/>
    <cellStyle name="Moneda 7" xfId="103"/>
    <cellStyle name="Moneda0" xfId="287"/>
    <cellStyle name="Neutral 2" xfId="288"/>
    <cellStyle name="Neutral 3" xfId="289"/>
    <cellStyle name="Neutral 4" xfId="290"/>
    <cellStyle name="Normal" xfId="0" builtinId="0"/>
    <cellStyle name="Normal 10" xfId="104"/>
    <cellStyle name="Normal 10 10 2" xfId="356"/>
    <cellStyle name="Normal 11" xfId="291"/>
    <cellStyle name="Normal 12" xfId="344"/>
    <cellStyle name="Normal 12 2" xfId="350"/>
    <cellStyle name="Normal 12 2 2" xfId="353"/>
    <cellStyle name="Normal 12 2 2 2" xfId="424"/>
    <cellStyle name="Normal 12 2 3" xfId="421"/>
    <cellStyle name="Normal 12 3" xfId="352"/>
    <cellStyle name="Normal 12 3 2" xfId="423"/>
    <cellStyle name="Normal 12 4" xfId="417"/>
    <cellStyle name="Normal 13" xfId="345"/>
    <cellStyle name="Normal 14" xfId="346"/>
    <cellStyle name="Normal 14 2" xfId="349"/>
    <cellStyle name="Normal 14 2 2" xfId="420"/>
    <cellStyle name="Normal 14 2 3" xfId="427"/>
    <cellStyle name="Normal 14 3" xfId="418"/>
    <cellStyle name="Normal 15" xfId="351"/>
    <cellStyle name="Normal 15 2" xfId="358"/>
    <cellStyle name="Normal 15 2 2" xfId="426"/>
    <cellStyle name="Normal 15 3" xfId="422"/>
    <cellStyle name="Normal 18" xfId="429"/>
    <cellStyle name="Normal 2" xfId="105"/>
    <cellStyle name="Normal 2 2" xfId="106"/>
    <cellStyle name="Normal 2 2 2" xfId="107"/>
    <cellStyle name="Normal 2 2 2 2" xfId="108"/>
    <cellStyle name="Normal 2 2 2 2 2" xfId="109"/>
    <cellStyle name="Normal 2 2 2 2 3" xfId="110"/>
    <cellStyle name="Normal 2 2 2 2 4" xfId="111"/>
    <cellStyle name="Normal 2 2 2 3" xfId="112"/>
    <cellStyle name="Normal 2 2 2 4" xfId="113"/>
    <cellStyle name="Normal 2 2 3" xfId="114"/>
    <cellStyle name="Normal 2 2 3 2" xfId="115"/>
    <cellStyle name="Normal 2 2 3 3" xfId="116"/>
    <cellStyle name="Normal 2 2 4" xfId="117"/>
    <cellStyle name="Normal 2 2 5" xfId="118"/>
    <cellStyle name="Normal 2 3" xfId="119"/>
    <cellStyle name="Normal 2 3 2" xfId="120"/>
    <cellStyle name="Normal 2 3 2 2" xfId="348"/>
    <cellStyle name="Normal 2 3 3" xfId="121"/>
    <cellStyle name="Normal 2 4" xfId="122"/>
    <cellStyle name="Normal 2 4 2" xfId="123"/>
    <cellStyle name="Normal 2 4 3" xfId="124"/>
    <cellStyle name="Normal 2 5" xfId="125"/>
    <cellStyle name="Normal 2 6" xfId="126"/>
    <cellStyle name="Normal 2 7" xfId="127"/>
    <cellStyle name="Normal 2_PTO-02060-PARQUE BIBLIOTECA SAN CRISTOBAL" xfId="292"/>
    <cellStyle name="Normal 21" xfId="341"/>
    <cellStyle name="Normal 3" xfId="128"/>
    <cellStyle name="Normal 3 2" xfId="129"/>
    <cellStyle name="Normal 3 2 2" xfId="130"/>
    <cellStyle name="Normal 3 2 2 14" xfId="131"/>
    <cellStyle name="Normal 3 2 3" xfId="132"/>
    <cellStyle name="Normal 3 3" xfId="133"/>
    <cellStyle name="Normal 3 4" xfId="134"/>
    <cellStyle name="Normal 4" xfId="135"/>
    <cellStyle name="Normal 4 2" xfId="136"/>
    <cellStyle name="Normal 4 3" xfId="137"/>
    <cellStyle name="Normal 5" xfId="138"/>
    <cellStyle name="Normal 5 2" xfId="293"/>
    <cellStyle name="Normal 5 3" xfId="294"/>
    <cellStyle name="Normal 5 4" xfId="295"/>
    <cellStyle name="Normal 6" xfId="139"/>
    <cellStyle name="Normal 68" xfId="347"/>
    <cellStyle name="Normal 68 2" xfId="419"/>
    <cellStyle name="Normal 7" xfId="296"/>
    <cellStyle name="Normal 78" xfId="342"/>
    <cellStyle name="Normal 8" xfId="297"/>
    <cellStyle name="Normal 9" xfId="298"/>
    <cellStyle name="Normal_CONSOLIDADO  EVALUACIÓN LP 53 OBRA ADECUACIÓN Y MANTENIMIENTO DEL TEATRO LIDO" xfId="2"/>
    <cellStyle name="Normal_FORM20_1 2" xfId="359"/>
    <cellStyle name="Normal_SEGUROS FENIX 2" xfId="362"/>
    <cellStyle name="Notas 2" xfId="299"/>
    <cellStyle name="Notas 2 2" xfId="406"/>
    <cellStyle name="Notas 3" xfId="300"/>
    <cellStyle name="Notas 3 2" xfId="407"/>
    <cellStyle name="Notas 4" xfId="301"/>
    <cellStyle name="Notas 4 2" xfId="408"/>
    <cellStyle name="Note" xfId="302"/>
    <cellStyle name="Note 2" xfId="409"/>
    <cellStyle name="Output" xfId="303"/>
    <cellStyle name="Output 2" xfId="410"/>
    <cellStyle name="Porcentaje" xfId="357" builtinId="5"/>
    <cellStyle name="Porcentaje 2" xfId="343"/>
    <cellStyle name="Porcentaje 6" xfId="431"/>
    <cellStyle name="Porcentual 2" xfId="140"/>
    <cellStyle name="Porcentual 2 2" xfId="141"/>
    <cellStyle name="Porcentual 2 2 2" xfId="142"/>
    <cellStyle name="Porcentual 2 2 2 2" xfId="143"/>
    <cellStyle name="Porcentual 2 2 2 3" xfId="361"/>
    <cellStyle name="Porcentual 2 2 3" xfId="144"/>
    <cellStyle name="Porcentual 2 2 4" xfId="355"/>
    <cellStyle name="Porcentual 2 3" xfId="304"/>
    <cellStyle name="Porcentual 2 4" xfId="305"/>
    <cellStyle name="Porcentual 2 5" xfId="306"/>
    <cellStyle name="Porcentual 3" xfId="145"/>
    <cellStyle name="Porcentual 4" xfId="307"/>
    <cellStyle name="Porcentual 5" xfId="308"/>
    <cellStyle name="Porcentual 6" xfId="309"/>
    <cellStyle name="Punto0" xfId="310"/>
    <cellStyle name="Salida 2" xfId="311"/>
    <cellStyle name="Salida 2 2" xfId="411"/>
    <cellStyle name="Salida 3" xfId="312"/>
    <cellStyle name="Salida 3 2" xfId="412"/>
    <cellStyle name="Salida 4" xfId="313"/>
    <cellStyle name="Salida 4 2" xfId="413"/>
    <cellStyle name="Texto de advertencia 2" xfId="314"/>
    <cellStyle name="Texto de advertencia 3" xfId="315"/>
    <cellStyle name="Texto explicativo 2" xfId="316"/>
    <cellStyle name="Texto explicativo 3" xfId="317"/>
    <cellStyle name="Tit. tabla" xfId="318"/>
    <cellStyle name="Title" xfId="319"/>
    <cellStyle name="TITULO 1" xfId="320"/>
    <cellStyle name="Título 1 2" xfId="321"/>
    <cellStyle name="Título 1 3" xfId="322"/>
    <cellStyle name="Título 1 4" xfId="323"/>
    <cellStyle name="TITULO 2" xfId="324"/>
    <cellStyle name="Título 2 2" xfId="325"/>
    <cellStyle name="Título 2 3" xfId="326"/>
    <cellStyle name="Título 2 4" xfId="327"/>
    <cellStyle name="TITULO 3" xfId="328"/>
    <cellStyle name="Título 3 2" xfId="329"/>
    <cellStyle name="Título 3 3" xfId="330"/>
    <cellStyle name="Título 3 4" xfId="331"/>
    <cellStyle name="Título 4" xfId="332"/>
    <cellStyle name="Título 5" xfId="333"/>
    <cellStyle name="Título 6" xfId="334"/>
    <cellStyle name="Total 2" xfId="335"/>
    <cellStyle name="Total 2 2" xfId="414"/>
    <cellStyle name="Total 3" xfId="336"/>
    <cellStyle name="Total 3 2" xfId="415"/>
    <cellStyle name="Total 4" xfId="337"/>
    <cellStyle name="Total 4 2" xfId="416"/>
    <cellStyle name="Viñeta" xfId="338"/>
    <cellStyle name="Warning Text" xfId="339"/>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jpeg"/><Relationship Id="rId9"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5.jpeg"/><Relationship Id="rId7" Type="http://schemas.openxmlformats.org/officeDocument/2006/relationships/image" Target="../media/image8.jpe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4.png"/><Relationship Id="rId4" Type="http://schemas.openxmlformats.org/officeDocument/2006/relationships/image" Target="../media/image12.png"/><Relationship Id="rId9" Type="http://schemas.openxmlformats.org/officeDocument/2006/relationships/image" Target="../media/image10.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0</xdr:col>
      <xdr:colOff>820154</xdr:colOff>
      <xdr:row>2</xdr:row>
      <xdr:rowOff>19050</xdr:rowOff>
    </xdr:to>
    <xdr:pic>
      <xdr:nvPicPr>
        <xdr:cNvPr id="2" name="3 Imagen" descr="log-udea2.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28600"/>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15875</xdr:colOff>
      <xdr:row>0</xdr:row>
      <xdr:rowOff>15875</xdr:rowOff>
    </xdr:from>
    <xdr:to>
      <xdr:col>1</xdr:col>
      <xdr:colOff>49737</xdr:colOff>
      <xdr:row>2</xdr:row>
      <xdr:rowOff>164041</xdr:rowOff>
    </xdr:to>
    <xdr:pic>
      <xdr:nvPicPr>
        <xdr:cNvPr id="3" name="3 Imagen" descr="log-udea2.G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 y="15875"/>
          <a:ext cx="81173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107749</xdr:colOff>
      <xdr:row>0</xdr:row>
      <xdr:rowOff>31654</xdr:rowOff>
    </xdr:from>
    <xdr:ext cx="811133" cy="1000615"/>
    <xdr:pic>
      <xdr:nvPicPr>
        <xdr:cNvPr id="2" name="3 Imagen" descr="log-udea2.GIF">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749" y="31654"/>
          <a:ext cx="811133" cy="1000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1560859</xdr:colOff>
      <xdr:row>1</xdr:row>
      <xdr:rowOff>114300</xdr:rowOff>
    </xdr:from>
    <xdr:to>
      <xdr:col>1</xdr:col>
      <xdr:colOff>2352674</xdr:colOff>
      <xdr:row>6</xdr:row>
      <xdr:rowOff>70971</xdr:rowOff>
    </xdr:to>
    <xdr:pic>
      <xdr:nvPicPr>
        <xdr:cNvPr id="5"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8259" y="638175"/>
          <a:ext cx="791815" cy="78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850272</xdr:colOff>
      <xdr:row>6</xdr:row>
      <xdr:rowOff>133350</xdr:rowOff>
    </xdr:from>
    <xdr:to>
      <xdr:col>1</xdr:col>
      <xdr:colOff>2981618</xdr:colOff>
      <xdr:row>6</xdr:row>
      <xdr:rowOff>568151</xdr:rowOff>
    </xdr:to>
    <xdr:pic>
      <xdr:nvPicPr>
        <xdr:cNvPr id="6"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07672" y="1485900"/>
          <a:ext cx="2131346" cy="43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6</xdr:row>
      <xdr:rowOff>635055</xdr:rowOff>
    </xdr:from>
    <xdr:to>
      <xdr:col>1</xdr:col>
      <xdr:colOff>3642360</xdr:colOff>
      <xdr:row>6</xdr:row>
      <xdr:rowOff>635055</xdr:rowOff>
    </xdr:to>
    <xdr:sp macro="" textlink="">
      <xdr:nvSpPr>
        <xdr:cNvPr id="7" name="Line 11"/>
        <xdr:cNvSpPr>
          <a:spLocks noChangeShapeType="1"/>
        </xdr:cNvSpPr>
      </xdr:nvSpPr>
      <xdr:spPr bwMode="auto">
        <a:xfrm>
          <a:off x="1885950" y="1987605"/>
          <a:ext cx="3813810" cy="0"/>
        </a:xfrm>
        <a:prstGeom prst="line">
          <a:avLst/>
        </a:prstGeom>
        <a:noFill/>
        <a:ln w="76200" cmpd="tri">
          <a:solidFill>
            <a:srgbClr val="E36C0A"/>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1066800</xdr:colOff>
      <xdr:row>1</xdr:row>
      <xdr:rowOff>133350</xdr:rowOff>
    </xdr:from>
    <xdr:to>
      <xdr:col>11</xdr:col>
      <xdr:colOff>3367089</xdr:colOff>
      <xdr:row>6</xdr:row>
      <xdr:rowOff>228600</xdr:rowOff>
    </xdr:to>
    <xdr:pic>
      <xdr:nvPicPr>
        <xdr:cNvPr id="8" name="Imagen 7">
          <a:extLst>
            <a:ext uri="{FF2B5EF4-FFF2-40B4-BE49-F238E27FC236}">
              <a16:creationId xmlns:a16="http://schemas.microsoft.com/office/drawing/2014/main" id="{EEB04B06-1EA8-422F-B78C-79AC905DB8E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19325" y="657225"/>
          <a:ext cx="2300289" cy="885825"/>
        </a:xfrm>
        <a:prstGeom prst="rect">
          <a:avLst/>
        </a:prstGeom>
      </xdr:spPr>
    </xdr:pic>
    <xdr:clientData/>
  </xdr:twoCellAnchor>
  <xdr:twoCellAnchor editAs="oneCell">
    <xdr:from>
      <xdr:col>20</xdr:col>
      <xdr:colOff>0</xdr:colOff>
      <xdr:row>1</xdr:row>
      <xdr:rowOff>11207</xdr:rowOff>
    </xdr:from>
    <xdr:to>
      <xdr:col>21</xdr:col>
      <xdr:colOff>3729318</xdr:colOff>
      <xdr:row>6</xdr:row>
      <xdr:rowOff>388845</xdr:rowOff>
    </xdr:to>
    <xdr:pic>
      <xdr:nvPicPr>
        <xdr:cNvPr id="9" name="Imagen 8" descr="C:\Users\Edisson\AppData\Local\Microsoft\Windows\INetCache\Content.Word\LOGO INGEALTURA 2018.jpg"/>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4310"/>
        <a:stretch/>
      </xdr:blipFill>
      <xdr:spPr bwMode="auto">
        <a:xfrm>
          <a:off x="676275" y="592232"/>
          <a:ext cx="4319868" cy="116821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31</xdr:col>
      <xdr:colOff>214314</xdr:colOff>
      <xdr:row>1</xdr:row>
      <xdr:rowOff>250031</xdr:rowOff>
    </xdr:from>
    <xdr:to>
      <xdr:col>31</xdr:col>
      <xdr:colOff>3083720</xdr:colOff>
      <xdr:row>6</xdr:row>
      <xdr:rowOff>609600</xdr:rowOff>
    </xdr:to>
    <xdr:pic>
      <xdr:nvPicPr>
        <xdr:cNvPr id="10" name="1 Imagen" descr="Descripción: C:\Users\Angelica\AppData\Local\Microsoft\Windows\Temporary Internet Files\Content.Word\Urbanico logo - 10 años negro.png"/>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2499" r="16667" b="-1"/>
        <a:stretch/>
      </xdr:blipFill>
      <xdr:spPr bwMode="auto">
        <a:xfrm>
          <a:off x="1366839" y="773906"/>
          <a:ext cx="2869406" cy="1150144"/>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1560859</xdr:colOff>
      <xdr:row>1</xdr:row>
      <xdr:rowOff>114300</xdr:rowOff>
    </xdr:from>
    <xdr:to>
      <xdr:col>1</xdr:col>
      <xdr:colOff>2352674</xdr:colOff>
      <xdr:row>6</xdr:row>
      <xdr:rowOff>70971</xdr:rowOff>
    </xdr:to>
    <xdr:pic>
      <xdr:nvPicPr>
        <xdr:cNvPr id="11"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8259" y="638175"/>
          <a:ext cx="791815" cy="78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850272</xdr:colOff>
      <xdr:row>6</xdr:row>
      <xdr:rowOff>133350</xdr:rowOff>
    </xdr:from>
    <xdr:to>
      <xdr:col>1</xdr:col>
      <xdr:colOff>2981618</xdr:colOff>
      <xdr:row>6</xdr:row>
      <xdr:rowOff>568151</xdr:rowOff>
    </xdr:to>
    <xdr:pic>
      <xdr:nvPicPr>
        <xdr:cNvPr id="12"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07672" y="1485900"/>
          <a:ext cx="2131346" cy="434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6</xdr:row>
      <xdr:rowOff>635055</xdr:rowOff>
    </xdr:from>
    <xdr:to>
      <xdr:col>1</xdr:col>
      <xdr:colOff>3642360</xdr:colOff>
      <xdr:row>6</xdr:row>
      <xdr:rowOff>635055</xdr:rowOff>
    </xdr:to>
    <xdr:sp macro="" textlink="">
      <xdr:nvSpPr>
        <xdr:cNvPr id="13" name="Line 11"/>
        <xdr:cNvSpPr>
          <a:spLocks noChangeShapeType="1"/>
        </xdr:cNvSpPr>
      </xdr:nvSpPr>
      <xdr:spPr bwMode="auto">
        <a:xfrm>
          <a:off x="1885950" y="1987605"/>
          <a:ext cx="3813810" cy="0"/>
        </a:xfrm>
        <a:prstGeom prst="line">
          <a:avLst/>
        </a:prstGeom>
        <a:noFill/>
        <a:ln w="76200" cmpd="tri">
          <a:solidFill>
            <a:srgbClr val="E36C0A"/>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535781</xdr:colOff>
      <xdr:row>1</xdr:row>
      <xdr:rowOff>178593</xdr:rowOff>
    </xdr:from>
    <xdr:to>
      <xdr:col>61</xdr:col>
      <xdr:colOff>2809875</xdr:colOff>
      <xdr:row>6</xdr:row>
      <xdr:rowOff>654843</xdr:rowOff>
    </xdr:to>
    <xdr:pic>
      <xdr:nvPicPr>
        <xdr:cNvPr id="15" name="Imagen 14" descr="logo_gustavo_cardon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277" t="6250" r="72684" b="57715"/>
        <a:stretch>
          <a:fillRect/>
        </a:stretch>
      </xdr:blipFill>
      <xdr:spPr bwMode="auto">
        <a:xfrm>
          <a:off x="1688306" y="702468"/>
          <a:ext cx="2274094" cy="1304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70</xdr:col>
      <xdr:colOff>0</xdr:colOff>
      <xdr:row>1</xdr:row>
      <xdr:rowOff>35718</xdr:rowOff>
    </xdr:from>
    <xdr:to>
      <xdr:col>72</xdr:col>
      <xdr:colOff>11906</xdr:colOff>
      <xdr:row>6</xdr:row>
      <xdr:rowOff>773907</xdr:rowOff>
    </xdr:to>
    <xdr:pic>
      <xdr:nvPicPr>
        <xdr:cNvPr id="16" name="Imagen 1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76275" y="559593"/>
          <a:ext cx="4345781" cy="1566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80</xdr:col>
      <xdr:colOff>142875</xdr:colOff>
      <xdr:row>1</xdr:row>
      <xdr:rowOff>83343</xdr:rowOff>
    </xdr:from>
    <xdr:to>
      <xdr:col>81</xdr:col>
      <xdr:colOff>3540918</xdr:colOff>
      <xdr:row>6</xdr:row>
      <xdr:rowOff>764381</xdr:rowOff>
    </xdr:to>
    <xdr:pic>
      <xdr:nvPicPr>
        <xdr:cNvPr id="17" name="Imagen 16"/>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607218"/>
          <a:ext cx="3988594" cy="1471613"/>
        </a:xfrm>
        <a:prstGeom prst="rect">
          <a:avLst/>
        </a:prstGeom>
        <a:noFill/>
        <a:ln>
          <a:noFill/>
        </a:ln>
      </xdr:spPr>
    </xdr:pic>
    <xdr:clientData/>
  </xdr:twoCellAnchor>
  <xdr:oneCellAnchor>
    <xdr:from>
      <xdr:col>91</xdr:col>
      <xdr:colOff>485775</xdr:colOff>
      <xdr:row>1</xdr:row>
      <xdr:rowOff>352424</xdr:rowOff>
    </xdr:from>
    <xdr:ext cx="2653766" cy="923925"/>
    <xdr:pic>
      <xdr:nvPicPr>
        <xdr:cNvPr id="18" name="Imagen 1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38300" y="876299"/>
          <a:ext cx="2653766" cy="9239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322609</xdr:colOff>
      <xdr:row>1</xdr:row>
      <xdr:rowOff>11859</xdr:rowOff>
    </xdr:from>
    <xdr:to>
      <xdr:col>1</xdr:col>
      <xdr:colOff>928254</xdr:colOff>
      <xdr:row>1</xdr:row>
      <xdr:rowOff>605270</xdr:rowOff>
    </xdr:to>
    <xdr:pic>
      <xdr:nvPicPr>
        <xdr:cNvPr id="2"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534" y="345234"/>
          <a:ext cx="605645" cy="593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1078872</xdr:colOff>
      <xdr:row>1</xdr:row>
      <xdr:rowOff>270163</xdr:rowOff>
    </xdr:from>
    <xdr:to>
      <xdr:col>1</xdr:col>
      <xdr:colOff>2238203</xdr:colOff>
      <xdr:row>1</xdr:row>
      <xdr:rowOff>506670</xdr:rowOff>
    </xdr:to>
    <xdr:pic>
      <xdr:nvPicPr>
        <xdr:cNvPr id="3"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1797" y="603538"/>
          <a:ext cx="1159331" cy="236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90055</xdr:colOff>
      <xdr:row>1</xdr:row>
      <xdr:rowOff>649775</xdr:rowOff>
    </xdr:from>
    <xdr:to>
      <xdr:col>1</xdr:col>
      <xdr:colOff>2909456</xdr:colOff>
      <xdr:row>1</xdr:row>
      <xdr:rowOff>649775</xdr:rowOff>
    </xdr:to>
    <xdr:sp macro="" textlink="">
      <xdr:nvSpPr>
        <xdr:cNvPr id="4" name="Line 11"/>
        <xdr:cNvSpPr>
          <a:spLocks noChangeShapeType="1"/>
        </xdr:cNvSpPr>
      </xdr:nvSpPr>
      <xdr:spPr bwMode="auto">
        <a:xfrm>
          <a:off x="204355" y="983150"/>
          <a:ext cx="3248026" cy="0"/>
        </a:xfrm>
        <a:prstGeom prst="line">
          <a:avLst/>
        </a:prstGeom>
        <a:noFill/>
        <a:ln w="76200" cmpd="tri">
          <a:solidFill>
            <a:srgbClr val="E36C0A"/>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22</xdr:col>
      <xdr:colOff>10583</xdr:colOff>
      <xdr:row>0</xdr:row>
      <xdr:rowOff>148167</xdr:rowOff>
    </xdr:from>
    <xdr:to>
      <xdr:col>23</xdr:col>
      <xdr:colOff>2275416</xdr:colOff>
      <xdr:row>1</xdr:row>
      <xdr:rowOff>656167</xdr:rowOff>
    </xdr:to>
    <xdr:pic>
      <xdr:nvPicPr>
        <xdr:cNvPr id="5" name="Imagen 4" descr="C:\Users\Edisson\AppData\Local\Microsoft\Windows\INetCache\Content.Word\LOGO INGEALTURA 2018.jpg"/>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14310"/>
        <a:stretch/>
      </xdr:blipFill>
      <xdr:spPr bwMode="auto">
        <a:xfrm>
          <a:off x="124883" y="310092"/>
          <a:ext cx="3360208" cy="7747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33</xdr:col>
      <xdr:colOff>158749</xdr:colOff>
      <xdr:row>1</xdr:row>
      <xdr:rowOff>52916</xdr:rowOff>
    </xdr:from>
    <xdr:to>
      <xdr:col>34</xdr:col>
      <xdr:colOff>2180166</xdr:colOff>
      <xdr:row>1</xdr:row>
      <xdr:rowOff>687916</xdr:rowOff>
    </xdr:to>
    <xdr:pic>
      <xdr:nvPicPr>
        <xdr:cNvPr id="6" name="1 Imagen" descr="Descripción: C:\Users\Angelica\AppData\Local\Microsoft\Windows\Temporary Internet Files\Content.Word\Urbanico logo - 10 años negro.pn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2499" r="16667" b="-1"/>
        <a:stretch/>
      </xdr:blipFill>
      <xdr:spPr bwMode="auto">
        <a:xfrm>
          <a:off x="273049" y="386291"/>
          <a:ext cx="3116792" cy="635000"/>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322609</xdr:colOff>
      <xdr:row>1</xdr:row>
      <xdr:rowOff>11859</xdr:rowOff>
    </xdr:from>
    <xdr:to>
      <xdr:col>1</xdr:col>
      <xdr:colOff>928254</xdr:colOff>
      <xdr:row>1</xdr:row>
      <xdr:rowOff>605270</xdr:rowOff>
    </xdr:to>
    <xdr:pic>
      <xdr:nvPicPr>
        <xdr:cNvPr id="7"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534" y="345234"/>
          <a:ext cx="605645" cy="593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1078872</xdr:colOff>
      <xdr:row>1</xdr:row>
      <xdr:rowOff>270163</xdr:rowOff>
    </xdr:from>
    <xdr:to>
      <xdr:col>1</xdr:col>
      <xdr:colOff>2238203</xdr:colOff>
      <xdr:row>1</xdr:row>
      <xdr:rowOff>506670</xdr:rowOff>
    </xdr:to>
    <xdr:pic>
      <xdr:nvPicPr>
        <xdr:cNvPr id="8"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1797" y="603538"/>
          <a:ext cx="1159331" cy="236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90055</xdr:colOff>
      <xdr:row>1</xdr:row>
      <xdr:rowOff>649775</xdr:rowOff>
    </xdr:from>
    <xdr:to>
      <xdr:col>1</xdr:col>
      <xdr:colOff>2909456</xdr:colOff>
      <xdr:row>1</xdr:row>
      <xdr:rowOff>649775</xdr:rowOff>
    </xdr:to>
    <xdr:sp macro="" textlink="">
      <xdr:nvSpPr>
        <xdr:cNvPr id="9" name="Line 11"/>
        <xdr:cNvSpPr>
          <a:spLocks noChangeShapeType="1"/>
        </xdr:cNvSpPr>
      </xdr:nvSpPr>
      <xdr:spPr bwMode="auto">
        <a:xfrm>
          <a:off x="204355" y="983150"/>
          <a:ext cx="3248026" cy="0"/>
        </a:xfrm>
        <a:prstGeom prst="line">
          <a:avLst/>
        </a:prstGeom>
        <a:noFill/>
        <a:ln w="76200" cmpd="tri">
          <a:solidFill>
            <a:srgbClr val="E36C0A"/>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232833</xdr:colOff>
      <xdr:row>1</xdr:row>
      <xdr:rowOff>31751</xdr:rowOff>
    </xdr:from>
    <xdr:to>
      <xdr:col>12</xdr:col>
      <xdr:colOff>2074332</xdr:colOff>
      <xdr:row>1</xdr:row>
      <xdr:rowOff>763775</xdr:rowOff>
    </xdr:to>
    <xdr:pic>
      <xdr:nvPicPr>
        <xdr:cNvPr id="10" name="Imagen 9">
          <a:extLst>
            <a:ext uri="{FF2B5EF4-FFF2-40B4-BE49-F238E27FC236}">
              <a16:creationId xmlns:a16="http://schemas.microsoft.com/office/drawing/2014/main" id="{6DC5E4A7-039E-4F25-80B5-BF4540ABA1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5758" y="365126"/>
          <a:ext cx="1841499" cy="732024"/>
        </a:xfrm>
        <a:prstGeom prst="rect">
          <a:avLst/>
        </a:prstGeom>
      </xdr:spPr>
    </xdr:pic>
    <xdr:clientData/>
  </xdr:twoCellAnchor>
  <xdr:twoCellAnchor>
    <xdr:from>
      <xdr:col>67</xdr:col>
      <xdr:colOff>553571</xdr:colOff>
      <xdr:row>1</xdr:row>
      <xdr:rowOff>126066</xdr:rowOff>
    </xdr:from>
    <xdr:to>
      <xdr:col>67</xdr:col>
      <xdr:colOff>1809190</xdr:colOff>
      <xdr:row>1</xdr:row>
      <xdr:rowOff>1078566</xdr:rowOff>
    </xdr:to>
    <xdr:pic>
      <xdr:nvPicPr>
        <xdr:cNvPr id="11" name="Imagen 10" descr="logo_gustavo_cardon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277" t="6250" r="72684" b="57715"/>
        <a:stretch>
          <a:fillRect/>
        </a:stretch>
      </xdr:blipFill>
      <xdr:spPr bwMode="auto">
        <a:xfrm>
          <a:off x="1096496" y="459441"/>
          <a:ext cx="1255619"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21011</xdr:colOff>
      <xdr:row>1</xdr:row>
      <xdr:rowOff>21572</xdr:rowOff>
    </xdr:from>
    <xdr:to>
      <xdr:col>78</xdr:col>
      <xdr:colOff>2948549</xdr:colOff>
      <xdr:row>1</xdr:row>
      <xdr:rowOff>746032</xdr:rowOff>
    </xdr:to>
    <xdr:pic>
      <xdr:nvPicPr>
        <xdr:cNvPr id="12" name="Imagen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5311" y="354947"/>
          <a:ext cx="3356163" cy="724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89</xdr:col>
      <xdr:colOff>532280</xdr:colOff>
      <xdr:row>1</xdr:row>
      <xdr:rowOff>35018</xdr:rowOff>
    </xdr:from>
    <xdr:to>
      <xdr:col>89</xdr:col>
      <xdr:colOff>1846730</xdr:colOff>
      <xdr:row>1</xdr:row>
      <xdr:rowOff>749393</xdr:rowOff>
    </xdr:to>
    <xdr:pic>
      <xdr:nvPicPr>
        <xdr:cNvPr id="13" name="Imagen 12"/>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75205" y="368393"/>
          <a:ext cx="1314450" cy="714375"/>
        </a:xfrm>
        <a:prstGeom prst="rect">
          <a:avLst/>
        </a:prstGeom>
        <a:noFill/>
        <a:ln>
          <a:noFill/>
        </a:ln>
      </xdr:spPr>
    </xdr:pic>
    <xdr:clientData/>
  </xdr:twoCellAnchor>
  <xdr:oneCellAnchor>
    <xdr:from>
      <xdr:col>100</xdr:col>
      <xdr:colOff>476706</xdr:colOff>
      <xdr:row>1</xdr:row>
      <xdr:rowOff>110066</xdr:rowOff>
    </xdr:from>
    <xdr:ext cx="1735741" cy="604309"/>
    <xdr:pic>
      <xdr:nvPicPr>
        <xdr:cNvPr id="14" name="Imagen 1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19631" y="443441"/>
          <a:ext cx="1735741" cy="60430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1"/>
  <sheetViews>
    <sheetView zoomScaleNormal="100" zoomScaleSheetLayoutView="90" zoomScalePageLayoutView="90" workbookViewId="0">
      <selection sqref="A1:B1"/>
    </sheetView>
  </sheetViews>
  <sheetFormatPr baseColWidth="10" defaultColWidth="11.42578125" defaultRowHeight="12.75"/>
  <cols>
    <col min="1" max="1" width="13" style="138" customWidth="1"/>
    <col min="2" max="2" width="80" style="136" bestFit="1" customWidth="1"/>
    <col min="3" max="16384" width="11.42578125" style="136"/>
  </cols>
  <sheetData>
    <row r="1" spans="1:2" ht="37.5" customHeight="1">
      <c r="A1" s="766" t="s">
        <v>7</v>
      </c>
      <c r="B1" s="767"/>
    </row>
    <row r="2" spans="1:2" ht="37.5" customHeight="1">
      <c r="A2" s="774" t="s">
        <v>170</v>
      </c>
      <c r="B2" s="775"/>
    </row>
    <row r="3" spans="1:2" ht="74.25" customHeight="1">
      <c r="A3" s="772" t="s">
        <v>171</v>
      </c>
      <c r="B3" s="773"/>
    </row>
    <row r="4" spans="1:2" ht="27" customHeight="1">
      <c r="A4" s="770" t="s">
        <v>31</v>
      </c>
      <c r="B4" s="771"/>
    </row>
    <row r="5" spans="1:2" s="138" customFormat="1" ht="15.75">
      <c r="A5" s="137"/>
      <c r="B5" s="137"/>
    </row>
    <row r="6" spans="1:2" ht="29.25" customHeight="1">
      <c r="A6" s="139" t="s">
        <v>33</v>
      </c>
      <c r="B6" s="140" t="s">
        <v>3</v>
      </c>
    </row>
    <row r="7" spans="1:2" ht="22.5" customHeight="1">
      <c r="A7" s="116">
        <v>1</v>
      </c>
      <c r="B7" s="117" t="s">
        <v>319</v>
      </c>
    </row>
    <row r="8" spans="1:2" ht="22.5" customHeight="1">
      <c r="A8" s="116">
        <v>2</v>
      </c>
      <c r="B8" s="117" t="s">
        <v>320</v>
      </c>
    </row>
    <row r="9" spans="1:2" ht="22.5" customHeight="1">
      <c r="A9" s="116">
        <v>3</v>
      </c>
      <c r="B9" s="117" t="s">
        <v>321</v>
      </c>
    </row>
    <row r="10" spans="1:2" ht="22.5" customHeight="1">
      <c r="A10" s="116">
        <v>4</v>
      </c>
      <c r="B10" s="117" t="s">
        <v>322</v>
      </c>
    </row>
    <row r="11" spans="1:2" ht="22.5" customHeight="1">
      <c r="A11" s="116">
        <v>5</v>
      </c>
      <c r="B11" s="117" t="s">
        <v>323</v>
      </c>
    </row>
    <row r="12" spans="1:2" ht="22.5" customHeight="1">
      <c r="A12" s="116">
        <v>6</v>
      </c>
      <c r="B12" s="117" t="s">
        <v>324</v>
      </c>
    </row>
    <row r="13" spans="1:2" ht="22.5" customHeight="1">
      <c r="A13" s="116">
        <v>7</v>
      </c>
      <c r="B13" s="117" t="s">
        <v>325</v>
      </c>
    </row>
    <row r="14" spans="1:2" ht="22.5" customHeight="1">
      <c r="A14" s="116">
        <v>8</v>
      </c>
      <c r="B14" s="117" t="s">
        <v>326</v>
      </c>
    </row>
    <row r="15" spans="1:2" ht="22.5" customHeight="1">
      <c r="A15" s="116">
        <v>9</v>
      </c>
      <c r="B15" s="117" t="s">
        <v>327</v>
      </c>
    </row>
    <row r="16" spans="1:2" ht="22.5" customHeight="1">
      <c r="A16" s="116">
        <v>10</v>
      </c>
      <c r="B16" s="117" t="s">
        <v>328</v>
      </c>
    </row>
    <row r="17" spans="1:2" ht="20.45" customHeight="1">
      <c r="A17" s="141"/>
      <c r="B17" s="142"/>
    </row>
    <row r="18" spans="1:2" ht="12.75" customHeight="1">
      <c r="A18" s="768" t="s">
        <v>85</v>
      </c>
      <c r="B18" s="768"/>
    </row>
    <row r="19" spans="1:2" ht="70.5" customHeight="1">
      <c r="A19" s="769"/>
      <c r="B19" s="769"/>
    </row>
    <row r="31" spans="1:2">
      <c r="B31" s="764"/>
    </row>
  </sheetData>
  <sheetProtection password="A658" sheet="1" objects="1" scenarios="1" selectLockedCells="1" selectUnlockedCells="1"/>
  <mergeCells count="6">
    <mergeCell ref="A1:B1"/>
    <mergeCell ref="A18:B18"/>
    <mergeCell ref="A19:B19"/>
    <mergeCell ref="A4:B4"/>
    <mergeCell ref="A3:B3"/>
    <mergeCell ref="A2:B2"/>
  </mergeCells>
  <printOptions horizontalCentered="1"/>
  <pageMargins left="0.39370078740157483" right="0.39370078740157483" top="0.59055118110236227" bottom="0.39370078740157483" header="0.31496062992125984" footer="0.31496062992125984"/>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outlinePr summaryBelow="0" summaryRight="0"/>
    <pageSetUpPr fitToPage="1"/>
  </sheetPr>
  <dimension ref="A1:DF31"/>
  <sheetViews>
    <sheetView zoomScaleNormal="100" zoomScalePageLayoutView="120" workbookViewId="0">
      <pane ySplit="1" topLeftCell="A14" activePane="bottomLeft" state="frozen"/>
      <selection pane="bottomLeft" activeCell="A31" sqref="A31"/>
    </sheetView>
  </sheetViews>
  <sheetFormatPr baseColWidth="10" defaultColWidth="11.42578125" defaultRowHeight="20.25"/>
  <cols>
    <col min="1" max="1" width="16.42578125" style="20" customWidth="1"/>
    <col min="2" max="2" width="44.42578125" style="20" customWidth="1"/>
    <col min="3" max="3" width="13.5703125" style="20" customWidth="1"/>
    <col min="4" max="5" width="8.7109375" style="20" customWidth="1"/>
    <col min="6" max="6" width="14" style="20" customWidth="1"/>
    <col min="7" max="7" width="8.7109375" style="20" customWidth="1"/>
    <col min="8" max="8" width="19.42578125" style="20" bestFit="1" customWidth="1"/>
    <col min="9" max="9" width="8" style="20" bestFit="1" customWidth="1"/>
    <col min="10" max="10" width="19.42578125" style="20" customWidth="1"/>
    <col min="11" max="11" width="3.28515625" style="254" customWidth="1"/>
    <col min="12" max="12" width="16.42578125" style="20" customWidth="1"/>
    <col min="13" max="13" width="44.42578125" style="20" customWidth="1"/>
    <col min="14" max="14" width="16.85546875" style="20" customWidth="1"/>
    <col min="15" max="15" width="12.85546875" style="20" customWidth="1"/>
    <col min="16" max="16" width="13.7109375" style="20" customWidth="1"/>
    <col min="17" max="18" width="11.42578125" style="20"/>
    <col min="19" max="19" width="20.28515625" style="20" customWidth="1"/>
    <col min="20" max="20" width="8" style="20" bestFit="1" customWidth="1"/>
    <col min="21" max="21" width="19.42578125" style="20" customWidth="1"/>
    <col min="22" max="22" width="3.28515625" style="20" customWidth="1"/>
    <col min="23" max="23" width="16.42578125" style="20" customWidth="1"/>
    <col min="24" max="24" width="44.42578125" style="20" customWidth="1"/>
    <col min="25" max="25" width="16.85546875" style="20" customWidth="1"/>
    <col min="26" max="26" width="12.85546875" style="20" customWidth="1"/>
    <col min="27" max="27" width="13.7109375" style="20" customWidth="1"/>
    <col min="28" max="29" width="11.42578125" style="20"/>
    <col min="30" max="30" width="20.28515625" style="20" customWidth="1"/>
    <col min="31" max="31" width="8" style="20" bestFit="1" customWidth="1"/>
    <col min="32" max="32" width="19.42578125" style="20" customWidth="1"/>
    <col min="33" max="33" width="3.28515625" style="20" customWidth="1"/>
    <col min="34" max="34" width="16.42578125" style="20" customWidth="1"/>
    <col min="35" max="35" width="44.42578125" style="20" customWidth="1"/>
    <col min="36" max="36" width="16.85546875" style="20" customWidth="1"/>
    <col min="37" max="37" width="12.85546875" style="20" customWidth="1"/>
    <col min="38" max="38" width="13.7109375" style="20" customWidth="1"/>
    <col min="39" max="40" width="11.42578125" style="20"/>
    <col min="41" max="41" width="20.28515625" style="20" customWidth="1"/>
    <col min="42" max="42" width="8" style="20" bestFit="1" customWidth="1"/>
    <col min="43" max="43" width="19.42578125" style="20" customWidth="1"/>
    <col min="44" max="44" width="3.28515625" style="20" customWidth="1"/>
    <col min="45" max="45" width="16.42578125" style="20" customWidth="1"/>
    <col min="46" max="46" width="44.42578125" style="20" customWidth="1"/>
    <col min="47" max="47" width="16.85546875" style="20" customWidth="1"/>
    <col min="48" max="48" width="12.85546875" style="20" customWidth="1"/>
    <col min="49" max="49" width="13.7109375" style="20" customWidth="1"/>
    <col min="50" max="50" width="22.42578125" style="20" customWidth="1"/>
    <col min="51" max="51" width="11.42578125" style="20"/>
    <col min="52" max="52" width="20.28515625" style="20" customWidth="1"/>
    <col min="53" max="53" width="8" style="20" bestFit="1" customWidth="1"/>
    <col min="54" max="54" width="19.42578125" style="20" customWidth="1"/>
    <col min="55" max="55" width="3.28515625" style="20" customWidth="1"/>
    <col min="56" max="56" width="16.42578125" style="20" customWidth="1"/>
    <col min="57" max="57" width="44.42578125" style="20" customWidth="1"/>
    <col min="58" max="58" width="16.85546875" style="20" customWidth="1"/>
    <col min="59" max="59" width="12.85546875" style="20" customWidth="1"/>
    <col min="60" max="60" width="13.7109375" style="20" customWidth="1"/>
    <col min="61" max="62" width="11.42578125" style="20"/>
    <col min="63" max="63" width="20.28515625" style="20" customWidth="1"/>
    <col min="64" max="64" width="8" style="20" bestFit="1" customWidth="1"/>
    <col min="65" max="65" width="19.42578125" style="20" customWidth="1"/>
    <col min="66" max="66" width="3.28515625" style="20" customWidth="1"/>
    <col min="67" max="67" width="16.42578125" style="20" customWidth="1"/>
    <col min="68" max="68" width="44.42578125" style="20" customWidth="1"/>
    <col min="69" max="69" width="16.85546875" style="20" customWidth="1"/>
    <col min="70" max="70" width="12.85546875" style="20" customWidth="1"/>
    <col min="71" max="71" width="13.7109375" style="20" customWidth="1"/>
    <col min="72" max="72" width="18.85546875" style="20" customWidth="1"/>
    <col min="73" max="73" width="11.42578125" style="20"/>
    <col min="74" max="74" width="20.28515625" style="20" customWidth="1"/>
    <col min="75" max="75" width="8" style="20" bestFit="1" customWidth="1"/>
    <col min="76" max="76" width="19.42578125" style="20" customWidth="1"/>
    <col min="77" max="77" width="3.28515625" style="20" customWidth="1"/>
    <col min="78" max="78" width="16.42578125" style="20" customWidth="1"/>
    <col min="79" max="79" width="44.42578125" style="20" customWidth="1"/>
    <col min="80" max="80" width="16.85546875" style="20" customWidth="1"/>
    <col min="81" max="81" width="12.85546875" style="20" customWidth="1"/>
    <col min="82" max="82" width="13.7109375" style="20" customWidth="1"/>
    <col min="83" max="83" width="18.5703125" style="20" customWidth="1"/>
    <col min="84" max="84" width="11.42578125" style="20"/>
    <col min="85" max="85" width="20.28515625" style="20" customWidth="1"/>
    <col min="86" max="86" width="8" style="20" bestFit="1" customWidth="1"/>
    <col min="87" max="87" width="19.42578125" style="20" customWidth="1"/>
    <col min="88" max="88" width="3.28515625" style="20" customWidth="1"/>
    <col min="89" max="89" width="16.42578125" style="20" customWidth="1"/>
    <col min="90" max="90" width="44.42578125" style="20" customWidth="1"/>
    <col min="91" max="91" width="16.85546875" style="20" customWidth="1"/>
    <col min="92" max="92" width="12.85546875" style="20" customWidth="1"/>
    <col min="93" max="93" width="13.7109375" style="20" customWidth="1"/>
    <col min="94" max="94" width="18.7109375" style="20" customWidth="1"/>
    <col min="95" max="95" width="11.42578125" style="20"/>
    <col min="96" max="96" width="20.28515625" style="20" customWidth="1"/>
    <col min="97" max="97" width="8" style="20" bestFit="1" customWidth="1"/>
    <col min="98" max="98" width="19.42578125" style="20" customWidth="1"/>
    <col min="99" max="99" width="3.28515625" style="20" customWidth="1"/>
    <col min="100" max="100" width="16.42578125" style="20" customWidth="1"/>
    <col min="101" max="101" width="44.42578125" style="20" customWidth="1"/>
    <col min="102" max="102" width="16.85546875" style="20" customWidth="1"/>
    <col min="103" max="103" width="12.85546875" style="20" customWidth="1"/>
    <col min="104" max="104" width="13.7109375" style="20" customWidth="1"/>
    <col min="105" max="106" width="11.42578125" style="20"/>
    <col min="107" max="107" width="20.28515625" style="20" customWidth="1"/>
    <col min="108" max="108" width="8" style="20" bestFit="1" customWidth="1"/>
    <col min="109" max="109" width="19.42578125" style="20" customWidth="1"/>
    <col min="110" max="110" width="3.28515625" style="20" customWidth="1"/>
    <col min="111" max="16384" width="11.42578125" style="20"/>
  </cols>
  <sheetData>
    <row r="1" spans="1:110" ht="21" thickBot="1">
      <c r="A1" s="34">
        <f>IF(ENTREGA!A7="","",ENTREGA!A7)</f>
        <v>1</v>
      </c>
      <c r="B1" s="996" t="str">
        <f>IF(A1="","",VLOOKUP(A1,ENTREGA!$A$7:$B$16,2,FALSE))</f>
        <v>GUSTAVO ADOLFO CARMONA ALARCON</v>
      </c>
      <c r="C1" s="996"/>
      <c r="D1" s="996"/>
      <c r="E1" s="996"/>
      <c r="F1" s="996"/>
      <c r="G1" s="996"/>
      <c r="H1" s="996"/>
      <c r="I1" s="761"/>
      <c r="J1" s="761"/>
      <c r="L1" s="34">
        <f>IF(ENTREGA!A8="","",ENTREGA!A8)</f>
        <v>2</v>
      </c>
      <c r="M1" s="996" t="str">
        <f>IF(L1="","",VLOOKUP(L1,ENTREGA!$A$7:$B$16,2,FALSE))</f>
        <v>VERTICES INGENIERIA</v>
      </c>
      <c r="N1" s="996"/>
      <c r="O1" s="996"/>
      <c r="P1" s="996"/>
      <c r="Q1" s="996"/>
      <c r="R1" s="996"/>
      <c r="S1" s="996"/>
      <c r="T1" s="761"/>
      <c r="U1" s="761"/>
      <c r="W1" s="34">
        <f>IF(ENTREGA!A9="","",ENTREGA!A9)</f>
        <v>3</v>
      </c>
      <c r="X1" s="996" t="str">
        <f>IF(W1="","",VLOOKUP(W1,ENTREGA!$A$7:$B$16,2,FALSE))</f>
        <v>INGENIERIA DE ALTURA S.A.S</v>
      </c>
      <c r="Y1" s="996"/>
      <c r="Z1" s="996"/>
      <c r="AA1" s="996"/>
      <c r="AB1" s="996"/>
      <c r="AC1" s="996"/>
      <c r="AD1" s="996"/>
      <c r="AE1" s="761"/>
      <c r="AF1" s="761"/>
      <c r="AH1" s="34">
        <f>IF(ENTREGA!A10="","",ENTREGA!A10)</f>
        <v>4</v>
      </c>
      <c r="AI1" s="996" t="str">
        <f>IF(AH1="","",VLOOKUP(AH1,ENTREGA!$A$7:$B$16,2,FALSE))</f>
        <v>URBANICO S.A.S</v>
      </c>
      <c r="AJ1" s="996"/>
      <c r="AK1" s="996"/>
      <c r="AL1" s="996"/>
      <c r="AM1" s="996"/>
      <c r="AN1" s="996"/>
      <c r="AO1" s="996"/>
      <c r="AP1" s="761"/>
      <c r="AQ1" s="761"/>
      <c r="AS1" s="34">
        <f>IF(ENTREGA!A11="","",ENTREGA!A11)</f>
        <v>5</v>
      </c>
      <c r="AT1" s="996" t="str">
        <f>IF(AS1="","",VLOOKUP(AS1,ENTREGA!$A$7:$B$16,2,FALSE))</f>
        <v>LUIS ENRIQUE OYOLA QUINTERO</v>
      </c>
      <c r="AU1" s="996"/>
      <c r="AV1" s="996"/>
      <c r="AW1" s="996"/>
      <c r="AX1" s="996"/>
      <c r="AY1" s="996"/>
      <c r="AZ1" s="996"/>
      <c r="BA1" s="761"/>
      <c r="BB1" s="761"/>
      <c r="BD1" s="34">
        <f>IF(ENTREGA!A12="","",ENTREGA!A12)</f>
        <v>6</v>
      </c>
      <c r="BE1" s="996" t="str">
        <f>IF(BD1="","",VLOOKUP(BD1,ENTREGA!$A$7:$B$16,2,FALSE))</f>
        <v>INGAP S.A.S</v>
      </c>
      <c r="BF1" s="996"/>
      <c r="BG1" s="996"/>
      <c r="BH1" s="996"/>
      <c r="BI1" s="996"/>
      <c r="BJ1" s="996"/>
      <c r="BK1" s="996"/>
      <c r="BL1" s="761"/>
      <c r="BM1" s="761"/>
      <c r="BO1" s="34">
        <f>IF(ENTREGA!A13="","",ENTREGA!A13)</f>
        <v>7</v>
      </c>
      <c r="BP1" s="996" t="str">
        <f>IF(BO1="","",VLOOKUP(BO1,ENTREGA!$A$7:$B$16,2,FALSE))</f>
        <v>GUSTAVO ENRIQUE CARDONA VERGARA</v>
      </c>
      <c r="BQ1" s="996"/>
      <c r="BR1" s="996"/>
      <c r="BS1" s="996"/>
      <c r="BT1" s="996"/>
      <c r="BU1" s="996"/>
      <c r="BV1" s="996"/>
      <c r="BW1" s="761"/>
      <c r="BX1" s="761"/>
      <c r="BZ1" s="34">
        <f>IF(ENTREGA!A14="","",ENTREGA!A14)</f>
        <v>8</v>
      </c>
      <c r="CA1" s="996" t="str">
        <f>IF(BZ1="","",VLOOKUP(BZ1,ENTREGA!$A$7:$B$16,2,FALSE))</f>
        <v>ASESORES EMPRESARIALES Y CONSTRUCTORES S.A.S</v>
      </c>
      <c r="CB1" s="996"/>
      <c r="CC1" s="996"/>
      <c r="CD1" s="996"/>
      <c r="CE1" s="996"/>
      <c r="CF1" s="996"/>
      <c r="CG1" s="996"/>
      <c r="CH1" s="761"/>
      <c r="CI1" s="761"/>
      <c r="CK1" s="34">
        <f>IF(ENTREGA!A15="","",ENTREGA!A15)</f>
        <v>9</v>
      </c>
      <c r="CL1" s="996" t="str">
        <f>IF(CK1="","",VLOOKUP(CK1,ENTREGA!$A$7:$B$16,2,FALSE))</f>
        <v>DANIEL JOSE NIEVES VERGARA</v>
      </c>
      <c r="CM1" s="996"/>
      <c r="CN1" s="996"/>
      <c r="CO1" s="996"/>
      <c r="CP1" s="996"/>
      <c r="CQ1" s="996"/>
      <c r="CR1" s="996"/>
      <c r="CS1" s="761"/>
      <c r="CT1" s="761"/>
      <c r="CV1" s="34">
        <f>IF(ENTREGA!A16="","",ENTREGA!A16)</f>
        <v>10</v>
      </c>
      <c r="CW1" s="996" t="str">
        <f>IF(CV1="","",VLOOKUP(CV1,ENTREGA!$A$7:$B$16,2,FALSE))</f>
        <v>BETEL INGENIEROS S.A.S</v>
      </c>
      <c r="CX1" s="996"/>
      <c r="CY1" s="996"/>
      <c r="CZ1" s="996"/>
      <c r="DA1" s="996"/>
      <c r="DB1" s="996"/>
      <c r="DC1" s="996"/>
      <c r="DD1" s="761"/>
      <c r="DE1" s="761"/>
    </row>
    <row r="2" spans="1:110" ht="86.25" customHeight="1" thickTop="1" thickBot="1">
      <c r="A2" s="1004"/>
      <c r="B2" s="1005"/>
      <c r="C2" s="999" t="s">
        <v>304</v>
      </c>
      <c r="D2" s="999"/>
      <c r="E2" s="999"/>
      <c r="F2" s="999"/>
      <c r="G2" s="999"/>
      <c r="H2" s="1000"/>
      <c r="I2" s="763"/>
      <c r="J2" s="763"/>
      <c r="L2" s="1004" t="s">
        <v>178</v>
      </c>
      <c r="M2" s="1005"/>
      <c r="N2" s="999" t="s">
        <v>304</v>
      </c>
      <c r="O2" s="999"/>
      <c r="P2" s="999"/>
      <c r="Q2" s="999"/>
      <c r="R2" s="999"/>
      <c r="S2" s="1000"/>
      <c r="T2" s="763"/>
      <c r="U2" s="763"/>
      <c r="V2" s="254"/>
      <c r="W2" s="997" t="s">
        <v>178</v>
      </c>
      <c r="X2" s="998"/>
      <c r="Y2" s="999" t="s">
        <v>304</v>
      </c>
      <c r="Z2" s="999"/>
      <c r="AA2" s="999"/>
      <c r="AB2" s="999"/>
      <c r="AC2" s="999"/>
      <c r="AD2" s="1000"/>
      <c r="AE2" s="763"/>
      <c r="AF2" s="763"/>
      <c r="AG2" s="254"/>
      <c r="AH2" s="997" t="s">
        <v>178</v>
      </c>
      <c r="AI2" s="998"/>
      <c r="AJ2" s="999" t="s">
        <v>304</v>
      </c>
      <c r="AK2" s="999"/>
      <c r="AL2" s="999"/>
      <c r="AM2" s="999"/>
      <c r="AN2" s="999"/>
      <c r="AO2" s="1000"/>
      <c r="AP2" s="763"/>
      <c r="AQ2" s="763"/>
      <c r="AR2" s="254"/>
      <c r="AS2" s="997" t="s">
        <v>178</v>
      </c>
      <c r="AT2" s="998"/>
      <c r="AU2" s="999" t="s">
        <v>304</v>
      </c>
      <c r="AV2" s="999"/>
      <c r="AW2" s="999"/>
      <c r="AX2" s="999"/>
      <c r="AY2" s="999"/>
      <c r="AZ2" s="1000"/>
      <c r="BA2" s="763"/>
      <c r="BB2" s="763"/>
      <c r="BC2" s="254"/>
      <c r="BD2" s="997" t="s">
        <v>178</v>
      </c>
      <c r="BE2" s="998"/>
      <c r="BF2" s="999" t="s">
        <v>304</v>
      </c>
      <c r="BG2" s="999"/>
      <c r="BH2" s="999"/>
      <c r="BI2" s="999"/>
      <c r="BJ2" s="999"/>
      <c r="BK2" s="1000"/>
      <c r="BL2" s="763"/>
      <c r="BM2" s="763"/>
      <c r="BN2" s="254"/>
      <c r="BO2" s="997"/>
      <c r="BP2" s="998"/>
      <c r="BQ2" s="999" t="s">
        <v>304</v>
      </c>
      <c r="BR2" s="999"/>
      <c r="BS2" s="999"/>
      <c r="BT2" s="999"/>
      <c r="BU2" s="999"/>
      <c r="BV2" s="1000"/>
      <c r="BW2" s="763"/>
      <c r="BX2" s="763"/>
      <c r="BY2" s="254"/>
      <c r="BZ2" s="997"/>
      <c r="CA2" s="998"/>
      <c r="CB2" s="999" t="s">
        <v>304</v>
      </c>
      <c r="CC2" s="999"/>
      <c r="CD2" s="999"/>
      <c r="CE2" s="999"/>
      <c r="CF2" s="999"/>
      <c r="CG2" s="1000"/>
      <c r="CH2" s="763"/>
      <c r="CI2" s="763"/>
      <c r="CJ2" s="254"/>
      <c r="CK2" s="997"/>
      <c r="CL2" s="998"/>
      <c r="CM2" s="999" t="s">
        <v>304</v>
      </c>
      <c r="CN2" s="999"/>
      <c r="CO2" s="999"/>
      <c r="CP2" s="999"/>
      <c r="CQ2" s="999"/>
      <c r="CR2" s="1000"/>
      <c r="CS2" s="763"/>
      <c r="CT2" s="763"/>
      <c r="CU2" s="254"/>
      <c r="CV2" s="997" t="s">
        <v>178</v>
      </c>
      <c r="CW2" s="998"/>
      <c r="CX2" s="999" t="s">
        <v>304</v>
      </c>
      <c r="CY2" s="999"/>
      <c r="CZ2" s="999"/>
      <c r="DA2" s="999"/>
      <c r="DB2" s="999"/>
      <c r="DC2" s="1000"/>
      <c r="DD2" s="763"/>
      <c r="DE2" s="763"/>
      <c r="DF2" s="254"/>
    </row>
    <row r="3" spans="1:110" ht="37.5" thickTop="1" thickBot="1">
      <c r="A3" s="227" t="s">
        <v>305</v>
      </c>
      <c r="B3" s="229" t="s">
        <v>306</v>
      </c>
      <c r="C3" s="366" t="s">
        <v>74</v>
      </c>
      <c r="D3" s="229" t="s">
        <v>75</v>
      </c>
      <c r="E3" s="228" t="s">
        <v>307</v>
      </c>
      <c r="F3" s="367" t="s">
        <v>308</v>
      </c>
      <c r="G3" s="367" t="s">
        <v>76</v>
      </c>
      <c r="H3" s="368" t="s">
        <v>38</v>
      </c>
      <c r="I3" s="895" t="s">
        <v>525</v>
      </c>
      <c r="J3" s="896"/>
      <c r="L3" s="227" t="s">
        <v>305</v>
      </c>
      <c r="M3" s="229" t="s">
        <v>306</v>
      </c>
      <c r="N3" s="366" t="s">
        <v>74</v>
      </c>
      <c r="O3" s="229" t="s">
        <v>75</v>
      </c>
      <c r="P3" s="228" t="s">
        <v>307</v>
      </c>
      <c r="Q3" s="367" t="s">
        <v>308</v>
      </c>
      <c r="R3" s="367" t="s">
        <v>76</v>
      </c>
      <c r="S3" s="368" t="s">
        <v>38</v>
      </c>
      <c r="T3" s="895" t="s">
        <v>525</v>
      </c>
      <c r="U3" s="896"/>
      <c r="V3" s="254"/>
      <c r="W3" s="227" t="s">
        <v>305</v>
      </c>
      <c r="X3" s="229" t="s">
        <v>306</v>
      </c>
      <c r="Y3" s="366" t="s">
        <v>74</v>
      </c>
      <c r="Z3" s="229" t="s">
        <v>75</v>
      </c>
      <c r="AA3" s="228" t="s">
        <v>307</v>
      </c>
      <c r="AB3" s="367" t="s">
        <v>308</v>
      </c>
      <c r="AC3" s="367" t="s">
        <v>76</v>
      </c>
      <c r="AD3" s="368" t="s">
        <v>38</v>
      </c>
      <c r="AE3" s="895" t="s">
        <v>525</v>
      </c>
      <c r="AF3" s="896"/>
      <c r="AG3" s="254"/>
      <c r="AH3" s="227" t="s">
        <v>305</v>
      </c>
      <c r="AI3" s="229" t="s">
        <v>306</v>
      </c>
      <c r="AJ3" s="366" t="s">
        <v>74</v>
      </c>
      <c r="AK3" s="229" t="s">
        <v>75</v>
      </c>
      <c r="AL3" s="228" t="s">
        <v>307</v>
      </c>
      <c r="AM3" s="367" t="s">
        <v>308</v>
      </c>
      <c r="AN3" s="367" t="s">
        <v>76</v>
      </c>
      <c r="AO3" s="368" t="s">
        <v>38</v>
      </c>
      <c r="AP3" s="895" t="s">
        <v>525</v>
      </c>
      <c r="AQ3" s="896"/>
      <c r="AR3" s="254"/>
      <c r="AS3" s="227" t="s">
        <v>305</v>
      </c>
      <c r="AT3" s="229" t="s">
        <v>306</v>
      </c>
      <c r="AU3" s="366" t="s">
        <v>74</v>
      </c>
      <c r="AV3" s="229" t="s">
        <v>75</v>
      </c>
      <c r="AW3" s="228" t="s">
        <v>307</v>
      </c>
      <c r="AX3" s="367" t="s">
        <v>308</v>
      </c>
      <c r="AY3" s="367" t="s">
        <v>76</v>
      </c>
      <c r="AZ3" s="368" t="s">
        <v>38</v>
      </c>
      <c r="BA3" s="895" t="s">
        <v>525</v>
      </c>
      <c r="BB3" s="896"/>
      <c r="BC3" s="254"/>
      <c r="BD3" s="227" t="s">
        <v>305</v>
      </c>
      <c r="BE3" s="229" t="s">
        <v>306</v>
      </c>
      <c r="BF3" s="366" t="s">
        <v>74</v>
      </c>
      <c r="BG3" s="229" t="s">
        <v>75</v>
      </c>
      <c r="BH3" s="228" t="s">
        <v>307</v>
      </c>
      <c r="BI3" s="367" t="s">
        <v>308</v>
      </c>
      <c r="BJ3" s="367" t="s">
        <v>76</v>
      </c>
      <c r="BK3" s="368" t="s">
        <v>38</v>
      </c>
      <c r="BL3" s="895" t="s">
        <v>525</v>
      </c>
      <c r="BM3" s="896"/>
      <c r="BN3" s="254"/>
      <c r="BO3" s="227" t="s">
        <v>305</v>
      </c>
      <c r="BP3" s="229" t="s">
        <v>306</v>
      </c>
      <c r="BQ3" s="366" t="s">
        <v>74</v>
      </c>
      <c r="BR3" s="229" t="s">
        <v>75</v>
      </c>
      <c r="BS3" s="228" t="s">
        <v>307</v>
      </c>
      <c r="BT3" s="367" t="s">
        <v>308</v>
      </c>
      <c r="BU3" s="367" t="s">
        <v>76</v>
      </c>
      <c r="BV3" s="368" t="s">
        <v>38</v>
      </c>
      <c r="BW3" s="895" t="s">
        <v>525</v>
      </c>
      <c r="BX3" s="896"/>
      <c r="BY3" s="254"/>
      <c r="BZ3" s="227" t="s">
        <v>305</v>
      </c>
      <c r="CA3" s="229" t="s">
        <v>306</v>
      </c>
      <c r="CB3" s="366" t="s">
        <v>74</v>
      </c>
      <c r="CC3" s="229" t="s">
        <v>75</v>
      </c>
      <c r="CD3" s="228" t="s">
        <v>307</v>
      </c>
      <c r="CE3" s="367" t="s">
        <v>308</v>
      </c>
      <c r="CF3" s="367" t="s">
        <v>76</v>
      </c>
      <c r="CG3" s="368" t="s">
        <v>38</v>
      </c>
      <c r="CH3" s="895" t="s">
        <v>525</v>
      </c>
      <c r="CI3" s="896"/>
      <c r="CJ3" s="254"/>
      <c r="CK3" s="227" t="s">
        <v>305</v>
      </c>
      <c r="CL3" s="229" t="s">
        <v>306</v>
      </c>
      <c r="CM3" s="366" t="s">
        <v>74</v>
      </c>
      <c r="CN3" s="229" t="s">
        <v>75</v>
      </c>
      <c r="CO3" s="228" t="s">
        <v>307</v>
      </c>
      <c r="CP3" s="367" t="s">
        <v>308</v>
      </c>
      <c r="CQ3" s="367" t="s">
        <v>76</v>
      </c>
      <c r="CR3" s="368" t="s">
        <v>38</v>
      </c>
      <c r="CS3" s="895" t="s">
        <v>525</v>
      </c>
      <c r="CT3" s="896"/>
      <c r="CU3" s="254"/>
      <c r="CV3" s="227" t="s">
        <v>305</v>
      </c>
      <c r="CW3" s="229" t="s">
        <v>306</v>
      </c>
      <c r="CX3" s="366" t="s">
        <v>74</v>
      </c>
      <c r="CY3" s="229" t="s">
        <v>75</v>
      </c>
      <c r="CZ3" s="228" t="s">
        <v>307</v>
      </c>
      <c r="DA3" s="367" t="s">
        <v>308</v>
      </c>
      <c r="DB3" s="367" t="s">
        <v>76</v>
      </c>
      <c r="DC3" s="368" t="s">
        <v>38</v>
      </c>
      <c r="DD3" s="895" t="s">
        <v>525</v>
      </c>
      <c r="DE3" s="896"/>
      <c r="DF3" s="254"/>
    </row>
    <row r="4" spans="1:110" ht="21.75" thickTop="1" thickBot="1">
      <c r="A4" s="230" t="s">
        <v>156</v>
      </c>
      <c r="B4" s="369" t="s">
        <v>157</v>
      </c>
      <c r="C4" s="370"/>
      <c r="D4" s="231"/>
      <c r="E4" s="231"/>
      <c r="F4" s="231"/>
      <c r="G4" s="232"/>
      <c r="H4" s="371"/>
      <c r="I4" s="710"/>
      <c r="J4" s="710"/>
      <c r="L4" s="230" t="s">
        <v>156</v>
      </c>
      <c r="M4" s="369" t="s">
        <v>157</v>
      </c>
      <c r="N4" s="370"/>
      <c r="O4" s="231"/>
      <c r="P4" s="231"/>
      <c r="Q4" s="231"/>
      <c r="R4" s="232"/>
      <c r="S4" s="371"/>
      <c r="T4" s="710"/>
      <c r="U4" s="710"/>
      <c r="V4" s="254"/>
      <c r="W4" s="230" t="s">
        <v>156</v>
      </c>
      <c r="X4" s="369" t="s">
        <v>157</v>
      </c>
      <c r="Y4" s="370"/>
      <c r="Z4" s="231"/>
      <c r="AA4" s="231"/>
      <c r="AB4" s="231"/>
      <c r="AC4" s="232"/>
      <c r="AD4" s="371"/>
      <c r="AE4" s="710"/>
      <c r="AF4" s="710"/>
      <c r="AG4" s="254"/>
      <c r="AH4" s="230" t="s">
        <v>156</v>
      </c>
      <c r="AI4" s="369" t="s">
        <v>157</v>
      </c>
      <c r="AJ4" s="370"/>
      <c r="AK4" s="231"/>
      <c r="AL4" s="231"/>
      <c r="AM4" s="231"/>
      <c r="AN4" s="232"/>
      <c r="AO4" s="371"/>
      <c r="AP4" s="710"/>
      <c r="AQ4" s="710"/>
      <c r="AR4" s="254"/>
      <c r="AS4" s="230" t="s">
        <v>156</v>
      </c>
      <c r="AT4" s="369" t="s">
        <v>157</v>
      </c>
      <c r="AU4" s="370"/>
      <c r="AV4" s="231"/>
      <c r="AW4" s="231"/>
      <c r="AX4" s="231"/>
      <c r="AY4" s="232"/>
      <c r="AZ4" s="371"/>
      <c r="BA4" s="710"/>
      <c r="BB4" s="710"/>
      <c r="BC4" s="254"/>
      <c r="BD4" s="230" t="s">
        <v>156</v>
      </c>
      <c r="BE4" s="369" t="s">
        <v>157</v>
      </c>
      <c r="BF4" s="370"/>
      <c r="BG4" s="231"/>
      <c r="BH4" s="231"/>
      <c r="BI4" s="231"/>
      <c r="BJ4" s="232"/>
      <c r="BK4" s="371"/>
      <c r="BL4" s="710"/>
      <c r="BM4" s="710"/>
      <c r="BN4" s="254"/>
      <c r="BO4" s="230" t="s">
        <v>156</v>
      </c>
      <c r="BP4" s="369" t="s">
        <v>157</v>
      </c>
      <c r="BQ4" s="370"/>
      <c r="BR4" s="231"/>
      <c r="BS4" s="231"/>
      <c r="BT4" s="231"/>
      <c r="BU4" s="232"/>
      <c r="BV4" s="371"/>
      <c r="BW4" s="710"/>
      <c r="BX4" s="710"/>
      <c r="BY4" s="254"/>
      <c r="BZ4" s="230" t="s">
        <v>156</v>
      </c>
      <c r="CA4" s="369" t="s">
        <v>157</v>
      </c>
      <c r="CB4" s="370"/>
      <c r="CC4" s="231"/>
      <c r="CD4" s="231"/>
      <c r="CE4" s="231"/>
      <c r="CF4" s="232"/>
      <c r="CG4" s="371"/>
      <c r="CH4" s="710"/>
      <c r="CI4" s="710"/>
      <c r="CJ4" s="254"/>
      <c r="CK4" s="230" t="s">
        <v>156</v>
      </c>
      <c r="CL4" s="369" t="s">
        <v>157</v>
      </c>
      <c r="CM4" s="370"/>
      <c r="CN4" s="231"/>
      <c r="CO4" s="231"/>
      <c r="CP4" s="231"/>
      <c r="CQ4" s="232"/>
      <c r="CR4" s="371"/>
      <c r="CS4" s="710"/>
      <c r="CT4" s="710"/>
      <c r="CU4" s="254"/>
      <c r="CV4" s="230" t="s">
        <v>156</v>
      </c>
      <c r="CW4" s="369" t="s">
        <v>157</v>
      </c>
      <c r="CX4" s="370"/>
      <c r="CY4" s="231"/>
      <c r="CZ4" s="231"/>
      <c r="DA4" s="231"/>
      <c r="DB4" s="232"/>
      <c r="DC4" s="371"/>
      <c r="DD4" s="710"/>
      <c r="DE4" s="710"/>
      <c r="DF4" s="254"/>
    </row>
    <row r="5" spans="1:110" ht="21.75" thickTop="1" thickBot="1">
      <c r="A5" s="233" t="s">
        <v>158</v>
      </c>
      <c r="B5" s="372" t="s">
        <v>159</v>
      </c>
      <c r="C5" s="373"/>
      <c r="D5" s="234"/>
      <c r="E5" s="234"/>
      <c r="F5" s="234"/>
      <c r="G5" s="235"/>
      <c r="H5" s="374"/>
      <c r="I5" s="704"/>
      <c r="J5" s="760"/>
      <c r="L5" s="233" t="s">
        <v>158</v>
      </c>
      <c r="M5" s="372" t="s">
        <v>159</v>
      </c>
      <c r="N5" s="373"/>
      <c r="O5" s="234"/>
      <c r="P5" s="234"/>
      <c r="Q5" s="234"/>
      <c r="R5" s="235"/>
      <c r="S5" s="374"/>
      <c r="T5" s="704"/>
      <c r="U5" s="760"/>
      <c r="V5" s="254"/>
      <c r="W5" s="233" t="s">
        <v>158</v>
      </c>
      <c r="X5" s="372" t="s">
        <v>159</v>
      </c>
      <c r="Y5" s="373"/>
      <c r="Z5" s="234"/>
      <c r="AA5" s="234"/>
      <c r="AB5" s="234"/>
      <c r="AC5" s="235"/>
      <c r="AD5" s="374"/>
      <c r="AE5" s="704"/>
      <c r="AF5" s="760"/>
      <c r="AG5" s="254"/>
      <c r="AH5" s="233" t="s">
        <v>158</v>
      </c>
      <c r="AI5" s="372" t="s">
        <v>159</v>
      </c>
      <c r="AJ5" s="373"/>
      <c r="AK5" s="234"/>
      <c r="AL5" s="234"/>
      <c r="AM5" s="234"/>
      <c r="AN5" s="235"/>
      <c r="AO5" s="374"/>
      <c r="AP5" s="704"/>
      <c r="AQ5" s="760"/>
      <c r="AR5" s="254"/>
      <c r="AS5" s="233" t="s">
        <v>158</v>
      </c>
      <c r="AT5" s="372" t="s">
        <v>159</v>
      </c>
      <c r="AU5" s="373"/>
      <c r="AV5" s="234"/>
      <c r="AW5" s="234"/>
      <c r="AX5" s="234"/>
      <c r="AY5" s="235"/>
      <c r="AZ5" s="374"/>
      <c r="BA5" s="704"/>
      <c r="BB5" s="760"/>
      <c r="BC5" s="254"/>
      <c r="BD5" s="233" t="s">
        <v>158</v>
      </c>
      <c r="BE5" s="372" t="s">
        <v>159</v>
      </c>
      <c r="BF5" s="373"/>
      <c r="BG5" s="234"/>
      <c r="BH5" s="234"/>
      <c r="BI5" s="234"/>
      <c r="BJ5" s="235"/>
      <c r="BK5" s="374"/>
      <c r="BL5" s="704"/>
      <c r="BM5" s="760"/>
      <c r="BN5" s="254"/>
      <c r="BO5" s="233" t="s">
        <v>158</v>
      </c>
      <c r="BP5" s="372" t="s">
        <v>159</v>
      </c>
      <c r="BQ5" s="373"/>
      <c r="BR5" s="234"/>
      <c r="BS5" s="234"/>
      <c r="BT5" s="234"/>
      <c r="BU5" s="235"/>
      <c r="BV5" s="374"/>
      <c r="BW5" s="704"/>
      <c r="BX5" s="760"/>
      <c r="BY5" s="254"/>
      <c r="BZ5" s="233" t="s">
        <v>158</v>
      </c>
      <c r="CA5" s="372" t="s">
        <v>159</v>
      </c>
      <c r="CB5" s="373"/>
      <c r="CC5" s="234"/>
      <c r="CD5" s="234"/>
      <c r="CE5" s="234"/>
      <c r="CF5" s="235"/>
      <c r="CG5" s="374"/>
      <c r="CH5" s="704"/>
      <c r="CI5" s="760"/>
      <c r="CJ5" s="254"/>
      <c r="CK5" s="233" t="s">
        <v>158</v>
      </c>
      <c r="CL5" s="372" t="s">
        <v>159</v>
      </c>
      <c r="CM5" s="373"/>
      <c r="CN5" s="234"/>
      <c r="CO5" s="234"/>
      <c r="CP5" s="234"/>
      <c r="CQ5" s="235"/>
      <c r="CR5" s="374"/>
      <c r="CS5" s="704"/>
      <c r="CT5" s="760"/>
      <c r="CU5" s="254"/>
      <c r="CV5" s="233" t="s">
        <v>158</v>
      </c>
      <c r="CW5" s="372" t="s">
        <v>159</v>
      </c>
      <c r="CX5" s="373"/>
      <c r="CY5" s="234"/>
      <c r="CZ5" s="234"/>
      <c r="DA5" s="234"/>
      <c r="DB5" s="235"/>
      <c r="DC5" s="374"/>
      <c r="DD5" s="704"/>
      <c r="DE5" s="760"/>
      <c r="DF5" s="254"/>
    </row>
    <row r="6" spans="1:110" s="10" customFormat="1" ht="21.75" thickTop="1" thickBot="1">
      <c r="A6" s="236" t="s">
        <v>309</v>
      </c>
      <c r="B6" s="375" t="s">
        <v>160</v>
      </c>
      <c r="C6" s="376">
        <v>2898406</v>
      </c>
      <c r="D6" s="237">
        <v>1.78</v>
      </c>
      <c r="E6" s="238">
        <v>1</v>
      </c>
      <c r="F6" s="246">
        <v>3</v>
      </c>
      <c r="G6" s="247">
        <v>1</v>
      </c>
      <c r="H6" s="377">
        <f>ROUND((C6*D6*E6*F6*G6),0)</f>
        <v>15477488</v>
      </c>
      <c r="I6" s="704"/>
      <c r="J6" s="760">
        <f>ROUND((C6*D6*E6*F6*G6),0)</f>
        <v>15477488</v>
      </c>
      <c r="K6" s="255">
        <f>+IF(OR(C6=0,D6=0),1,0)</f>
        <v>0</v>
      </c>
      <c r="L6" s="236" t="s">
        <v>309</v>
      </c>
      <c r="M6" s="375" t="s">
        <v>160</v>
      </c>
      <c r="N6" s="376">
        <v>3000000</v>
      </c>
      <c r="O6" s="237">
        <v>1.54</v>
      </c>
      <c r="P6" s="238">
        <v>1</v>
      </c>
      <c r="Q6" s="246">
        <v>3</v>
      </c>
      <c r="R6" s="247">
        <v>1</v>
      </c>
      <c r="S6" s="377">
        <f>ROUND((N6*O6*P6*Q6*R6),0)</f>
        <v>13860000</v>
      </c>
      <c r="T6" s="704"/>
      <c r="U6" s="760">
        <f>ROUND((N6*O6*P6*Q6*R6),0)</f>
        <v>13860000</v>
      </c>
      <c r="V6" s="255">
        <f>+IF(OR(N6=0,O6=0),1,0)</f>
        <v>0</v>
      </c>
      <c r="W6" s="236" t="s">
        <v>309</v>
      </c>
      <c r="X6" s="375" t="s">
        <v>160</v>
      </c>
      <c r="Y6" s="376">
        <v>2898406</v>
      </c>
      <c r="Z6" s="237">
        <v>1.583</v>
      </c>
      <c r="AA6" s="238">
        <v>1</v>
      </c>
      <c r="AB6" s="246">
        <v>3</v>
      </c>
      <c r="AC6" s="247">
        <v>1</v>
      </c>
      <c r="AD6" s="377">
        <f>ROUND((Y6*Z6*AA6*AB6*AC6),0)</f>
        <v>13764530</v>
      </c>
      <c r="AE6" s="704"/>
      <c r="AF6" s="760">
        <f>ROUND((Y6*Z6*AA6*AB6*AC6),0)</f>
        <v>13764530</v>
      </c>
      <c r="AG6" s="255">
        <f>+IF(OR(Y6=0,Z6=0),1,0)</f>
        <v>0</v>
      </c>
      <c r="AH6" s="236" t="s">
        <v>309</v>
      </c>
      <c r="AI6" s="375" t="s">
        <v>160</v>
      </c>
      <c r="AJ6" s="376">
        <v>2900000</v>
      </c>
      <c r="AK6" s="237">
        <v>1.45</v>
      </c>
      <c r="AL6" s="238">
        <v>1</v>
      </c>
      <c r="AM6" s="246">
        <v>3</v>
      </c>
      <c r="AN6" s="247">
        <v>1</v>
      </c>
      <c r="AO6" s="377">
        <f>ROUND((AJ6*AK6*AL6*AM6*AN6),0)</f>
        <v>12615000</v>
      </c>
      <c r="AP6" s="704"/>
      <c r="AQ6" s="760">
        <f>ROUND((AJ6*AK6*AL6*AM6*AN6),0)</f>
        <v>12615000</v>
      </c>
      <c r="AR6" s="255">
        <f>+IF(OR(AJ6=0,AK6=0),1,0)</f>
        <v>0</v>
      </c>
      <c r="AS6" s="236" t="s">
        <v>309</v>
      </c>
      <c r="AT6" s="375" t="s">
        <v>160</v>
      </c>
      <c r="AU6" s="376">
        <v>2898406</v>
      </c>
      <c r="AV6" s="237">
        <v>1.6</v>
      </c>
      <c r="AW6" s="238">
        <v>1</v>
      </c>
      <c r="AX6" s="246">
        <v>3</v>
      </c>
      <c r="AY6" s="247">
        <v>1</v>
      </c>
      <c r="AZ6" s="377">
        <f>ROUND((AU6*AV6*AW6*AX6*AY6),0)</f>
        <v>13912349</v>
      </c>
      <c r="BA6" s="704"/>
      <c r="BB6" s="760">
        <f>ROUND((AU6*AV6*AW6*AX6*AY6),0)</f>
        <v>13912349</v>
      </c>
      <c r="BC6" s="255">
        <f>+IF(OR(AU6=0,AV6=0),1,0)</f>
        <v>0</v>
      </c>
      <c r="BD6" s="236" t="s">
        <v>309</v>
      </c>
      <c r="BE6" s="375" t="s">
        <v>160</v>
      </c>
      <c r="BF6" s="376">
        <v>3200000</v>
      </c>
      <c r="BG6" s="237">
        <v>1.48</v>
      </c>
      <c r="BH6" s="238">
        <v>1</v>
      </c>
      <c r="BI6" s="246">
        <v>3</v>
      </c>
      <c r="BJ6" s="247">
        <v>1</v>
      </c>
      <c r="BK6" s="377">
        <f>ROUND((BF6*BG6*BH6*BI6*BJ6),0)</f>
        <v>14208000</v>
      </c>
      <c r="BL6" s="704"/>
      <c r="BM6" s="760">
        <f>ROUND((BF6*BG6*BH6*BI6*BJ6),0)</f>
        <v>14208000</v>
      </c>
      <c r="BN6" s="255">
        <f>+IF(OR(BF6=0,BG6=0),1,0)</f>
        <v>0</v>
      </c>
      <c r="BO6" s="236" t="s">
        <v>309</v>
      </c>
      <c r="BP6" s="375" t="s">
        <v>160</v>
      </c>
      <c r="BQ6" s="376">
        <v>2900000</v>
      </c>
      <c r="BR6" s="237">
        <v>1.58</v>
      </c>
      <c r="BS6" s="238">
        <v>1</v>
      </c>
      <c r="BT6" s="246">
        <v>3</v>
      </c>
      <c r="BU6" s="247">
        <v>1</v>
      </c>
      <c r="BV6" s="377">
        <f>ROUND((BQ6*BR6*BS6*BT6*BU6),0)</f>
        <v>13746000</v>
      </c>
      <c r="BW6" s="704"/>
      <c r="BX6" s="760">
        <f>ROUND((BQ6*BR6*BS6*BT6*BU6),0)</f>
        <v>13746000</v>
      </c>
      <c r="BY6" s="255">
        <f>+IF(OR(BQ6=0,BR6=0),1,0)</f>
        <v>0</v>
      </c>
      <c r="BZ6" s="236" t="s">
        <v>309</v>
      </c>
      <c r="CA6" s="375" t="s">
        <v>160</v>
      </c>
      <c r="CB6" s="376">
        <v>2898406</v>
      </c>
      <c r="CC6" s="237">
        <v>1.59</v>
      </c>
      <c r="CD6" s="238">
        <v>1</v>
      </c>
      <c r="CE6" s="246">
        <v>3</v>
      </c>
      <c r="CF6" s="247">
        <v>1</v>
      </c>
      <c r="CG6" s="377">
        <f>ROUND((CB6*CC6*CD6*CE6*CF6),0)</f>
        <v>13825397</v>
      </c>
      <c r="CH6" s="704"/>
      <c r="CI6" s="760">
        <f>ROUND((CB6*CC6*CD6*CE6*CF6),0)</f>
        <v>13825397</v>
      </c>
      <c r="CJ6" s="255">
        <f>+IF(OR(CB6=0,CC6=0),1,0)</f>
        <v>0</v>
      </c>
      <c r="CK6" s="236" t="s">
        <v>309</v>
      </c>
      <c r="CL6" s="375" t="s">
        <v>160</v>
      </c>
      <c r="CM6" s="376">
        <v>2898406</v>
      </c>
      <c r="CN6" s="237">
        <v>1.59</v>
      </c>
      <c r="CO6" s="238">
        <v>1</v>
      </c>
      <c r="CP6" s="246">
        <v>3</v>
      </c>
      <c r="CQ6" s="247">
        <v>1</v>
      </c>
      <c r="CR6" s="377">
        <f>ROUND((CM6*CN6*CO6*CP6*CQ6),0)</f>
        <v>13825397</v>
      </c>
      <c r="CS6" s="704"/>
      <c r="CT6" s="760">
        <f>ROUND((CM6*CN6*CO6*CP6*CQ6),0)</f>
        <v>13825397</v>
      </c>
      <c r="CU6" s="255">
        <f>+IF(OR(CM6=0,CN6=0),1,0)</f>
        <v>0</v>
      </c>
      <c r="CV6" s="236" t="s">
        <v>309</v>
      </c>
      <c r="CW6" s="375" t="s">
        <v>160</v>
      </c>
      <c r="CX6" s="376">
        <v>2898406</v>
      </c>
      <c r="CY6" s="237">
        <v>1.61</v>
      </c>
      <c r="CZ6" s="238">
        <v>1</v>
      </c>
      <c r="DA6" s="246">
        <v>3</v>
      </c>
      <c r="DB6" s="247">
        <v>1</v>
      </c>
      <c r="DC6" s="377">
        <f>ROUND((CX6*CY6*CZ6*DA6*DB6),0)</f>
        <v>13999301</v>
      </c>
      <c r="DD6" s="704"/>
      <c r="DE6" s="760">
        <f>ROUND((CX6*CY6*CZ6*DA6*DB6),0)</f>
        <v>13999301</v>
      </c>
      <c r="DF6" s="255">
        <f>+IF(OR(CX6=0,CY6=0),1,0)</f>
        <v>0</v>
      </c>
    </row>
    <row r="7" spans="1:110" s="10" customFormat="1" ht="27" thickTop="1" thickBot="1">
      <c r="A7" s="230" t="s">
        <v>161</v>
      </c>
      <c r="B7" s="369" t="s">
        <v>162</v>
      </c>
      <c r="C7" s="378"/>
      <c r="D7" s="239"/>
      <c r="E7" s="239"/>
      <c r="F7" s="241"/>
      <c r="G7" s="242"/>
      <c r="H7" s="379"/>
      <c r="I7" s="704"/>
      <c r="J7" s="760"/>
      <c r="K7" s="255"/>
      <c r="L7" s="230" t="s">
        <v>161</v>
      </c>
      <c r="M7" s="369" t="s">
        <v>162</v>
      </c>
      <c r="N7" s="378"/>
      <c r="O7" s="239"/>
      <c r="P7" s="239"/>
      <c r="Q7" s="241"/>
      <c r="R7" s="242"/>
      <c r="S7" s="379"/>
      <c r="T7" s="704"/>
      <c r="U7" s="760"/>
      <c r="V7" s="255"/>
      <c r="W7" s="230" t="s">
        <v>161</v>
      </c>
      <c r="X7" s="369" t="s">
        <v>162</v>
      </c>
      <c r="Y7" s="378"/>
      <c r="Z7" s="239"/>
      <c r="AA7" s="239"/>
      <c r="AB7" s="241"/>
      <c r="AC7" s="242"/>
      <c r="AD7" s="379"/>
      <c r="AE7" s="704"/>
      <c r="AF7" s="760"/>
      <c r="AG7" s="255"/>
      <c r="AH7" s="230" t="s">
        <v>161</v>
      </c>
      <c r="AI7" s="369" t="s">
        <v>162</v>
      </c>
      <c r="AJ7" s="378"/>
      <c r="AK7" s="239"/>
      <c r="AL7" s="239"/>
      <c r="AM7" s="241"/>
      <c r="AN7" s="242"/>
      <c r="AO7" s="379"/>
      <c r="AP7" s="704"/>
      <c r="AQ7" s="760"/>
      <c r="AR7" s="255"/>
      <c r="AS7" s="230" t="s">
        <v>161</v>
      </c>
      <c r="AT7" s="369" t="s">
        <v>162</v>
      </c>
      <c r="AU7" s="378"/>
      <c r="AV7" s="239"/>
      <c r="AW7" s="239"/>
      <c r="AX7" s="241"/>
      <c r="AY7" s="242"/>
      <c r="AZ7" s="379"/>
      <c r="BA7" s="704"/>
      <c r="BB7" s="760"/>
      <c r="BC7" s="255"/>
      <c r="BD7" s="230" t="s">
        <v>161</v>
      </c>
      <c r="BE7" s="369" t="s">
        <v>162</v>
      </c>
      <c r="BF7" s="378"/>
      <c r="BG7" s="239"/>
      <c r="BH7" s="239"/>
      <c r="BI7" s="241"/>
      <c r="BJ7" s="242"/>
      <c r="BK7" s="379"/>
      <c r="BL7" s="704"/>
      <c r="BM7" s="760"/>
      <c r="BN7" s="255"/>
      <c r="BO7" s="230" t="s">
        <v>161</v>
      </c>
      <c r="BP7" s="369" t="s">
        <v>162</v>
      </c>
      <c r="BQ7" s="378"/>
      <c r="BR7" s="239"/>
      <c r="BS7" s="239"/>
      <c r="BT7" s="241"/>
      <c r="BU7" s="242"/>
      <c r="BV7" s="379"/>
      <c r="BW7" s="704"/>
      <c r="BX7" s="760"/>
      <c r="BY7" s="255"/>
      <c r="BZ7" s="230" t="s">
        <v>161</v>
      </c>
      <c r="CA7" s="369" t="s">
        <v>162</v>
      </c>
      <c r="CB7" s="378"/>
      <c r="CC7" s="239"/>
      <c r="CD7" s="239"/>
      <c r="CE7" s="241"/>
      <c r="CF7" s="242"/>
      <c r="CG7" s="379"/>
      <c r="CH7" s="704"/>
      <c r="CI7" s="760"/>
      <c r="CJ7" s="255"/>
      <c r="CK7" s="230" t="s">
        <v>161</v>
      </c>
      <c r="CL7" s="369" t="s">
        <v>162</v>
      </c>
      <c r="CM7" s="378"/>
      <c r="CN7" s="239"/>
      <c r="CO7" s="239"/>
      <c r="CP7" s="241"/>
      <c r="CQ7" s="242"/>
      <c r="CR7" s="379"/>
      <c r="CS7" s="704"/>
      <c r="CT7" s="760"/>
      <c r="CU7" s="255"/>
      <c r="CV7" s="230" t="s">
        <v>161</v>
      </c>
      <c r="CW7" s="369" t="s">
        <v>162</v>
      </c>
      <c r="CX7" s="378"/>
      <c r="CY7" s="239"/>
      <c r="CZ7" s="239"/>
      <c r="DA7" s="241"/>
      <c r="DB7" s="242"/>
      <c r="DC7" s="379"/>
      <c r="DD7" s="704"/>
      <c r="DE7" s="760"/>
      <c r="DF7" s="255"/>
    </row>
    <row r="8" spans="1:110" s="10" customFormat="1" ht="21.75" thickTop="1" thickBot="1">
      <c r="A8" s="233" t="s">
        <v>58</v>
      </c>
      <c r="B8" s="372" t="s">
        <v>163</v>
      </c>
      <c r="C8" s="380"/>
      <c r="D8" s="243"/>
      <c r="E8" s="243"/>
      <c r="F8" s="244"/>
      <c r="G8" s="245"/>
      <c r="H8" s="381"/>
      <c r="I8" s="704"/>
      <c r="J8" s="760"/>
      <c r="K8" s="255"/>
      <c r="L8" s="233" t="s">
        <v>58</v>
      </c>
      <c r="M8" s="372" t="s">
        <v>163</v>
      </c>
      <c r="N8" s="380"/>
      <c r="O8" s="243"/>
      <c r="P8" s="243"/>
      <c r="Q8" s="244"/>
      <c r="R8" s="245"/>
      <c r="S8" s="381"/>
      <c r="T8" s="704"/>
      <c r="U8" s="760"/>
      <c r="V8" s="255"/>
      <c r="W8" s="233" t="s">
        <v>58</v>
      </c>
      <c r="X8" s="372" t="s">
        <v>163</v>
      </c>
      <c r="Y8" s="380"/>
      <c r="Z8" s="243"/>
      <c r="AA8" s="243"/>
      <c r="AB8" s="244"/>
      <c r="AC8" s="245"/>
      <c r="AD8" s="381"/>
      <c r="AE8" s="704"/>
      <c r="AF8" s="760"/>
      <c r="AG8" s="255"/>
      <c r="AH8" s="233" t="s">
        <v>58</v>
      </c>
      <c r="AI8" s="372" t="s">
        <v>163</v>
      </c>
      <c r="AJ8" s="380"/>
      <c r="AK8" s="243"/>
      <c r="AL8" s="243"/>
      <c r="AM8" s="244"/>
      <c r="AN8" s="245"/>
      <c r="AO8" s="381"/>
      <c r="AP8" s="704"/>
      <c r="AQ8" s="760"/>
      <c r="AR8" s="255"/>
      <c r="AS8" s="233" t="s">
        <v>58</v>
      </c>
      <c r="AT8" s="372" t="s">
        <v>163</v>
      </c>
      <c r="AU8" s="380"/>
      <c r="AV8" s="243"/>
      <c r="AW8" s="243"/>
      <c r="AX8" s="244"/>
      <c r="AY8" s="245"/>
      <c r="AZ8" s="381"/>
      <c r="BA8" s="704"/>
      <c r="BB8" s="760"/>
      <c r="BC8" s="255"/>
      <c r="BD8" s="233" t="s">
        <v>58</v>
      </c>
      <c r="BE8" s="372" t="s">
        <v>163</v>
      </c>
      <c r="BF8" s="380"/>
      <c r="BG8" s="243"/>
      <c r="BH8" s="243"/>
      <c r="BI8" s="244"/>
      <c r="BJ8" s="245"/>
      <c r="BK8" s="381"/>
      <c r="BL8" s="704"/>
      <c r="BM8" s="760"/>
      <c r="BN8" s="255"/>
      <c r="BO8" s="233" t="s">
        <v>58</v>
      </c>
      <c r="BP8" s="372" t="s">
        <v>163</v>
      </c>
      <c r="BQ8" s="380"/>
      <c r="BR8" s="243"/>
      <c r="BS8" s="243"/>
      <c r="BT8" s="244"/>
      <c r="BU8" s="245"/>
      <c r="BV8" s="381"/>
      <c r="BW8" s="704"/>
      <c r="BX8" s="760"/>
      <c r="BY8" s="255"/>
      <c r="BZ8" s="233" t="s">
        <v>58</v>
      </c>
      <c r="CA8" s="372" t="s">
        <v>163</v>
      </c>
      <c r="CB8" s="380"/>
      <c r="CC8" s="243"/>
      <c r="CD8" s="243"/>
      <c r="CE8" s="244"/>
      <c r="CF8" s="245"/>
      <c r="CG8" s="381"/>
      <c r="CH8" s="704"/>
      <c r="CI8" s="760"/>
      <c r="CJ8" s="255"/>
      <c r="CK8" s="233" t="s">
        <v>58</v>
      </c>
      <c r="CL8" s="372" t="s">
        <v>163</v>
      </c>
      <c r="CM8" s="380"/>
      <c r="CN8" s="243"/>
      <c r="CO8" s="243"/>
      <c r="CP8" s="244"/>
      <c r="CQ8" s="245"/>
      <c r="CR8" s="381"/>
      <c r="CS8" s="704"/>
      <c r="CT8" s="760"/>
      <c r="CU8" s="255"/>
      <c r="CV8" s="233" t="s">
        <v>58</v>
      </c>
      <c r="CW8" s="372" t="s">
        <v>163</v>
      </c>
      <c r="CX8" s="380"/>
      <c r="CY8" s="243"/>
      <c r="CZ8" s="243"/>
      <c r="DA8" s="244"/>
      <c r="DB8" s="245"/>
      <c r="DC8" s="381"/>
      <c r="DD8" s="704"/>
      <c r="DE8" s="760"/>
      <c r="DF8" s="255"/>
    </row>
    <row r="9" spans="1:110" s="10" customFormat="1" ht="21.75" thickTop="1" thickBot="1">
      <c r="A9" s="6" t="s">
        <v>60</v>
      </c>
      <c r="B9" s="382" t="s">
        <v>310</v>
      </c>
      <c r="C9" s="376">
        <v>2070290</v>
      </c>
      <c r="D9" s="237">
        <v>1.66</v>
      </c>
      <c r="E9" s="238">
        <v>1</v>
      </c>
      <c r="F9" s="246">
        <v>3</v>
      </c>
      <c r="G9" s="247">
        <v>1</v>
      </c>
      <c r="H9" s="377">
        <f>ROUND((C9*D9*E9*F9*G9),0)</f>
        <v>10310044</v>
      </c>
      <c r="I9" s="704"/>
      <c r="J9" s="760">
        <f>ROUND((C9*D9*E9*F9*G9),0)</f>
        <v>10310044</v>
      </c>
      <c r="K9" s="255">
        <f>+IF(OR(C9=0,D9=0),1,0)</f>
        <v>0</v>
      </c>
      <c r="L9" s="6" t="s">
        <v>60</v>
      </c>
      <c r="M9" s="382" t="s">
        <v>310</v>
      </c>
      <c r="N9" s="376">
        <v>2100000</v>
      </c>
      <c r="O9" s="237">
        <f>+O6</f>
        <v>1.54</v>
      </c>
      <c r="P9" s="238">
        <v>1</v>
      </c>
      <c r="Q9" s="246">
        <v>3</v>
      </c>
      <c r="R9" s="247">
        <v>1</v>
      </c>
      <c r="S9" s="377">
        <f>ROUND((N9*O9*P9*Q9*R9),0)</f>
        <v>9702000</v>
      </c>
      <c r="T9" s="704"/>
      <c r="U9" s="760">
        <f>ROUND((N9*O9*P9*Q9*R9),0)</f>
        <v>9702000</v>
      </c>
      <c r="V9" s="255">
        <f>+IF(OR(N9=0,O9=0),1,0)</f>
        <v>0</v>
      </c>
      <c r="W9" s="6" t="s">
        <v>60</v>
      </c>
      <c r="X9" s="382" t="s">
        <v>310</v>
      </c>
      <c r="Y9" s="376">
        <v>2070290</v>
      </c>
      <c r="Z9" s="237">
        <v>1.583</v>
      </c>
      <c r="AA9" s="238">
        <v>1</v>
      </c>
      <c r="AB9" s="246">
        <v>3</v>
      </c>
      <c r="AC9" s="247">
        <v>1</v>
      </c>
      <c r="AD9" s="377">
        <f>ROUND((Y9*Z9*AA9*AB9*AC9),0)</f>
        <v>9831807</v>
      </c>
      <c r="AE9" s="704"/>
      <c r="AF9" s="760">
        <f>ROUND((Y9*Z9*AA9*AB9*AC9),0)</f>
        <v>9831807</v>
      </c>
      <c r="AG9" s="255">
        <f>+IF(OR(Y9=0,Z9=0),1,0)</f>
        <v>0</v>
      </c>
      <c r="AH9" s="6" t="s">
        <v>60</v>
      </c>
      <c r="AI9" s="382" t="s">
        <v>310</v>
      </c>
      <c r="AJ9" s="376">
        <v>2100000</v>
      </c>
      <c r="AK9" s="237">
        <v>1.45</v>
      </c>
      <c r="AL9" s="238">
        <v>1</v>
      </c>
      <c r="AM9" s="246">
        <v>3</v>
      </c>
      <c r="AN9" s="247">
        <v>1</v>
      </c>
      <c r="AO9" s="377">
        <f>ROUND((AJ9*AK9*AL9*AM9*AN9),0)</f>
        <v>9135000</v>
      </c>
      <c r="AP9" s="704"/>
      <c r="AQ9" s="760">
        <f>ROUND((AJ9*AK9*AL9*AM9*AN9),0)</f>
        <v>9135000</v>
      </c>
      <c r="AR9" s="255">
        <f>+IF(OR(AJ9=0,AK9=0),1,0)</f>
        <v>0</v>
      </c>
      <c r="AS9" s="6" t="s">
        <v>60</v>
      </c>
      <c r="AT9" s="382" t="s">
        <v>310</v>
      </c>
      <c r="AU9" s="376">
        <v>2070290</v>
      </c>
      <c r="AV9" s="237">
        <v>1.6</v>
      </c>
      <c r="AW9" s="238">
        <v>1</v>
      </c>
      <c r="AX9" s="246">
        <v>3</v>
      </c>
      <c r="AY9" s="247">
        <v>1</v>
      </c>
      <c r="AZ9" s="377">
        <f>ROUND((AU9*AV9*AW9*AX9*AY9),0)</f>
        <v>9937392</v>
      </c>
      <c r="BA9" s="704"/>
      <c r="BB9" s="760">
        <f>ROUND((AU9*AV9*AW9*AX9*AY9),0)</f>
        <v>9937392</v>
      </c>
      <c r="BC9" s="255">
        <f>+IF(OR(AU9=0,AV9=0),1,0)</f>
        <v>0</v>
      </c>
      <c r="BD9" s="6" t="s">
        <v>60</v>
      </c>
      <c r="BE9" s="382" t="s">
        <v>310</v>
      </c>
      <c r="BF9" s="376">
        <v>1550000</v>
      </c>
      <c r="BG9" s="237">
        <v>1.48</v>
      </c>
      <c r="BH9" s="238">
        <v>1</v>
      </c>
      <c r="BI9" s="246">
        <v>3</v>
      </c>
      <c r="BJ9" s="247">
        <v>1</v>
      </c>
      <c r="BK9" s="377">
        <f>ROUND((BF9*BG9*BH9*BI9*BJ9),0)</f>
        <v>6882000</v>
      </c>
      <c r="BL9" s="704"/>
      <c r="BM9" s="760">
        <f>ROUND((BF9*BG9*BH9*BI9*BJ9),0)</f>
        <v>6882000</v>
      </c>
      <c r="BN9" s="255">
        <f>+IF(OR(BF9=0,BG9=0),1,0)</f>
        <v>0</v>
      </c>
      <c r="BO9" s="6" t="s">
        <v>60</v>
      </c>
      <c r="BP9" s="382" t="s">
        <v>310</v>
      </c>
      <c r="BQ9" s="376">
        <v>2100000</v>
      </c>
      <c r="BR9" s="237">
        <v>1.58</v>
      </c>
      <c r="BS9" s="238">
        <v>1</v>
      </c>
      <c r="BT9" s="246">
        <v>3</v>
      </c>
      <c r="BU9" s="247">
        <v>1</v>
      </c>
      <c r="BV9" s="377">
        <f>ROUND((BQ9*BR9*BS9*BT9*BU9),0)</f>
        <v>9954000</v>
      </c>
      <c r="BW9" s="704"/>
      <c r="BX9" s="760">
        <f>ROUND((BQ9*BR9*BS9*BT9*BU9),0)</f>
        <v>9954000</v>
      </c>
      <c r="BY9" s="255">
        <f>+IF(OR(BQ9=0,BR9=0),1,0)</f>
        <v>0</v>
      </c>
      <c r="BZ9" s="6" t="s">
        <v>60</v>
      </c>
      <c r="CA9" s="382" t="s">
        <v>310</v>
      </c>
      <c r="CB9" s="376">
        <v>2070290</v>
      </c>
      <c r="CC9" s="237">
        <v>1.59</v>
      </c>
      <c r="CD9" s="238">
        <v>1</v>
      </c>
      <c r="CE9" s="246">
        <v>3</v>
      </c>
      <c r="CF9" s="247">
        <v>1</v>
      </c>
      <c r="CG9" s="377">
        <f>ROUND((CB9*CC9*CD9*CE9*CF9),0)</f>
        <v>9875283</v>
      </c>
      <c r="CH9" s="704"/>
      <c r="CI9" s="760">
        <f>ROUND((CB9*CC9*CD9*CE9*CF9),0)</f>
        <v>9875283</v>
      </c>
      <c r="CJ9" s="255">
        <f>+IF(OR(CB9=0,CC9=0),1,0)</f>
        <v>0</v>
      </c>
      <c r="CK9" s="6" t="s">
        <v>60</v>
      </c>
      <c r="CL9" s="382" t="s">
        <v>310</v>
      </c>
      <c r="CM9" s="376">
        <v>2070290</v>
      </c>
      <c r="CN9" s="237">
        <v>1.59</v>
      </c>
      <c r="CO9" s="238">
        <v>1</v>
      </c>
      <c r="CP9" s="246">
        <v>3</v>
      </c>
      <c r="CQ9" s="247">
        <v>1</v>
      </c>
      <c r="CR9" s="377">
        <f>ROUND((CM9*CN9*CO9*CP9*CQ9),0)</f>
        <v>9875283</v>
      </c>
      <c r="CS9" s="704"/>
      <c r="CT9" s="760">
        <f>ROUND((CM9*CN9*CO9*CP9*CQ9),0)</f>
        <v>9875283</v>
      </c>
      <c r="CU9" s="255">
        <f>+IF(OR(CM9=0,CN9=0),1,0)</f>
        <v>0</v>
      </c>
      <c r="CV9" s="6" t="s">
        <v>60</v>
      </c>
      <c r="CW9" s="382" t="s">
        <v>310</v>
      </c>
      <c r="CX9" s="376">
        <v>2070290</v>
      </c>
      <c r="CY9" s="237">
        <v>1.61</v>
      </c>
      <c r="CZ9" s="238">
        <v>1</v>
      </c>
      <c r="DA9" s="246">
        <v>3</v>
      </c>
      <c r="DB9" s="247">
        <v>1</v>
      </c>
      <c r="DC9" s="377">
        <f>ROUND((CX9*CY9*CZ9*DA9*DB9),0)</f>
        <v>9999501</v>
      </c>
      <c r="DD9" s="704"/>
      <c r="DE9" s="760">
        <f>ROUND((CX9*CY9*CZ9*DA9*DB9),0)</f>
        <v>9999501</v>
      </c>
      <c r="DF9" s="255">
        <f>+IF(OR(CX9=0,CY9=0),1,0)</f>
        <v>0</v>
      </c>
    </row>
    <row r="10" spans="1:110" s="10" customFormat="1" ht="21.75" thickTop="1" thickBot="1">
      <c r="A10" s="233" t="s">
        <v>164</v>
      </c>
      <c r="B10" s="372" t="s">
        <v>311</v>
      </c>
      <c r="C10" s="380"/>
      <c r="D10" s="243"/>
      <c r="E10" s="243"/>
      <c r="F10" s="243"/>
      <c r="G10" s="248"/>
      <c r="H10" s="381"/>
      <c r="I10" s="704"/>
      <c r="J10" s="760"/>
      <c r="K10" s="255"/>
      <c r="L10" s="233" t="s">
        <v>164</v>
      </c>
      <c r="M10" s="372" t="s">
        <v>311</v>
      </c>
      <c r="N10" s="380"/>
      <c r="O10" s="243"/>
      <c r="P10" s="243"/>
      <c r="Q10" s="243"/>
      <c r="R10" s="248"/>
      <c r="S10" s="381"/>
      <c r="T10" s="704"/>
      <c r="U10" s="760"/>
      <c r="V10" s="255"/>
      <c r="W10" s="233" t="s">
        <v>164</v>
      </c>
      <c r="X10" s="372" t="s">
        <v>311</v>
      </c>
      <c r="Y10" s="380"/>
      <c r="Z10" s="243"/>
      <c r="AA10" s="243"/>
      <c r="AB10" s="243"/>
      <c r="AC10" s="248"/>
      <c r="AD10" s="381"/>
      <c r="AE10" s="704"/>
      <c r="AF10" s="760"/>
      <c r="AG10" s="255"/>
      <c r="AH10" s="233" t="s">
        <v>164</v>
      </c>
      <c r="AI10" s="372" t="s">
        <v>311</v>
      </c>
      <c r="AJ10" s="380"/>
      <c r="AK10" s="243"/>
      <c r="AL10" s="243"/>
      <c r="AM10" s="243"/>
      <c r="AN10" s="248"/>
      <c r="AO10" s="381"/>
      <c r="AP10" s="704"/>
      <c r="AQ10" s="760"/>
      <c r="AR10" s="255"/>
      <c r="AS10" s="233" t="s">
        <v>164</v>
      </c>
      <c r="AT10" s="372" t="s">
        <v>311</v>
      </c>
      <c r="AU10" s="380"/>
      <c r="AV10" s="243"/>
      <c r="AW10" s="243"/>
      <c r="AX10" s="243"/>
      <c r="AY10" s="248"/>
      <c r="AZ10" s="381"/>
      <c r="BA10" s="704"/>
      <c r="BB10" s="760"/>
      <c r="BC10" s="255"/>
      <c r="BD10" s="233" t="s">
        <v>164</v>
      </c>
      <c r="BE10" s="372" t="s">
        <v>311</v>
      </c>
      <c r="BF10" s="380"/>
      <c r="BG10" s="243"/>
      <c r="BH10" s="243"/>
      <c r="BI10" s="243"/>
      <c r="BJ10" s="248"/>
      <c r="BK10" s="381"/>
      <c r="BL10" s="704"/>
      <c r="BM10" s="760"/>
      <c r="BN10" s="255"/>
      <c r="BO10" s="233" t="s">
        <v>164</v>
      </c>
      <c r="BP10" s="372" t="s">
        <v>311</v>
      </c>
      <c r="BQ10" s="380"/>
      <c r="BR10" s="243"/>
      <c r="BS10" s="243"/>
      <c r="BT10" s="243"/>
      <c r="BU10" s="248"/>
      <c r="BV10" s="381"/>
      <c r="BW10" s="704"/>
      <c r="BX10" s="760"/>
      <c r="BY10" s="255"/>
      <c r="BZ10" s="233" t="s">
        <v>164</v>
      </c>
      <c r="CA10" s="372" t="s">
        <v>311</v>
      </c>
      <c r="CB10" s="380"/>
      <c r="CC10" s="243"/>
      <c r="CD10" s="243"/>
      <c r="CE10" s="243"/>
      <c r="CF10" s="248"/>
      <c r="CG10" s="381"/>
      <c r="CH10" s="704"/>
      <c r="CI10" s="760"/>
      <c r="CJ10" s="255"/>
      <c r="CK10" s="233" t="s">
        <v>164</v>
      </c>
      <c r="CL10" s="372" t="s">
        <v>311</v>
      </c>
      <c r="CM10" s="380"/>
      <c r="CN10" s="243"/>
      <c r="CO10" s="243"/>
      <c r="CP10" s="243"/>
      <c r="CQ10" s="248"/>
      <c r="CR10" s="381"/>
      <c r="CS10" s="704"/>
      <c r="CT10" s="760"/>
      <c r="CU10" s="255"/>
      <c r="CV10" s="233" t="s">
        <v>164</v>
      </c>
      <c r="CW10" s="372" t="s">
        <v>311</v>
      </c>
      <c r="CX10" s="380"/>
      <c r="CY10" s="243"/>
      <c r="CZ10" s="243"/>
      <c r="DA10" s="243"/>
      <c r="DB10" s="248"/>
      <c r="DC10" s="381"/>
      <c r="DD10" s="704"/>
      <c r="DE10" s="760"/>
      <c r="DF10" s="255"/>
    </row>
    <row r="11" spans="1:110" s="10" customFormat="1" ht="25.5" thickTop="1" thickBot="1">
      <c r="A11" s="24" t="s">
        <v>165</v>
      </c>
      <c r="B11" s="383" t="s">
        <v>312</v>
      </c>
      <c r="C11" s="376">
        <v>550000</v>
      </c>
      <c r="D11" s="25"/>
      <c r="E11" s="249">
        <v>1</v>
      </c>
      <c r="F11" s="26">
        <v>3</v>
      </c>
      <c r="G11" s="27">
        <v>1</v>
      </c>
      <c r="H11" s="377">
        <f>ROUND((C11*E11*F11*G11),0)</f>
        <v>1650000</v>
      </c>
      <c r="I11" s="704"/>
      <c r="J11" s="760">
        <f>ROUND((C11*E11*F11*G11),0)</f>
        <v>1650000</v>
      </c>
      <c r="K11" s="255">
        <f>+IF(OR(C11=0),1,0)</f>
        <v>0</v>
      </c>
      <c r="L11" s="24" t="s">
        <v>165</v>
      </c>
      <c r="M11" s="383" t="s">
        <v>312</v>
      </c>
      <c r="N11" s="376">
        <v>800000</v>
      </c>
      <c r="O11" s="469"/>
      <c r="P11" s="249">
        <v>1</v>
      </c>
      <c r="Q11" s="26">
        <v>3</v>
      </c>
      <c r="R11" s="27">
        <v>1</v>
      </c>
      <c r="S11" s="384">
        <f>+R11*Q11*P11*N11</f>
        <v>2400000</v>
      </c>
      <c r="T11" s="704"/>
      <c r="U11" s="760">
        <f>ROUND((N11*P11*Q11*R11),0)</f>
        <v>2400000</v>
      </c>
      <c r="V11" s="255">
        <f>+IF(OR(N11=0),1,0)</f>
        <v>0</v>
      </c>
      <c r="W11" s="24" t="s">
        <v>165</v>
      </c>
      <c r="X11" s="383" t="s">
        <v>312</v>
      </c>
      <c r="Y11" s="376">
        <v>250000</v>
      </c>
      <c r="Z11" s="25"/>
      <c r="AA11" s="249">
        <v>1</v>
      </c>
      <c r="AB11" s="26">
        <v>3</v>
      </c>
      <c r="AC11" s="27">
        <v>1</v>
      </c>
      <c r="AD11" s="384">
        <f>+AC11*AB11*AA11*Y11</f>
        <v>750000</v>
      </c>
      <c r="AE11" s="704"/>
      <c r="AF11" s="760">
        <f>ROUND((Y11*AA11*AB11*AC11),0)</f>
        <v>750000</v>
      </c>
      <c r="AG11" s="255">
        <f>+IF(OR(Y11=0),1,0)</f>
        <v>0</v>
      </c>
      <c r="AH11" s="24" t="s">
        <v>165</v>
      </c>
      <c r="AI11" s="383" t="s">
        <v>312</v>
      </c>
      <c r="AJ11" s="376">
        <v>1000000</v>
      </c>
      <c r="AK11" s="25"/>
      <c r="AL11" s="249">
        <v>1</v>
      </c>
      <c r="AM11" s="26">
        <v>3</v>
      </c>
      <c r="AN11" s="27">
        <v>1</v>
      </c>
      <c r="AO11" s="384">
        <f>+AN11*AM11*AL11*AJ11</f>
        <v>3000000</v>
      </c>
      <c r="AP11" s="704"/>
      <c r="AQ11" s="760">
        <f>ROUND((AJ11*AL11*AM11*AN11),0)</f>
        <v>3000000</v>
      </c>
      <c r="AR11" s="255">
        <f>+IF(OR(AJ11=0),1,0)</f>
        <v>0</v>
      </c>
      <c r="AS11" s="24" t="s">
        <v>165</v>
      </c>
      <c r="AT11" s="383" t="s">
        <v>312</v>
      </c>
      <c r="AU11" s="376">
        <v>540400</v>
      </c>
      <c r="AV11" s="25"/>
      <c r="AW11" s="249">
        <v>1</v>
      </c>
      <c r="AX11" s="26">
        <v>3</v>
      </c>
      <c r="AY11" s="27">
        <v>1</v>
      </c>
      <c r="AZ11" s="384">
        <f>+AY11*AX11*AW11*AU11</f>
        <v>1621200</v>
      </c>
      <c r="BA11" s="704"/>
      <c r="BB11" s="760">
        <f>ROUND((AU11*AW11*AX11*AY11),0)</f>
        <v>1621200</v>
      </c>
      <c r="BC11" s="255">
        <f>+IF(OR(AU11=0),1,0)</f>
        <v>0</v>
      </c>
      <c r="BD11" s="24" t="s">
        <v>165</v>
      </c>
      <c r="BE11" s="383" t="s">
        <v>312</v>
      </c>
      <c r="BF11" s="376">
        <v>5000000</v>
      </c>
      <c r="BG11" s="25"/>
      <c r="BH11" s="249">
        <v>1</v>
      </c>
      <c r="BI11" s="26">
        <v>3</v>
      </c>
      <c r="BJ11" s="27">
        <v>1</v>
      </c>
      <c r="BK11" s="384">
        <f>+BJ11*BI11*BH11*BF11</f>
        <v>15000000</v>
      </c>
      <c r="BL11" s="704"/>
      <c r="BM11" s="760">
        <f>ROUND((BF11*BH11*BI11*BJ11),0)</f>
        <v>15000000</v>
      </c>
      <c r="BN11" s="255">
        <f>+IF(OR(BF11=0),1,0)</f>
        <v>0</v>
      </c>
      <c r="BO11" s="24" t="s">
        <v>165</v>
      </c>
      <c r="BP11" s="383" t="s">
        <v>312</v>
      </c>
      <c r="BQ11" s="376">
        <v>300000</v>
      </c>
      <c r="BR11" s="25"/>
      <c r="BS11" s="249">
        <v>1</v>
      </c>
      <c r="BT11" s="26">
        <v>3</v>
      </c>
      <c r="BU11" s="27">
        <v>1</v>
      </c>
      <c r="BV11" s="384">
        <f>+BU11*BT11*BS11*BQ11</f>
        <v>900000</v>
      </c>
      <c r="BW11" s="704"/>
      <c r="BX11" s="760">
        <f>ROUND((BQ11*BS11*BT11*BU11),0)</f>
        <v>900000</v>
      </c>
      <c r="BY11" s="255">
        <f>+IF(OR(BQ11=0),1,0)</f>
        <v>0</v>
      </c>
      <c r="BZ11" s="24" t="s">
        <v>165</v>
      </c>
      <c r="CA11" s="383" t="s">
        <v>312</v>
      </c>
      <c r="CB11" s="376">
        <v>400000</v>
      </c>
      <c r="CC11" s="25"/>
      <c r="CD11" s="249">
        <v>1</v>
      </c>
      <c r="CE11" s="26">
        <v>3</v>
      </c>
      <c r="CF11" s="27">
        <v>1</v>
      </c>
      <c r="CG11" s="384">
        <f>+CF11*CE11*CD11*CB11</f>
        <v>1200000</v>
      </c>
      <c r="CH11" s="704"/>
      <c r="CI11" s="760">
        <f>ROUND((CB11*CD11*CE11*CF11),0)</f>
        <v>1200000</v>
      </c>
      <c r="CJ11" s="255">
        <f>+IF(OR(CB11=0),1,0)</f>
        <v>0</v>
      </c>
      <c r="CK11" s="24" t="s">
        <v>165</v>
      </c>
      <c r="CL11" s="383" t="s">
        <v>312</v>
      </c>
      <c r="CM11" s="376">
        <v>350000</v>
      </c>
      <c r="CN11" s="25"/>
      <c r="CO11" s="249">
        <v>1</v>
      </c>
      <c r="CP11" s="26">
        <v>3</v>
      </c>
      <c r="CQ11" s="27">
        <v>1</v>
      </c>
      <c r="CR11" s="384">
        <f>+CQ11*CP11*CO11*CM11</f>
        <v>1050000</v>
      </c>
      <c r="CS11" s="704"/>
      <c r="CT11" s="760">
        <f>ROUND((CM11*CO11*CP11*CQ11),0)</f>
        <v>1050000</v>
      </c>
      <c r="CU11" s="255">
        <f>+IF(OR(CM11=0),1,0)</f>
        <v>0</v>
      </c>
      <c r="CV11" s="24" t="s">
        <v>165</v>
      </c>
      <c r="CW11" s="383" t="s">
        <v>312</v>
      </c>
      <c r="CX11" s="376">
        <v>1200000</v>
      </c>
      <c r="CY11" s="25"/>
      <c r="CZ11" s="249">
        <v>1</v>
      </c>
      <c r="DA11" s="26">
        <v>3</v>
      </c>
      <c r="DB11" s="27">
        <v>1</v>
      </c>
      <c r="DC11" s="384">
        <f>+DB11*DA11*CZ11*CX11</f>
        <v>3600000</v>
      </c>
      <c r="DD11" s="704"/>
      <c r="DE11" s="760">
        <f>ROUND((CX11*CZ11*DA11*DB11),0)</f>
        <v>3600000</v>
      </c>
      <c r="DF11" s="255">
        <f>+IF(OR(CX11=0),1,0)</f>
        <v>0</v>
      </c>
    </row>
    <row r="12" spans="1:110" s="10" customFormat="1" ht="21.75" thickTop="1" thickBot="1">
      <c r="A12" s="230" t="s">
        <v>61</v>
      </c>
      <c r="B12" s="369" t="s">
        <v>71</v>
      </c>
      <c r="C12" s="378"/>
      <c r="D12" s="239"/>
      <c r="E12" s="239"/>
      <c r="F12" s="239"/>
      <c r="G12" s="240"/>
      <c r="H12" s="379"/>
      <c r="I12" s="704"/>
      <c r="J12" s="760"/>
      <c r="K12" s="255"/>
      <c r="L12" s="230" t="s">
        <v>61</v>
      </c>
      <c r="M12" s="369" t="s">
        <v>71</v>
      </c>
      <c r="N12" s="378"/>
      <c r="O12" s="239"/>
      <c r="P12" s="239"/>
      <c r="Q12" s="239"/>
      <c r="R12" s="240"/>
      <c r="S12" s="379"/>
      <c r="T12" s="704"/>
      <c r="U12" s="760"/>
      <c r="V12" s="255"/>
      <c r="W12" s="230" t="s">
        <v>61</v>
      </c>
      <c r="X12" s="369" t="s">
        <v>71</v>
      </c>
      <c r="Y12" s="378"/>
      <c r="Z12" s="239"/>
      <c r="AA12" s="239"/>
      <c r="AB12" s="239"/>
      <c r="AC12" s="240"/>
      <c r="AD12" s="379"/>
      <c r="AE12" s="704"/>
      <c r="AF12" s="760"/>
      <c r="AG12" s="255"/>
      <c r="AH12" s="230" t="s">
        <v>61</v>
      </c>
      <c r="AI12" s="369" t="s">
        <v>71</v>
      </c>
      <c r="AJ12" s="378"/>
      <c r="AK12" s="239"/>
      <c r="AL12" s="239"/>
      <c r="AM12" s="239"/>
      <c r="AN12" s="240"/>
      <c r="AO12" s="379"/>
      <c r="AP12" s="704"/>
      <c r="AQ12" s="760"/>
      <c r="AR12" s="255"/>
      <c r="AS12" s="230" t="s">
        <v>61</v>
      </c>
      <c r="AT12" s="369" t="s">
        <v>71</v>
      </c>
      <c r="AU12" s="378"/>
      <c r="AV12" s="239"/>
      <c r="AW12" s="239"/>
      <c r="AX12" s="239"/>
      <c r="AY12" s="240"/>
      <c r="AZ12" s="379"/>
      <c r="BA12" s="704"/>
      <c r="BB12" s="760"/>
      <c r="BC12" s="255"/>
      <c r="BD12" s="230" t="s">
        <v>61</v>
      </c>
      <c r="BE12" s="369" t="s">
        <v>71</v>
      </c>
      <c r="BF12" s="378"/>
      <c r="BG12" s="239"/>
      <c r="BH12" s="239"/>
      <c r="BI12" s="239"/>
      <c r="BJ12" s="240"/>
      <c r="BK12" s="379"/>
      <c r="BL12" s="704"/>
      <c r="BM12" s="760"/>
      <c r="BN12" s="255"/>
      <c r="BO12" s="230" t="s">
        <v>61</v>
      </c>
      <c r="BP12" s="369" t="s">
        <v>71</v>
      </c>
      <c r="BQ12" s="378"/>
      <c r="BR12" s="239"/>
      <c r="BS12" s="239"/>
      <c r="BT12" s="239"/>
      <c r="BU12" s="240"/>
      <c r="BV12" s="379"/>
      <c r="BW12" s="704"/>
      <c r="BX12" s="760"/>
      <c r="BY12" s="255"/>
      <c r="BZ12" s="230" t="s">
        <v>61</v>
      </c>
      <c r="CA12" s="369" t="s">
        <v>71</v>
      </c>
      <c r="CB12" s="378"/>
      <c r="CC12" s="239"/>
      <c r="CD12" s="239"/>
      <c r="CE12" s="239"/>
      <c r="CF12" s="240"/>
      <c r="CG12" s="379"/>
      <c r="CH12" s="704"/>
      <c r="CI12" s="760"/>
      <c r="CJ12" s="255"/>
      <c r="CK12" s="230" t="s">
        <v>61</v>
      </c>
      <c r="CL12" s="369" t="s">
        <v>71</v>
      </c>
      <c r="CM12" s="378"/>
      <c r="CN12" s="239"/>
      <c r="CO12" s="239"/>
      <c r="CP12" s="239"/>
      <c r="CQ12" s="240"/>
      <c r="CR12" s="379"/>
      <c r="CS12" s="704"/>
      <c r="CT12" s="760"/>
      <c r="CU12" s="255"/>
      <c r="CV12" s="230" t="s">
        <v>61</v>
      </c>
      <c r="CW12" s="369" t="s">
        <v>71</v>
      </c>
      <c r="CX12" s="378"/>
      <c r="CY12" s="239"/>
      <c r="CZ12" s="239"/>
      <c r="DA12" s="239"/>
      <c r="DB12" s="240"/>
      <c r="DC12" s="379"/>
      <c r="DD12" s="704"/>
      <c r="DE12" s="760"/>
      <c r="DF12" s="255"/>
    </row>
    <row r="13" spans="1:110" s="10" customFormat="1" ht="21.75" thickTop="1" thickBot="1">
      <c r="A13" s="233" t="s">
        <v>208</v>
      </c>
      <c r="B13" s="372" t="s">
        <v>313</v>
      </c>
      <c r="C13" s="380"/>
      <c r="D13" s="243"/>
      <c r="E13" s="243"/>
      <c r="F13" s="244"/>
      <c r="G13" s="245"/>
      <c r="H13" s="381"/>
      <c r="I13" s="704"/>
      <c r="J13" s="760"/>
      <c r="K13" s="255"/>
      <c r="L13" s="233" t="s">
        <v>208</v>
      </c>
      <c r="M13" s="372" t="s">
        <v>313</v>
      </c>
      <c r="N13" s="380"/>
      <c r="O13" s="243"/>
      <c r="P13" s="243"/>
      <c r="Q13" s="244"/>
      <c r="R13" s="245"/>
      <c r="S13" s="381"/>
      <c r="T13" s="704"/>
      <c r="U13" s="760"/>
      <c r="V13" s="255"/>
      <c r="W13" s="233" t="s">
        <v>208</v>
      </c>
      <c r="X13" s="372" t="s">
        <v>313</v>
      </c>
      <c r="Y13" s="380"/>
      <c r="Z13" s="243"/>
      <c r="AA13" s="243"/>
      <c r="AB13" s="244"/>
      <c r="AC13" s="245"/>
      <c r="AD13" s="381"/>
      <c r="AE13" s="704"/>
      <c r="AF13" s="760"/>
      <c r="AG13" s="255"/>
      <c r="AH13" s="233" t="s">
        <v>208</v>
      </c>
      <c r="AI13" s="372" t="s">
        <v>313</v>
      </c>
      <c r="AJ13" s="380"/>
      <c r="AK13" s="243"/>
      <c r="AL13" s="243"/>
      <c r="AM13" s="244"/>
      <c r="AN13" s="245"/>
      <c r="AO13" s="381"/>
      <c r="AP13" s="704"/>
      <c r="AQ13" s="760"/>
      <c r="AR13" s="255"/>
      <c r="AS13" s="233" t="s">
        <v>208</v>
      </c>
      <c r="AT13" s="372" t="s">
        <v>313</v>
      </c>
      <c r="AU13" s="380"/>
      <c r="AV13" s="243"/>
      <c r="AW13" s="243"/>
      <c r="AX13" s="244"/>
      <c r="AY13" s="245"/>
      <c r="AZ13" s="381"/>
      <c r="BA13" s="704"/>
      <c r="BB13" s="760"/>
      <c r="BC13" s="255"/>
      <c r="BD13" s="233" t="s">
        <v>208</v>
      </c>
      <c r="BE13" s="372" t="s">
        <v>313</v>
      </c>
      <c r="BF13" s="380"/>
      <c r="BG13" s="243"/>
      <c r="BH13" s="243"/>
      <c r="BI13" s="244"/>
      <c r="BJ13" s="245"/>
      <c r="BK13" s="381"/>
      <c r="BL13" s="704"/>
      <c r="BM13" s="760"/>
      <c r="BN13" s="255"/>
      <c r="BO13" s="233" t="s">
        <v>208</v>
      </c>
      <c r="BP13" s="372" t="s">
        <v>313</v>
      </c>
      <c r="BQ13" s="380"/>
      <c r="BR13" s="243"/>
      <c r="BS13" s="243"/>
      <c r="BT13" s="244"/>
      <c r="BU13" s="245"/>
      <c r="BV13" s="381"/>
      <c r="BW13" s="704"/>
      <c r="BX13" s="760"/>
      <c r="BY13" s="255"/>
      <c r="BZ13" s="233" t="s">
        <v>208</v>
      </c>
      <c r="CA13" s="372" t="s">
        <v>313</v>
      </c>
      <c r="CB13" s="380"/>
      <c r="CC13" s="243"/>
      <c r="CD13" s="243"/>
      <c r="CE13" s="244"/>
      <c r="CF13" s="245"/>
      <c r="CG13" s="381"/>
      <c r="CH13" s="704"/>
      <c r="CI13" s="760"/>
      <c r="CJ13" s="255"/>
      <c r="CK13" s="233" t="s">
        <v>208</v>
      </c>
      <c r="CL13" s="372" t="s">
        <v>313</v>
      </c>
      <c r="CM13" s="380"/>
      <c r="CN13" s="243"/>
      <c r="CO13" s="243"/>
      <c r="CP13" s="244"/>
      <c r="CQ13" s="245"/>
      <c r="CR13" s="381"/>
      <c r="CS13" s="704"/>
      <c r="CT13" s="760"/>
      <c r="CU13" s="255"/>
      <c r="CV13" s="233" t="s">
        <v>208</v>
      </c>
      <c r="CW13" s="372" t="s">
        <v>313</v>
      </c>
      <c r="CX13" s="380"/>
      <c r="CY13" s="243"/>
      <c r="CZ13" s="243"/>
      <c r="DA13" s="244"/>
      <c r="DB13" s="245"/>
      <c r="DC13" s="381"/>
      <c r="DD13" s="704"/>
      <c r="DE13" s="760"/>
      <c r="DF13" s="255"/>
    </row>
    <row r="14" spans="1:110" s="10" customFormat="1" ht="21" thickTop="1">
      <c r="A14" s="236" t="s">
        <v>166</v>
      </c>
      <c r="B14" s="385" t="s">
        <v>72</v>
      </c>
      <c r="C14" s="376">
        <v>828116</v>
      </c>
      <c r="D14" s="237">
        <v>1.6</v>
      </c>
      <c r="E14" s="238">
        <v>0.25</v>
      </c>
      <c r="F14" s="14">
        <v>3</v>
      </c>
      <c r="G14" s="247">
        <v>1</v>
      </c>
      <c r="H14" s="377">
        <f>ROUND((C14*D14*E14*F14*G14),0)</f>
        <v>993739</v>
      </c>
      <c r="I14" s="704"/>
      <c r="J14" s="760">
        <f>ROUND((C14*D14*E14*F14*G14),0)</f>
        <v>993739</v>
      </c>
      <c r="K14" s="255">
        <f>+IF(OR(C14=0,D14=0),1,0)</f>
        <v>0</v>
      </c>
      <c r="L14" s="236" t="s">
        <v>166</v>
      </c>
      <c r="M14" s="385" t="s">
        <v>72</v>
      </c>
      <c r="N14" s="376">
        <v>1100000</v>
      </c>
      <c r="O14" s="237">
        <v>1.59</v>
      </c>
      <c r="P14" s="238">
        <v>0.25</v>
      </c>
      <c r="Q14" s="14">
        <v>3</v>
      </c>
      <c r="R14" s="247">
        <v>1</v>
      </c>
      <c r="S14" s="377">
        <f t="shared" ref="S14:S15" si="0">ROUND((N14*O14*P14*Q14*R14),0)</f>
        <v>1311750</v>
      </c>
      <c r="T14" s="704"/>
      <c r="U14" s="760">
        <f>ROUND((N14*O14*P14*Q14*R14),0)</f>
        <v>1311750</v>
      </c>
      <c r="V14" s="255">
        <f>+IF(OR(N14=0,O14=0),1,0)</f>
        <v>0</v>
      </c>
      <c r="W14" s="236" t="s">
        <v>166</v>
      </c>
      <c r="X14" s="385" t="s">
        <v>72</v>
      </c>
      <c r="Y14" s="376">
        <v>1400000</v>
      </c>
      <c r="Z14" s="237">
        <v>1.583</v>
      </c>
      <c r="AA14" s="238">
        <v>0.25</v>
      </c>
      <c r="AB14" s="14">
        <v>3</v>
      </c>
      <c r="AC14" s="247">
        <v>1</v>
      </c>
      <c r="AD14" s="377">
        <f t="shared" ref="AD14:AD15" si="1">ROUND((Y14*Z14*AA14*AB14*AC14),0)</f>
        <v>1662150</v>
      </c>
      <c r="AE14" s="704"/>
      <c r="AF14" s="760">
        <f>ROUND((Y14*Z14*AA14*AB14*AC14),0)</f>
        <v>1662150</v>
      </c>
      <c r="AG14" s="255">
        <f>+IF(OR(Y14=0,Z14=0),1,0)</f>
        <v>0</v>
      </c>
      <c r="AH14" s="236" t="s">
        <v>166</v>
      </c>
      <c r="AI14" s="385" t="s">
        <v>72</v>
      </c>
      <c r="AJ14" s="376">
        <v>1100000</v>
      </c>
      <c r="AK14" s="237">
        <v>1.45</v>
      </c>
      <c r="AL14" s="238">
        <v>0.25</v>
      </c>
      <c r="AM14" s="14">
        <v>3</v>
      </c>
      <c r="AN14" s="247">
        <v>1</v>
      </c>
      <c r="AO14" s="377">
        <f t="shared" ref="AO14:AO15" si="2">ROUND((AJ14*AK14*AL14*AM14*AN14),0)</f>
        <v>1196250</v>
      </c>
      <c r="AP14" s="704"/>
      <c r="AQ14" s="760">
        <f>ROUND((AJ14*AK14*AL14*AM14*AN14),0)</f>
        <v>1196250</v>
      </c>
      <c r="AR14" s="255">
        <f>+IF(OR(AJ14=0,AK14=0),1,0)</f>
        <v>0</v>
      </c>
      <c r="AS14" s="236" t="s">
        <v>166</v>
      </c>
      <c r="AT14" s="385" t="s">
        <v>72</v>
      </c>
      <c r="AU14" s="376">
        <v>850000</v>
      </c>
      <c r="AV14" s="237">
        <v>1.6</v>
      </c>
      <c r="AW14" s="238">
        <v>0.25</v>
      </c>
      <c r="AX14" s="14">
        <v>3</v>
      </c>
      <c r="AY14" s="247">
        <v>1</v>
      </c>
      <c r="AZ14" s="377">
        <f t="shared" ref="AZ14:AZ15" si="3">ROUND((AU14*AV14*AW14*AX14*AY14),0)</f>
        <v>1020000</v>
      </c>
      <c r="BA14" s="704"/>
      <c r="BB14" s="760">
        <f>ROUND((AU14*AV14*AW14*AX14*AY14),0)</f>
        <v>1020000</v>
      </c>
      <c r="BC14" s="255">
        <f>+IF(OR(AU14=0,AV14=0),1,0)</f>
        <v>0</v>
      </c>
      <c r="BD14" s="236" t="s">
        <v>166</v>
      </c>
      <c r="BE14" s="385" t="s">
        <v>72</v>
      </c>
      <c r="BF14" s="376">
        <v>3500000</v>
      </c>
      <c r="BG14" s="237">
        <v>1.48</v>
      </c>
      <c r="BH14" s="238">
        <v>0.25</v>
      </c>
      <c r="BI14" s="14">
        <v>3</v>
      </c>
      <c r="BJ14" s="247">
        <v>1</v>
      </c>
      <c r="BK14" s="377">
        <f t="shared" ref="BK14:BK15" si="4">ROUND((BF14*BG14*BH14*BI14*BJ14),0)</f>
        <v>3885000</v>
      </c>
      <c r="BL14" s="704"/>
      <c r="BM14" s="760">
        <f>ROUND((BF14*BG14*BH14*BI14*BJ14),0)</f>
        <v>3885000</v>
      </c>
      <c r="BN14" s="255">
        <f>+IF(OR(BF14=0,BG14=0),1,0)</f>
        <v>0</v>
      </c>
      <c r="BO14" s="236" t="s">
        <v>166</v>
      </c>
      <c r="BP14" s="385" t="s">
        <v>72</v>
      </c>
      <c r="BQ14" s="376">
        <v>840000</v>
      </c>
      <c r="BR14" s="237">
        <v>1.58</v>
      </c>
      <c r="BS14" s="238">
        <v>0.25</v>
      </c>
      <c r="BT14" s="14">
        <v>3</v>
      </c>
      <c r="BU14" s="247">
        <v>1</v>
      </c>
      <c r="BV14" s="377">
        <f t="shared" ref="BV14:BV15" si="5">ROUND((BQ14*BR14*BS14*BT14*BU14),0)</f>
        <v>995400</v>
      </c>
      <c r="BW14" s="704"/>
      <c r="BX14" s="760">
        <f>ROUND((BQ14*BR14*BS14*BT14*BU14),0)</f>
        <v>995400</v>
      </c>
      <c r="BY14" s="255">
        <f>+IF(OR(BQ14=0,BR14=0),1,0)</f>
        <v>0</v>
      </c>
      <c r="BZ14" s="236" t="s">
        <v>166</v>
      </c>
      <c r="CA14" s="385" t="s">
        <v>72</v>
      </c>
      <c r="CB14" s="376">
        <v>828116</v>
      </c>
      <c r="CC14" s="237">
        <v>1.59</v>
      </c>
      <c r="CD14" s="238">
        <v>0.25</v>
      </c>
      <c r="CE14" s="14">
        <v>3</v>
      </c>
      <c r="CF14" s="247">
        <v>1</v>
      </c>
      <c r="CG14" s="377">
        <f t="shared" ref="CG14:CG15" si="6">ROUND((CB14*CC14*CD14*CE14*CF14),0)</f>
        <v>987528</v>
      </c>
      <c r="CH14" s="704"/>
      <c r="CI14" s="760">
        <f>ROUND((CB14*CC14*CD14*CE14*CF14),0)</f>
        <v>987528</v>
      </c>
      <c r="CJ14" s="255">
        <f>+IF(OR(CB14=0,CC14=0),1,0)</f>
        <v>0</v>
      </c>
      <c r="CK14" s="236" t="s">
        <v>166</v>
      </c>
      <c r="CL14" s="385" t="s">
        <v>72</v>
      </c>
      <c r="CM14" s="376">
        <v>830000</v>
      </c>
      <c r="CN14" s="237">
        <v>1.59</v>
      </c>
      <c r="CO14" s="238">
        <v>0.25</v>
      </c>
      <c r="CP14" s="14">
        <v>3</v>
      </c>
      <c r="CQ14" s="247">
        <v>1</v>
      </c>
      <c r="CR14" s="377">
        <f t="shared" ref="CR14:CR15" si="7">ROUND((CM14*CN14*CO14*CP14*CQ14),0)</f>
        <v>989775</v>
      </c>
      <c r="CS14" s="704"/>
      <c r="CT14" s="760">
        <f>ROUND((CM14*CN14*CO14*CP14*CQ14),0)</f>
        <v>989775</v>
      </c>
      <c r="CU14" s="255">
        <f>+IF(OR(CM14=0,CN14=0),1,0)</f>
        <v>0</v>
      </c>
      <c r="CV14" s="236" t="s">
        <v>166</v>
      </c>
      <c r="CW14" s="385" t="s">
        <v>72</v>
      </c>
      <c r="CX14" s="376">
        <v>1300000</v>
      </c>
      <c r="CY14" s="237">
        <v>1.61</v>
      </c>
      <c r="CZ14" s="238">
        <v>0.25</v>
      </c>
      <c r="DA14" s="14">
        <v>3</v>
      </c>
      <c r="DB14" s="247">
        <v>1</v>
      </c>
      <c r="DC14" s="377">
        <f t="shared" ref="DC14:DC15" si="8">ROUND((CX14*CY14*CZ14*DA14*DB14),0)</f>
        <v>1569750</v>
      </c>
      <c r="DD14" s="704"/>
      <c r="DE14" s="760">
        <f>ROUND((CX14*CY14*CZ14*DA14*DB14),0)</f>
        <v>1569750</v>
      </c>
      <c r="DF14" s="255">
        <f>+IF(OR(CX14=0,CY14=0),1,0)</f>
        <v>0</v>
      </c>
    </row>
    <row r="15" spans="1:110" s="10" customFormat="1" ht="21" thickBot="1">
      <c r="A15" s="236" t="s">
        <v>314</v>
      </c>
      <c r="B15" s="385" t="s">
        <v>315</v>
      </c>
      <c r="C15" s="376">
        <v>828116</v>
      </c>
      <c r="D15" s="237">
        <v>1.6</v>
      </c>
      <c r="E15" s="238">
        <v>0.15</v>
      </c>
      <c r="F15" s="14">
        <v>2.5</v>
      </c>
      <c r="G15" s="247">
        <v>1</v>
      </c>
      <c r="H15" s="377">
        <f>ROUND((C15*D15*E15*F15*G15),0)</f>
        <v>496870</v>
      </c>
      <c r="I15" s="704"/>
      <c r="J15" s="760">
        <f>ROUND((C15*D15*E15*F15*G15),0)</f>
        <v>496870</v>
      </c>
      <c r="K15" s="255">
        <f>+IF(OR(C15=0,D15=0),1,0)</f>
        <v>0</v>
      </c>
      <c r="L15" s="236" t="s">
        <v>314</v>
      </c>
      <c r="M15" s="385" t="s">
        <v>315</v>
      </c>
      <c r="N15" s="376">
        <v>1300000</v>
      </c>
      <c r="O15" s="237">
        <v>1.59</v>
      </c>
      <c r="P15" s="238">
        <v>0.15</v>
      </c>
      <c r="Q15" s="14">
        <v>2.5</v>
      </c>
      <c r="R15" s="247">
        <v>1</v>
      </c>
      <c r="S15" s="377">
        <f t="shared" si="0"/>
        <v>775125</v>
      </c>
      <c r="T15" s="704"/>
      <c r="U15" s="760">
        <f>ROUND((N15*O15*P15*Q15*R15),0)</f>
        <v>775125</v>
      </c>
      <c r="V15" s="255">
        <f>+IF(OR(N15=0,O15=0),1,0)</f>
        <v>0</v>
      </c>
      <c r="W15" s="236" t="s">
        <v>314</v>
      </c>
      <c r="X15" s="385" t="s">
        <v>315</v>
      </c>
      <c r="Y15" s="376">
        <v>828116</v>
      </c>
      <c r="Z15" s="237">
        <v>1.583</v>
      </c>
      <c r="AA15" s="238">
        <v>0.15</v>
      </c>
      <c r="AB15" s="14">
        <v>2.5</v>
      </c>
      <c r="AC15" s="247">
        <v>1</v>
      </c>
      <c r="AD15" s="377">
        <f t="shared" si="1"/>
        <v>491590</v>
      </c>
      <c r="AE15" s="704"/>
      <c r="AF15" s="760">
        <f>ROUND((Y15*Z15*AA15*AB15*AC15),0)</f>
        <v>491590</v>
      </c>
      <c r="AG15" s="255">
        <f>+IF(OR(Y15=0,Z15=0),1,0)</f>
        <v>0</v>
      </c>
      <c r="AH15" s="236" t="s">
        <v>314</v>
      </c>
      <c r="AI15" s="385" t="s">
        <v>315</v>
      </c>
      <c r="AJ15" s="376">
        <v>950000</v>
      </c>
      <c r="AK15" s="237">
        <v>1.45</v>
      </c>
      <c r="AL15" s="238">
        <v>0.15</v>
      </c>
      <c r="AM15" s="14">
        <v>2.5</v>
      </c>
      <c r="AN15" s="247">
        <v>1</v>
      </c>
      <c r="AO15" s="377">
        <f t="shared" si="2"/>
        <v>516563</v>
      </c>
      <c r="AP15" s="704"/>
      <c r="AQ15" s="760">
        <f>ROUND((AJ15*AK15*AL15*AM15*AN15),0)</f>
        <v>516563</v>
      </c>
      <c r="AR15" s="255">
        <f>+IF(OR(AJ15=0,AK15=0),1,0)</f>
        <v>0</v>
      </c>
      <c r="AS15" s="236" t="s">
        <v>314</v>
      </c>
      <c r="AT15" s="385" t="s">
        <v>315</v>
      </c>
      <c r="AU15" s="376">
        <v>850000</v>
      </c>
      <c r="AV15" s="237">
        <v>1.6</v>
      </c>
      <c r="AW15" s="238">
        <v>0.15</v>
      </c>
      <c r="AX15" s="14">
        <v>2.5</v>
      </c>
      <c r="AY15" s="247">
        <v>1</v>
      </c>
      <c r="AZ15" s="377">
        <f t="shared" si="3"/>
        <v>510000</v>
      </c>
      <c r="BA15" s="704"/>
      <c r="BB15" s="760">
        <f>ROUND((AU15*AV15*AW15*AX15*AY15),0)</f>
        <v>510000</v>
      </c>
      <c r="BC15" s="255">
        <f>+IF(OR(AU15=0,AV15=0),1,0)</f>
        <v>0</v>
      </c>
      <c r="BD15" s="236" t="s">
        <v>314</v>
      </c>
      <c r="BE15" s="385" t="s">
        <v>315</v>
      </c>
      <c r="BF15" s="376">
        <v>1200000</v>
      </c>
      <c r="BG15" s="237">
        <v>1.48</v>
      </c>
      <c r="BH15" s="238">
        <v>0.15</v>
      </c>
      <c r="BI15" s="14">
        <v>2.5</v>
      </c>
      <c r="BJ15" s="247">
        <v>1</v>
      </c>
      <c r="BK15" s="377">
        <f t="shared" si="4"/>
        <v>666000</v>
      </c>
      <c r="BL15" s="704"/>
      <c r="BM15" s="760">
        <f>ROUND((BF15*BG15*BH15*BI15*BJ15),0)</f>
        <v>666000</v>
      </c>
      <c r="BN15" s="255">
        <f>+IF(OR(BF15=0,BG15=0),1,0)</f>
        <v>0</v>
      </c>
      <c r="BO15" s="236" t="s">
        <v>314</v>
      </c>
      <c r="BP15" s="385" t="s">
        <v>315</v>
      </c>
      <c r="BQ15" s="376">
        <v>840000</v>
      </c>
      <c r="BR15" s="237">
        <v>1.58</v>
      </c>
      <c r="BS15" s="238">
        <v>0.15</v>
      </c>
      <c r="BT15" s="14">
        <v>2.5</v>
      </c>
      <c r="BU15" s="247">
        <v>1</v>
      </c>
      <c r="BV15" s="377">
        <f t="shared" si="5"/>
        <v>497700</v>
      </c>
      <c r="BW15" s="704"/>
      <c r="BX15" s="760">
        <f>ROUND((BQ15*BR15*BS15*BT15*BU15),0)</f>
        <v>497700</v>
      </c>
      <c r="BY15" s="255">
        <f>+IF(OR(BQ15=0,BR15=0),1,0)</f>
        <v>0</v>
      </c>
      <c r="BZ15" s="236" t="s">
        <v>314</v>
      </c>
      <c r="CA15" s="385" t="s">
        <v>315</v>
      </c>
      <c r="CB15" s="376">
        <v>828116</v>
      </c>
      <c r="CC15" s="237">
        <v>1.59</v>
      </c>
      <c r="CD15" s="238">
        <v>0.15</v>
      </c>
      <c r="CE15" s="14">
        <v>2.5</v>
      </c>
      <c r="CF15" s="247">
        <v>1</v>
      </c>
      <c r="CG15" s="377">
        <f t="shared" si="6"/>
        <v>493764</v>
      </c>
      <c r="CH15" s="704"/>
      <c r="CI15" s="760">
        <f>ROUND((CB15*CC15*CD15*CE15*CF15),0)</f>
        <v>493764</v>
      </c>
      <c r="CJ15" s="255">
        <f>+IF(OR(CB15=0,CC15=0),1,0)</f>
        <v>0</v>
      </c>
      <c r="CK15" s="236" t="s">
        <v>314</v>
      </c>
      <c r="CL15" s="385" t="s">
        <v>315</v>
      </c>
      <c r="CM15" s="376">
        <v>830000</v>
      </c>
      <c r="CN15" s="237">
        <v>1.59</v>
      </c>
      <c r="CO15" s="238">
        <v>0.15</v>
      </c>
      <c r="CP15" s="14">
        <v>2.5</v>
      </c>
      <c r="CQ15" s="247">
        <v>1</v>
      </c>
      <c r="CR15" s="377">
        <f t="shared" si="7"/>
        <v>494888</v>
      </c>
      <c r="CS15" s="704"/>
      <c r="CT15" s="760">
        <f>ROUND((CM15*CN15*CO15*CP15*CQ15),0)</f>
        <v>494888</v>
      </c>
      <c r="CU15" s="255">
        <f>+IF(OR(CM15=0,CN15=0),1,0)</f>
        <v>0</v>
      </c>
      <c r="CV15" s="236" t="s">
        <v>314</v>
      </c>
      <c r="CW15" s="385" t="s">
        <v>315</v>
      </c>
      <c r="CX15" s="376">
        <v>900000</v>
      </c>
      <c r="CY15" s="237">
        <v>1.61</v>
      </c>
      <c r="CZ15" s="238">
        <v>0.15</v>
      </c>
      <c r="DA15" s="14">
        <v>2.5</v>
      </c>
      <c r="DB15" s="247">
        <v>1</v>
      </c>
      <c r="DC15" s="377">
        <f t="shared" si="8"/>
        <v>543375</v>
      </c>
      <c r="DD15" s="704"/>
      <c r="DE15" s="760">
        <f>ROUND((CX15*CY15*CZ15*DA15*DB15),0)</f>
        <v>543375</v>
      </c>
      <c r="DF15" s="255">
        <f>+IF(OR(CX15=0,CY15=0),1,0)</f>
        <v>0</v>
      </c>
    </row>
    <row r="16" spans="1:110" s="10" customFormat="1" ht="21.75" thickTop="1" thickBot="1">
      <c r="A16" s="233" t="s">
        <v>59</v>
      </c>
      <c r="B16" s="372" t="s">
        <v>167</v>
      </c>
      <c r="C16" s="380"/>
      <c r="D16" s="243"/>
      <c r="E16" s="243"/>
      <c r="F16" s="244"/>
      <c r="G16" s="245"/>
      <c r="H16" s="381"/>
      <c r="I16" s="704"/>
      <c r="J16" s="760"/>
      <c r="K16" s="255"/>
      <c r="L16" s="233" t="s">
        <v>59</v>
      </c>
      <c r="M16" s="372" t="s">
        <v>167</v>
      </c>
      <c r="N16" s="380"/>
      <c r="O16" s="243"/>
      <c r="P16" s="243"/>
      <c r="Q16" s="244"/>
      <c r="R16" s="245"/>
      <c r="S16" s="381"/>
      <c r="T16" s="704"/>
      <c r="U16" s="760"/>
      <c r="V16" s="255"/>
      <c r="W16" s="233" t="s">
        <v>59</v>
      </c>
      <c r="X16" s="372" t="s">
        <v>167</v>
      </c>
      <c r="Y16" s="380"/>
      <c r="Z16" s="243"/>
      <c r="AA16" s="243"/>
      <c r="AB16" s="244"/>
      <c r="AC16" s="245"/>
      <c r="AD16" s="381"/>
      <c r="AE16" s="704"/>
      <c r="AF16" s="760"/>
      <c r="AG16" s="255"/>
      <c r="AH16" s="233" t="s">
        <v>59</v>
      </c>
      <c r="AI16" s="372" t="s">
        <v>167</v>
      </c>
      <c r="AJ16" s="380"/>
      <c r="AK16" s="243"/>
      <c r="AL16" s="243"/>
      <c r="AM16" s="244"/>
      <c r="AN16" s="245"/>
      <c r="AO16" s="381"/>
      <c r="AP16" s="704"/>
      <c r="AQ16" s="760"/>
      <c r="AR16" s="255"/>
      <c r="AS16" s="233" t="s">
        <v>59</v>
      </c>
      <c r="AT16" s="372" t="s">
        <v>167</v>
      </c>
      <c r="AU16" s="380"/>
      <c r="AV16" s="243"/>
      <c r="AW16" s="243"/>
      <c r="AX16" s="244"/>
      <c r="AY16" s="245"/>
      <c r="AZ16" s="381"/>
      <c r="BA16" s="704"/>
      <c r="BB16" s="760"/>
      <c r="BC16" s="255"/>
      <c r="BD16" s="233" t="s">
        <v>59</v>
      </c>
      <c r="BE16" s="372" t="s">
        <v>167</v>
      </c>
      <c r="BF16" s="380"/>
      <c r="BG16" s="243"/>
      <c r="BH16" s="243"/>
      <c r="BI16" s="244"/>
      <c r="BJ16" s="245"/>
      <c r="BK16" s="381"/>
      <c r="BL16" s="704"/>
      <c r="BM16" s="760"/>
      <c r="BN16" s="255"/>
      <c r="BO16" s="233" t="s">
        <v>59</v>
      </c>
      <c r="BP16" s="372" t="s">
        <v>167</v>
      </c>
      <c r="BQ16" s="380"/>
      <c r="BR16" s="243"/>
      <c r="BS16" s="243"/>
      <c r="BT16" s="244"/>
      <c r="BU16" s="245"/>
      <c r="BV16" s="381"/>
      <c r="BW16" s="704"/>
      <c r="BX16" s="760"/>
      <c r="BY16" s="255"/>
      <c r="BZ16" s="233" t="s">
        <v>59</v>
      </c>
      <c r="CA16" s="372" t="s">
        <v>167</v>
      </c>
      <c r="CB16" s="380"/>
      <c r="CC16" s="243"/>
      <c r="CD16" s="243"/>
      <c r="CE16" s="244"/>
      <c r="CF16" s="245"/>
      <c r="CG16" s="381"/>
      <c r="CH16" s="704"/>
      <c r="CI16" s="760"/>
      <c r="CJ16" s="255"/>
      <c r="CK16" s="233" t="s">
        <v>59</v>
      </c>
      <c r="CL16" s="372" t="s">
        <v>167</v>
      </c>
      <c r="CM16" s="380"/>
      <c r="CN16" s="243"/>
      <c r="CO16" s="243"/>
      <c r="CP16" s="244"/>
      <c r="CQ16" s="245"/>
      <c r="CR16" s="381"/>
      <c r="CS16" s="704"/>
      <c r="CT16" s="760"/>
      <c r="CU16" s="255"/>
      <c r="CV16" s="233" t="s">
        <v>59</v>
      </c>
      <c r="CW16" s="372" t="s">
        <v>167</v>
      </c>
      <c r="CX16" s="380"/>
      <c r="CY16" s="243"/>
      <c r="CZ16" s="243"/>
      <c r="DA16" s="244"/>
      <c r="DB16" s="245"/>
      <c r="DC16" s="381"/>
      <c r="DD16" s="704"/>
      <c r="DE16" s="760"/>
      <c r="DF16" s="255"/>
    </row>
    <row r="17" spans="1:110" s="10" customFormat="1" ht="54.75" customHeight="1" thickTop="1">
      <c r="A17" s="236" t="s">
        <v>168</v>
      </c>
      <c r="B17" s="386" t="s">
        <v>316</v>
      </c>
      <c r="C17" s="387">
        <v>100000</v>
      </c>
      <c r="D17" s="388"/>
      <c r="E17" s="389">
        <v>1</v>
      </c>
      <c r="F17" s="390">
        <v>3</v>
      </c>
      <c r="G17" s="391">
        <v>1</v>
      </c>
      <c r="H17" s="392">
        <f>ROUND((C17*E17*F17*G17),0)</f>
        <v>300000</v>
      </c>
      <c r="I17" s="704"/>
      <c r="J17" s="760">
        <f>ROUND((C17*E17*F17*G17),0)</f>
        <v>300000</v>
      </c>
      <c r="K17" s="255">
        <f>+IF(OR(C17=0),1,0)</f>
        <v>0</v>
      </c>
      <c r="L17" s="236" t="s">
        <v>168</v>
      </c>
      <c r="M17" s="386" t="s">
        <v>316</v>
      </c>
      <c r="N17" s="387">
        <v>120000</v>
      </c>
      <c r="O17" s="388"/>
      <c r="P17" s="389">
        <v>1</v>
      </c>
      <c r="Q17" s="390">
        <v>3</v>
      </c>
      <c r="R17" s="391">
        <v>1</v>
      </c>
      <c r="S17" s="392">
        <f>ROUND((N17*P17*Q17),0)</f>
        <v>360000</v>
      </c>
      <c r="T17" s="704"/>
      <c r="U17" s="760">
        <f>ROUND((N17*P17*Q17*R17),0)</f>
        <v>360000</v>
      </c>
      <c r="V17" s="255">
        <f>+IF(OR(N17=0),1,0)</f>
        <v>0</v>
      </c>
      <c r="W17" s="236" t="s">
        <v>168</v>
      </c>
      <c r="X17" s="386" t="s">
        <v>316</v>
      </c>
      <c r="Y17" s="387">
        <v>150000</v>
      </c>
      <c r="Z17" s="388"/>
      <c r="AA17" s="389">
        <v>1</v>
      </c>
      <c r="AB17" s="390">
        <v>3</v>
      </c>
      <c r="AC17" s="391">
        <v>1</v>
      </c>
      <c r="AD17" s="392">
        <f>ROUND((Y17*AA17*AB17),0)</f>
        <v>450000</v>
      </c>
      <c r="AE17" s="704"/>
      <c r="AF17" s="760">
        <f>ROUND((Y17*AA17*AB17*AC17),0)</f>
        <v>450000</v>
      </c>
      <c r="AG17" s="255">
        <f>+IF(OR(Y17=0),1,0)</f>
        <v>0</v>
      </c>
      <c r="AH17" s="236" t="s">
        <v>168</v>
      </c>
      <c r="AI17" s="386" t="s">
        <v>316</v>
      </c>
      <c r="AJ17" s="387">
        <v>250000</v>
      </c>
      <c r="AK17" s="388">
        <v>1</v>
      </c>
      <c r="AL17" s="389">
        <v>1</v>
      </c>
      <c r="AM17" s="390">
        <v>3</v>
      </c>
      <c r="AN17" s="391">
        <v>1</v>
      </c>
      <c r="AO17" s="392">
        <f>ROUND((AJ17*AL17*AM17),0)</f>
        <v>750000</v>
      </c>
      <c r="AP17" s="704"/>
      <c r="AQ17" s="760">
        <f>ROUND((AJ17*AL17*AM17*AN17),0)</f>
        <v>750000</v>
      </c>
      <c r="AR17" s="255">
        <f>+IF(OR(AJ17=0),1,0)</f>
        <v>0</v>
      </c>
      <c r="AS17" s="236" t="s">
        <v>168</v>
      </c>
      <c r="AT17" s="386" t="s">
        <v>316</v>
      </c>
      <c r="AU17" s="387">
        <v>20000</v>
      </c>
      <c r="AV17" s="388"/>
      <c r="AW17" s="389">
        <v>1</v>
      </c>
      <c r="AX17" s="390">
        <v>3</v>
      </c>
      <c r="AY17" s="391">
        <v>1</v>
      </c>
      <c r="AZ17" s="392">
        <f>ROUND((AU17*AW17*AX17),0)</f>
        <v>60000</v>
      </c>
      <c r="BA17" s="704"/>
      <c r="BB17" s="760">
        <f>ROUND((AU17*AW17*AX17*AY17),0)</f>
        <v>60000</v>
      </c>
      <c r="BC17" s="255">
        <f>+IF(OR(AU17=0),1,0)</f>
        <v>0</v>
      </c>
      <c r="BD17" s="236" t="s">
        <v>168</v>
      </c>
      <c r="BE17" s="386" t="s">
        <v>316</v>
      </c>
      <c r="BF17" s="387">
        <v>500000</v>
      </c>
      <c r="BG17" s="388"/>
      <c r="BH17" s="389">
        <v>1</v>
      </c>
      <c r="BI17" s="390">
        <v>3</v>
      </c>
      <c r="BJ17" s="391">
        <v>1</v>
      </c>
      <c r="BK17" s="392">
        <f>ROUND((BF17*BH17*BI17),0)</f>
        <v>1500000</v>
      </c>
      <c r="BL17" s="704"/>
      <c r="BM17" s="760">
        <f>ROUND((BF17*BH17*BI17*BJ17),0)</f>
        <v>1500000</v>
      </c>
      <c r="BN17" s="255">
        <f>+IF(OR(BF17=0),1,0)</f>
        <v>0</v>
      </c>
      <c r="BO17" s="236" t="s">
        <v>168</v>
      </c>
      <c r="BP17" s="386" t="s">
        <v>316</v>
      </c>
      <c r="BQ17" s="387">
        <v>30000</v>
      </c>
      <c r="BR17" s="388"/>
      <c r="BS17" s="389">
        <v>1</v>
      </c>
      <c r="BT17" s="390">
        <v>3</v>
      </c>
      <c r="BU17" s="391">
        <v>1</v>
      </c>
      <c r="BV17" s="392">
        <f>ROUND((BQ17*BS17*BT17),0)</f>
        <v>90000</v>
      </c>
      <c r="BW17" s="704"/>
      <c r="BX17" s="760">
        <f>ROUND((BQ17*BS17*BT17*BU17),0)</f>
        <v>90000</v>
      </c>
      <c r="BY17" s="255">
        <f>+IF(OR(BQ17=0),1,0)</f>
        <v>0</v>
      </c>
      <c r="BZ17" s="236" t="s">
        <v>168</v>
      </c>
      <c r="CA17" s="386" t="s">
        <v>316</v>
      </c>
      <c r="CB17" s="387">
        <v>50000</v>
      </c>
      <c r="CC17" s="388"/>
      <c r="CD17" s="389">
        <v>1</v>
      </c>
      <c r="CE17" s="390">
        <v>3</v>
      </c>
      <c r="CF17" s="391">
        <v>1</v>
      </c>
      <c r="CG17" s="392">
        <f>ROUND((CB17*CD17*CE17),0)</f>
        <v>150000</v>
      </c>
      <c r="CH17" s="704"/>
      <c r="CI17" s="760">
        <f>ROUND((CB17*CD17*CE17*CF17),0)</f>
        <v>150000</v>
      </c>
      <c r="CJ17" s="255">
        <f>+IF(OR(CB17=0),1,0)</f>
        <v>0</v>
      </c>
      <c r="CK17" s="236" t="s">
        <v>168</v>
      </c>
      <c r="CL17" s="386" t="s">
        <v>316</v>
      </c>
      <c r="CM17" s="387">
        <v>45000</v>
      </c>
      <c r="CN17" s="388"/>
      <c r="CO17" s="389">
        <v>1</v>
      </c>
      <c r="CP17" s="390">
        <v>3</v>
      </c>
      <c r="CQ17" s="391">
        <v>1</v>
      </c>
      <c r="CR17" s="392">
        <f>ROUND((CM17*CO17*CP17),0)</f>
        <v>135000</v>
      </c>
      <c r="CS17" s="704"/>
      <c r="CT17" s="760">
        <f>ROUND((CM17*CO17*CP17*CQ17),0)</f>
        <v>135000</v>
      </c>
      <c r="CU17" s="255">
        <f>+IF(OR(CM17=0),1,0)</f>
        <v>0</v>
      </c>
      <c r="CV17" s="236" t="s">
        <v>168</v>
      </c>
      <c r="CW17" s="386" t="s">
        <v>316</v>
      </c>
      <c r="CX17" s="387">
        <v>60000</v>
      </c>
      <c r="CY17" s="388"/>
      <c r="CZ17" s="389">
        <v>1</v>
      </c>
      <c r="DA17" s="390">
        <v>3</v>
      </c>
      <c r="DB17" s="391">
        <v>1</v>
      </c>
      <c r="DC17" s="392">
        <f>ROUND((CX17*CZ17*DA17),0)</f>
        <v>180000</v>
      </c>
      <c r="DD17" s="704"/>
      <c r="DE17" s="760">
        <f>ROUND((CX17*CZ17*DA17*DB17),0)</f>
        <v>180000</v>
      </c>
      <c r="DF17" s="255">
        <f>+IF(OR(CX17=0),1,0)</f>
        <v>0</v>
      </c>
    </row>
    <row r="18" spans="1:110" ht="21" thickBot="1">
      <c r="A18" s="236" t="s">
        <v>169</v>
      </c>
      <c r="B18" s="393" t="s">
        <v>317</v>
      </c>
      <c r="C18" s="387">
        <v>80000</v>
      </c>
      <c r="D18" s="250"/>
      <c r="E18" s="251">
        <v>1</v>
      </c>
      <c r="F18" s="14">
        <v>3</v>
      </c>
      <c r="G18" s="252">
        <v>2</v>
      </c>
      <c r="H18" s="392">
        <f>ROUND((C18*E18*F18*G18),0)</f>
        <v>480000</v>
      </c>
      <c r="I18" s="704"/>
      <c r="J18" s="760">
        <f>ROUND((C18*E18*F18*G18),0)</f>
        <v>480000</v>
      </c>
      <c r="K18" s="255">
        <f>+IF(OR(C18=0),1,0)</f>
        <v>0</v>
      </c>
      <c r="L18" s="236" t="s">
        <v>169</v>
      </c>
      <c r="M18" s="393" t="s">
        <v>317</v>
      </c>
      <c r="N18" s="387">
        <v>250000</v>
      </c>
      <c r="O18" s="250"/>
      <c r="P18" s="251">
        <v>1</v>
      </c>
      <c r="Q18" s="14">
        <v>3</v>
      </c>
      <c r="R18" s="252">
        <v>2</v>
      </c>
      <c r="S18" s="394">
        <f>+N18*P18*Q18*R18</f>
        <v>1500000</v>
      </c>
      <c r="T18" s="704"/>
      <c r="U18" s="760">
        <f>ROUND((N18*P18*Q18*R18),0)</f>
        <v>1500000</v>
      </c>
      <c r="V18" s="255">
        <f>+IF(OR(N18=0),1,0)</f>
        <v>0</v>
      </c>
      <c r="W18" s="236" t="s">
        <v>169</v>
      </c>
      <c r="X18" s="393" t="s">
        <v>317</v>
      </c>
      <c r="Y18" s="387">
        <v>350000</v>
      </c>
      <c r="Z18" s="250"/>
      <c r="AA18" s="251">
        <v>1</v>
      </c>
      <c r="AB18" s="14">
        <v>3</v>
      </c>
      <c r="AC18" s="252">
        <v>2</v>
      </c>
      <c r="AD18" s="394">
        <f>+Y18*AA18*AB18*AC18</f>
        <v>2100000</v>
      </c>
      <c r="AE18" s="704"/>
      <c r="AF18" s="760">
        <f>ROUND((Y18*AA18*AB18*AC18),0)</f>
        <v>2100000</v>
      </c>
      <c r="AG18" s="255">
        <f>+IF(OR(Y18=0),1,0)</f>
        <v>0</v>
      </c>
      <c r="AH18" s="236" t="s">
        <v>169</v>
      </c>
      <c r="AI18" s="393" t="s">
        <v>317</v>
      </c>
      <c r="AJ18" s="387">
        <v>300000</v>
      </c>
      <c r="AK18" s="250">
        <v>1</v>
      </c>
      <c r="AL18" s="251">
        <v>1</v>
      </c>
      <c r="AM18" s="14">
        <v>3</v>
      </c>
      <c r="AN18" s="252">
        <v>2</v>
      </c>
      <c r="AO18" s="394">
        <f>+AJ18*AL18*AM18*AN18</f>
        <v>1800000</v>
      </c>
      <c r="AP18" s="704"/>
      <c r="AQ18" s="760">
        <f>ROUND((AJ18*AL18*AM18*AN18),0)</f>
        <v>1800000</v>
      </c>
      <c r="AR18" s="255">
        <f>+IF(OR(AJ18=0),1,0)</f>
        <v>0</v>
      </c>
      <c r="AS18" s="236" t="s">
        <v>169</v>
      </c>
      <c r="AT18" s="393" t="s">
        <v>317</v>
      </c>
      <c r="AU18" s="387">
        <v>50000</v>
      </c>
      <c r="AV18" s="250"/>
      <c r="AW18" s="251">
        <v>1</v>
      </c>
      <c r="AX18" s="14">
        <v>3</v>
      </c>
      <c r="AY18" s="252">
        <v>2</v>
      </c>
      <c r="AZ18" s="394">
        <f>+AU18*AW18*AX18*AY18</f>
        <v>300000</v>
      </c>
      <c r="BA18" s="704"/>
      <c r="BB18" s="760">
        <f>ROUND((AU18*AW18*AX18*AY18),0)</f>
        <v>300000</v>
      </c>
      <c r="BC18" s="255">
        <f>+IF(OR(AU18=0),1,0)</f>
        <v>0</v>
      </c>
      <c r="BD18" s="236" t="s">
        <v>169</v>
      </c>
      <c r="BE18" s="393" t="s">
        <v>317</v>
      </c>
      <c r="BF18" s="387">
        <v>1500000</v>
      </c>
      <c r="BG18" s="250"/>
      <c r="BH18" s="251">
        <v>1</v>
      </c>
      <c r="BI18" s="14">
        <v>3</v>
      </c>
      <c r="BJ18" s="252">
        <v>2</v>
      </c>
      <c r="BK18" s="394">
        <f>+BF18*BH18*BI18*BJ18</f>
        <v>9000000</v>
      </c>
      <c r="BL18" s="704"/>
      <c r="BM18" s="760">
        <f>ROUND((BF18*BH18*BI18*BJ18),0)</f>
        <v>9000000</v>
      </c>
      <c r="BN18" s="255">
        <f>+IF(OR(BF18=0),1,0)</f>
        <v>0</v>
      </c>
      <c r="BO18" s="236" t="s">
        <v>169</v>
      </c>
      <c r="BP18" s="393" t="s">
        <v>317</v>
      </c>
      <c r="BQ18" s="387">
        <v>65000</v>
      </c>
      <c r="BR18" s="250"/>
      <c r="BS18" s="251">
        <v>1</v>
      </c>
      <c r="BT18" s="14">
        <v>3</v>
      </c>
      <c r="BU18" s="252">
        <v>2</v>
      </c>
      <c r="BV18" s="394">
        <f>+BQ18*BS18*BT18*BU18</f>
        <v>390000</v>
      </c>
      <c r="BW18" s="704"/>
      <c r="BX18" s="760">
        <f>ROUND((BQ18*BS18*BT18*BU18),0)</f>
        <v>390000</v>
      </c>
      <c r="BY18" s="255">
        <f>+IF(OR(BQ18=0),1,0)</f>
        <v>0</v>
      </c>
      <c r="BZ18" s="236" t="s">
        <v>169</v>
      </c>
      <c r="CA18" s="393" t="s">
        <v>317</v>
      </c>
      <c r="CB18" s="387">
        <v>100000</v>
      </c>
      <c r="CC18" s="250"/>
      <c r="CD18" s="251">
        <v>1</v>
      </c>
      <c r="CE18" s="14">
        <v>3</v>
      </c>
      <c r="CF18" s="252">
        <v>2</v>
      </c>
      <c r="CG18" s="394">
        <f>+CB18*CD18*CE18*CF18</f>
        <v>600000</v>
      </c>
      <c r="CH18" s="704"/>
      <c r="CI18" s="760">
        <f>ROUND((CB18*CD18*CE18*CF18),0)</f>
        <v>600000</v>
      </c>
      <c r="CJ18" s="255">
        <f>+IF(OR(CB18=0),1,0)</f>
        <v>0</v>
      </c>
      <c r="CK18" s="236" t="s">
        <v>169</v>
      </c>
      <c r="CL18" s="393" t="s">
        <v>317</v>
      </c>
      <c r="CM18" s="387">
        <v>80000</v>
      </c>
      <c r="CN18" s="250"/>
      <c r="CO18" s="251">
        <v>1</v>
      </c>
      <c r="CP18" s="14">
        <v>3</v>
      </c>
      <c r="CQ18" s="252">
        <v>2</v>
      </c>
      <c r="CR18" s="394">
        <f>+CM18*CO18*CP18*CQ18</f>
        <v>480000</v>
      </c>
      <c r="CS18" s="704"/>
      <c r="CT18" s="760">
        <f>ROUND((CM18*CO18*CP18*CQ18),0)</f>
        <v>480000</v>
      </c>
      <c r="CU18" s="255">
        <f>+IF(OR(CM18=0),1,0)</f>
        <v>0</v>
      </c>
      <c r="CV18" s="236" t="s">
        <v>169</v>
      </c>
      <c r="CW18" s="393" t="s">
        <v>317</v>
      </c>
      <c r="CX18" s="387">
        <v>200000</v>
      </c>
      <c r="CY18" s="250"/>
      <c r="CZ18" s="251">
        <v>1</v>
      </c>
      <c r="DA18" s="14">
        <v>3</v>
      </c>
      <c r="DB18" s="252">
        <v>2</v>
      </c>
      <c r="DC18" s="394">
        <f>+CX18*CZ18*DA18*DB18</f>
        <v>1200000</v>
      </c>
      <c r="DD18" s="704"/>
      <c r="DE18" s="760">
        <f>ROUND((CX18*CZ18*DA18*DB18),0)</f>
        <v>1200000</v>
      </c>
      <c r="DF18" s="255">
        <f>+IF(OR(CX18=0),1,0)</f>
        <v>0</v>
      </c>
    </row>
    <row r="19" spans="1:110" ht="21.75" thickTop="1" thickBot="1">
      <c r="A19" s="253">
        <v>5</v>
      </c>
      <c r="B19" s="369" t="s">
        <v>62</v>
      </c>
      <c r="C19" s="378"/>
      <c r="D19" s="239"/>
      <c r="E19" s="239"/>
      <c r="F19" s="239"/>
      <c r="G19" s="240"/>
      <c r="H19" s="379"/>
      <c r="I19" s="704"/>
      <c r="J19" s="760"/>
      <c r="K19" s="255"/>
      <c r="L19" s="253">
        <v>5</v>
      </c>
      <c r="M19" s="369" t="s">
        <v>62</v>
      </c>
      <c r="N19" s="378"/>
      <c r="O19" s="239"/>
      <c r="P19" s="239"/>
      <c r="Q19" s="239"/>
      <c r="R19" s="240"/>
      <c r="S19" s="379"/>
      <c r="T19" s="704"/>
      <c r="U19" s="760"/>
      <c r="V19" s="255"/>
      <c r="W19" s="253">
        <v>5</v>
      </c>
      <c r="X19" s="369" t="s">
        <v>62</v>
      </c>
      <c r="Y19" s="378"/>
      <c r="Z19" s="239"/>
      <c r="AA19" s="239"/>
      <c r="AB19" s="239"/>
      <c r="AC19" s="240"/>
      <c r="AD19" s="379"/>
      <c r="AE19" s="704"/>
      <c r="AF19" s="760"/>
      <c r="AG19" s="255"/>
      <c r="AH19" s="253">
        <v>5</v>
      </c>
      <c r="AI19" s="369" t="s">
        <v>62</v>
      </c>
      <c r="AJ19" s="378"/>
      <c r="AK19" s="239"/>
      <c r="AL19" s="239"/>
      <c r="AM19" s="239"/>
      <c r="AN19" s="240"/>
      <c r="AO19" s="379"/>
      <c r="AP19" s="704"/>
      <c r="AQ19" s="760"/>
      <c r="AR19" s="255"/>
      <c r="AS19" s="253">
        <v>5</v>
      </c>
      <c r="AT19" s="369" t="s">
        <v>62</v>
      </c>
      <c r="AU19" s="378"/>
      <c r="AV19" s="239"/>
      <c r="AW19" s="239"/>
      <c r="AX19" s="239"/>
      <c r="AY19" s="240"/>
      <c r="AZ19" s="379"/>
      <c r="BA19" s="704"/>
      <c r="BB19" s="760"/>
      <c r="BC19" s="255"/>
      <c r="BD19" s="253">
        <v>5</v>
      </c>
      <c r="BE19" s="369" t="s">
        <v>62</v>
      </c>
      <c r="BF19" s="378"/>
      <c r="BG19" s="239"/>
      <c r="BH19" s="239"/>
      <c r="BI19" s="239"/>
      <c r="BJ19" s="240"/>
      <c r="BK19" s="379"/>
      <c r="BL19" s="704"/>
      <c r="BM19" s="760"/>
      <c r="BN19" s="255"/>
      <c r="BO19" s="253">
        <v>5</v>
      </c>
      <c r="BP19" s="369" t="s">
        <v>62</v>
      </c>
      <c r="BQ19" s="378"/>
      <c r="BR19" s="239"/>
      <c r="BS19" s="239"/>
      <c r="BT19" s="239"/>
      <c r="BU19" s="240"/>
      <c r="BV19" s="379"/>
      <c r="BW19" s="704"/>
      <c r="BX19" s="760"/>
      <c r="BY19" s="255"/>
      <c r="BZ19" s="253">
        <v>5</v>
      </c>
      <c r="CA19" s="369" t="s">
        <v>62</v>
      </c>
      <c r="CB19" s="378"/>
      <c r="CC19" s="239"/>
      <c r="CD19" s="239"/>
      <c r="CE19" s="239"/>
      <c r="CF19" s="240"/>
      <c r="CG19" s="379"/>
      <c r="CH19" s="704"/>
      <c r="CI19" s="760"/>
      <c r="CJ19" s="255"/>
      <c r="CK19" s="253">
        <v>5</v>
      </c>
      <c r="CL19" s="369" t="s">
        <v>62</v>
      </c>
      <c r="CM19" s="378"/>
      <c r="CN19" s="239"/>
      <c r="CO19" s="239"/>
      <c r="CP19" s="239"/>
      <c r="CQ19" s="240"/>
      <c r="CR19" s="379"/>
      <c r="CS19" s="704"/>
      <c r="CT19" s="760"/>
      <c r="CU19" s="255"/>
      <c r="CV19" s="253">
        <v>5</v>
      </c>
      <c r="CW19" s="369" t="s">
        <v>62</v>
      </c>
      <c r="CX19" s="378"/>
      <c r="CY19" s="239"/>
      <c r="CZ19" s="239"/>
      <c r="DA19" s="239"/>
      <c r="DB19" s="240"/>
      <c r="DC19" s="379"/>
      <c r="DD19" s="704"/>
      <c r="DE19" s="760"/>
      <c r="DF19" s="255"/>
    </row>
    <row r="20" spans="1:110" s="10" customFormat="1" ht="21.75" thickTop="1" thickBot="1">
      <c r="A20" s="8" t="s">
        <v>230</v>
      </c>
      <c r="B20" s="395" t="s">
        <v>73</v>
      </c>
      <c r="C20" s="396">
        <v>2962392</v>
      </c>
      <c r="D20" s="15"/>
      <c r="E20" s="9"/>
      <c r="F20" s="15"/>
      <c r="G20" s="16"/>
      <c r="H20" s="397">
        <f>C20</f>
        <v>2962392</v>
      </c>
      <c r="I20" s="704"/>
      <c r="J20" s="760">
        <f>+ROUND(C20,0)</f>
        <v>2962392</v>
      </c>
      <c r="K20" s="255">
        <f>+IF(OR(C20=0),1,0)</f>
        <v>0</v>
      </c>
      <c r="L20" s="8" t="s">
        <v>230</v>
      </c>
      <c r="M20" s="395" t="s">
        <v>73</v>
      </c>
      <c r="N20" s="396">
        <f>409500000*0.01</f>
        <v>4095000</v>
      </c>
      <c r="O20" s="15"/>
      <c r="P20" s="9"/>
      <c r="Q20" s="15"/>
      <c r="R20" s="16"/>
      <c r="S20" s="397">
        <f>N20</f>
        <v>4095000</v>
      </c>
      <c r="T20" s="704"/>
      <c r="U20" s="760">
        <f>+ROUND(N20,0)</f>
        <v>4095000</v>
      </c>
      <c r="V20" s="255">
        <f>+IF(OR(N20=0),1,0)</f>
        <v>0</v>
      </c>
      <c r="W20" s="8" t="s">
        <v>230</v>
      </c>
      <c r="X20" s="395" t="s">
        <v>73</v>
      </c>
      <c r="Y20" s="396">
        <v>1785024</v>
      </c>
      <c r="Z20" s="15"/>
      <c r="AA20" s="9"/>
      <c r="AB20" s="15"/>
      <c r="AC20" s="16"/>
      <c r="AD20" s="397">
        <f>Y20</f>
        <v>1785024</v>
      </c>
      <c r="AE20" s="704"/>
      <c r="AF20" s="760">
        <f>+ROUND(Y20,0)</f>
        <v>1785024</v>
      </c>
      <c r="AG20" s="255">
        <f>+IF(OR(Y20=0),1,0)</f>
        <v>0</v>
      </c>
      <c r="AH20" s="572" t="s">
        <v>230</v>
      </c>
      <c r="AI20" s="573" t="s">
        <v>73</v>
      </c>
      <c r="AJ20" s="574">
        <v>2000000</v>
      </c>
      <c r="AK20" s="575"/>
      <c r="AL20" s="576"/>
      <c r="AM20" s="575"/>
      <c r="AN20" s="577"/>
      <c r="AO20" s="578">
        <f>AJ20</f>
        <v>2000000</v>
      </c>
      <c r="AP20" s="704"/>
      <c r="AQ20" s="760">
        <f>+ROUND(AJ20,0)</f>
        <v>2000000</v>
      </c>
      <c r="AR20" s="255">
        <f>+IF(OR(AJ20=0),1,0)</f>
        <v>0</v>
      </c>
      <c r="AS20" s="8" t="s">
        <v>230</v>
      </c>
      <c r="AT20" s="395" t="s">
        <v>73</v>
      </c>
      <c r="AU20" s="396">
        <v>1280000</v>
      </c>
      <c r="AV20" s="15"/>
      <c r="AW20" s="9"/>
      <c r="AX20" s="15"/>
      <c r="AY20" s="16"/>
      <c r="AZ20" s="397">
        <f>AU20</f>
        <v>1280000</v>
      </c>
      <c r="BA20" s="704"/>
      <c r="BB20" s="760">
        <f>+ROUND(AU20,0)</f>
        <v>1280000</v>
      </c>
      <c r="BC20" s="255">
        <f>+IF(OR(AU20=0),1,0)</f>
        <v>0</v>
      </c>
      <c r="BD20" s="8" t="s">
        <v>230</v>
      </c>
      <c r="BE20" s="395" t="s">
        <v>73</v>
      </c>
      <c r="BF20" s="396">
        <v>1727093</v>
      </c>
      <c r="BG20" s="15"/>
      <c r="BH20" s="9"/>
      <c r="BI20" s="15"/>
      <c r="BJ20" s="16"/>
      <c r="BK20" s="397">
        <f>BF20</f>
        <v>1727093</v>
      </c>
      <c r="BL20" s="704"/>
      <c r="BM20" s="760">
        <f>+ROUND(BF20,0)</f>
        <v>1727093</v>
      </c>
      <c r="BN20" s="255">
        <f>+IF(OR(BF20=0),1,0)</f>
        <v>0</v>
      </c>
      <c r="BO20" s="8" t="s">
        <v>230</v>
      </c>
      <c r="BP20" s="395" t="s">
        <v>73</v>
      </c>
      <c r="BQ20" s="396">
        <v>1210000</v>
      </c>
      <c r="BR20" s="15"/>
      <c r="BS20" s="9"/>
      <c r="BT20" s="15"/>
      <c r="BU20" s="16"/>
      <c r="BV20" s="397">
        <f>BQ20</f>
        <v>1210000</v>
      </c>
      <c r="BW20" s="704"/>
      <c r="BX20" s="760">
        <f>+ROUND(BQ20,0)</f>
        <v>1210000</v>
      </c>
      <c r="BY20" s="255">
        <f>+IF(OR(BQ20=0),1,0)</f>
        <v>0</v>
      </c>
      <c r="BZ20" s="8" t="s">
        <v>230</v>
      </c>
      <c r="CA20" s="395" t="s">
        <v>73</v>
      </c>
      <c r="CB20" s="396">
        <v>1200000</v>
      </c>
      <c r="CC20" s="15"/>
      <c r="CD20" s="9"/>
      <c r="CE20" s="15"/>
      <c r="CF20" s="16"/>
      <c r="CG20" s="397">
        <f>CB20</f>
        <v>1200000</v>
      </c>
      <c r="CH20" s="704"/>
      <c r="CI20" s="760">
        <f>+ROUND(CB20,0)</f>
        <v>1200000</v>
      </c>
      <c r="CJ20" s="255">
        <f>+IF(OR(CB20=0),1,0)</f>
        <v>0</v>
      </c>
      <c r="CK20" s="8" t="s">
        <v>230</v>
      </c>
      <c r="CL20" s="395" t="s">
        <v>73</v>
      </c>
      <c r="CM20" s="396">
        <v>1180000</v>
      </c>
      <c r="CN20" s="15"/>
      <c r="CO20" s="9"/>
      <c r="CP20" s="15"/>
      <c r="CQ20" s="16"/>
      <c r="CR20" s="397">
        <f>CM20</f>
        <v>1180000</v>
      </c>
      <c r="CS20" s="704"/>
      <c r="CT20" s="760">
        <f>+ROUND(CM20,0)</f>
        <v>1180000</v>
      </c>
      <c r="CU20" s="255">
        <f>+IF(OR(CM20=0),1,0)</f>
        <v>0</v>
      </c>
      <c r="CV20" s="8" t="s">
        <v>230</v>
      </c>
      <c r="CW20" s="395" t="s">
        <v>73</v>
      </c>
      <c r="CX20" s="396">
        <v>4000000</v>
      </c>
      <c r="CY20" s="15"/>
      <c r="CZ20" s="9"/>
      <c r="DA20" s="15"/>
      <c r="DB20" s="16"/>
      <c r="DC20" s="397">
        <f>CX20</f>
        <v>4000000</v>
      </c>
      <c r="DD20" s="704"/>
      <c r="DE20" s="760">
        <f>+ROUND(CX20,0)</f>
        <v>4000000</v>
      </c>
      <c r="DF20" s="255">
        <f>+IF(OR(CX20=0),1,0)</f>
        <v>0</v>
      </c>
    </row>
    <row r="21" spans="1:110" ht="21.75" thickTop="1" thickBot="1">
      <c r="A21" s="398"/>
      <c r="B21" s="399" t="s">
        <v>87</v>
      </c>
      <c r="C21" s="400"/>
      <c r="D21" s="401"/>
      <c r="E21" s="401"/>
      <c r="F21" s="401"/>
      <c r="G21" s="402"/>
      <c r="H21" s="403">
        <f>ROUND(SUM(H6:H20),0)</f>
        <v>32670533</v>
      </c>
      <c r="I21" s="704"/>
      <c r="J21" s="762">
        <f>SUM(H6:H20)</f>
        <v>32670533</v>
      </c>
      <c r="L21" s="398"/>
      <c r="M21" s="399" t="s">
        <v>87</v>
      </c>
      <c r="N21" s="400"/>
      <c r="O21" s="401"/>
      <c r="P21" s="401"/>
      <c r="Q21" s="401"/>
      <c r="R21" s="402"/>
      <c r="S21" s="403">
        <f>ROUND(SUM(S6:S20),0)</f>
        <v>34003875</v>
      </c>
      <c r="T21" s="704"/>
      <c r="U21" s="762">
        <f>SUM(S6:S20)</f>
        <v>34003875</v>
      </c>
      <c r="V21" s="254"/>
      <c r="W21" s="398"/>
      <c r="X21" s="399" t="s">
        <v>87</v>
      </c>
      <c r="Y21" s="400"/>
      <c r="Z21" s="401"/>
      <c r="AA21" s="401"/>
      <c r="AB21" s="401"/>
      <c r="AC21" s="402"/>
      <c r="AD21" s="403">
        <f>ROUND(SUM(AD6:AD20),0)</f>
        <v>30835101</v>
      </c>
      <c r="AE21" s="704"/>
      <c r="AF21" s="762">
        <f>SUM(AD6:AD20)</f>
        <v>30835101</v>
      </c>
      <c r="AG21" s="254"/>
      <c r="AH21" s="398"/>
      <c r="AI21" s="399" t="s">
        <v>87</v>
      </c>
      <c r="AJ21" s="400"/>
      <c r="AK21" s="401"/>
      <c r="AL21" s="401"/>
      <c r="AM21" s="401"/>
      <c r="AN21" s="402"/>
      <c r="AO21" s="403">
        <f>ROUND(SUM(AO6:AO20),0)</f>
        <v>31012813</v>
      </c>
      <c r="AP21" s="704"/>
      <c r="AQ21" s="762">
        <f>SUM(AO6:AO20)</f>
        <v>31012813</v>
      </c>
      <c r="AR21" s="254"/>
      <c r="AS21" s="398"/>
      <c r="AT21" s="399" t="s">
        <v>87</v>
      </c>
      <c r="AU21" s="400"/>
      <c r="AV21" s="401"/>
      <c r="AW21" s="401"/>
      <c r="AX21" s="401"/>
      <c r="AY21" s="402"/>
      <c r="AZ21" s="403">
        <f>ROUND(SUM(AZ6:AZ20),0)</f>
        <v>28640941</v>
      </c>
      <c r="BA21" s="704"/>
      <c r="BB21" s="762">
        <f>SUM(AZ6:AZ20)</f>
        <v>28640941</v>
      </c>
      <c r="BC21" s="254"/>
      <c r="BD21" s="398"/>
      <c r="BE21" s="399" t="s">
        <v>87</v>
      </c>
      <c r="BF21" s="400"/>
      <c r="BG21" s="401"/>
      <c r="BH21" s="401"/>
      <c r="BI21" s="401"/>
      <c r="BJ21" s="402"/>
      <c r="BK21" s="403">
        <f>ROUND(SUM(BK6:BK20),0)</f>
        <v>52868093</v>
      </c>
      <c r="BL21" s="704"/>
      <c r="BM21" s="762">
        <f>SUM(BK6:BK20)</f>
        <v>52868093</v>
      </c>
      <c r="BN21" s="254"/>
      <c r="BO21" s="398"/>
      <c r="BP21" s="399" t="s">
        <v>87</v>
      </c>
      <c r="BQ21" s="400"/>
      <c r="BR21" s="401"/>
      <c r="BS21" s="401"/>
      <c r="BT21" s="401"/>
      <c r="BU21" s="402"/>
      <c r="BV21" s="403">
        <f>ROUND(SUM(BV6:BV20),0)</f>
        <v>27783100</v>
      </c>
      <c r="BW21" s="704"/>
      <c r="BX21" s="762">
        <f>SUM(BV6:BV20)</f>
        <v>27783100</v>
      </c>
      <c r="BY21" s="254"/>
      <c r="BZ21" s="398"/>
      <c r="CA21" s="399" t="s">
        <v>87</v>
      </c>
      <c r="CB21" s="400"/>
      <c r="CC21" s="401"/>
      <c r="CD21" s="401"/>
      <c r="CE21" s="401"/>
      <c r="CF21" s="402"/>
      <c r="CG21" s="403">
        <f>ROUND(SUM(CG6:CG20),0)</f>
        <v>28331972</v>
      </c>
      <c r="CH21" s="704"/>
      <c r="CI21" s="762">
        <f>SUM(CG6:CG20)</f>
        <v>28331972</v>
      </c>
      <c r="CJ21" s="254"/>
      <c r="CK21" s="398"/>
      <c r="CL21" s="399" t="s">
        <v>87</v>
      </c>
      <c r="CM21" s="400"/>
      <c r="CN21" s="401"/>
      <c r="CO21" s="401"/>
      <c r="CP21" s="401"/>
      <c r="CQ21" s="402"/>
      <c r="CR21" s="403">
        <f>ROUND(SUM(CR6:CR20),0)</f>
        <v>28030343</v>
      </c>
      <c r="CS21" s="704"/>
      <c r="CT21" s="762">
        <f>SUM(CR6:CR20)</f>
        <v>28030343</v>
      </c>
      <c r="CU21" s="254"/>
      <c r="CV21" s="398"/>
      <c r="CW21" s="399" t="s">
        <v>87</v>
      </c>
      <c r="CX21" s="400"/>
      <c r="CY21" s="401"/>
      <c r="CZ21" s="401"/>
      <c r="DA21" s="401"/>
      <c r="DB21" s="402"/>
      <c r="DC21" s="403">
        <f>ROUND(SUM(DC6:DC20),0)</f>
        <v>35091927</v>
      </c>
      <c r="DD21" s="704"/>
      <c r="DE21" s="762">
        <f>SUM(DC6:DC20)</f>
        <v>35091927</v>
      </c>
      <c r="DF21" s="254"/>
    </row>
    <row r="22" spans="1:110" ht="21.75" thickTop="1" thickBot="1">
      <c r="C22" s="555"/>
      <c r="H22" s="556"/>
      <c r="I22" s="556"/>
      <c r="J22" s="556"/>
      <c r="N22" s="555"/>
      <c r="S22" s="556"/>
      <c r="T22" s="556"/>
      <c r="U22" s="556"/>
      <c r="V22" s="254"/>
      <c r="Y22" s="555"/>
      <c r="AD22" s="556"/>
      <c r="AE22" s="556"/>
      <c r="AF22" s="556"/>
      <c r="AG22" s="254"/>
      <c r="AJ22" s="555"/>
      <c r="AO22" s="556"/>
      <c r="AP22" s="556"/>
      <c r="AQ22" s="556"/>
      <c r="AR22" s="254"/>
      <c r="AU22" s="555"/>
      <c r="AZ22" s="556"/>
      <c r="BA22" s="556"/>
      <c r="BB22" s="556"/>
      <c r="BC22" s="254"/>
      <c r="BF22" s="555"/>
      <c r="BK22" s="556"/>
      <c r="BL22" s="556"/>
      <c r="BM22" s="556"/>
      <c r="BN22" s="254"/>
      <c r="BQ22" s="555"/>
      <c r="BV22" s="556"/>
      <c r="BW22" s="556"/>
      <c r="BX22" s="556"/>
      <c r="BY22" s="254"/>
      <c r="CB22" s="555"/>
      <c r="CG22" s="556"/>
      <c r="CH22" s="556"/>
      <c r="CI22" s="556"/>
      <c r="CJ22" s="254"/>
      <c r="CM22" s="555"/>
      <c r="CR22" s="556"/>
      <c r="CS22" s="556"/>
      <c r="CT22" s="556"/>
      <c r="CU22" s="254"/>
      <c r="CX22" s="555"/>
      <c r="DC22" s="556"/>
      <c r="DD22" s="556"/>
      <c r="DE22" s="556"/>
      <c r="DF22" s="254"/>
    </row>
    <row r="23" spans="1:110" ht="21.75" thickTop="1" thickBot="1">
      <c r="A23" s="557"/>
      <c r="B23" s="558" t="s">
        <v>88</v>
      </c>
      <c r="C23" s="559"/>
      <c r="D23" s="560"/>
      <c r="E23" s="560"/>
      <c r="F23" s="560"/>
      <c r="G23" s="561"/>
      <c r="H23" s="562">
        <f>+'Presupuesto Consolidado'!F81</f>
        <v>364626485</v>
      </c>
      <c r="I23" s="704"/>
      <c r="J23" s="762">
        <f>+H23</f>
        <v>364626485</v>
      </c>
      <c r="L23" s="557"/>
      <c r="M23" s="558" t="s">
        <v>88</v>
      </c>
      <c r="N23" s="559"/>
      <c r="O23" s="560"/>
      <c r="P23" s="560"/>
      <c r="Q23" s="560"/>
      <c r="R23" s="561"/>
      <c r="S23" s="562">
        <f>+'Presupuesto Consolidado'!P81</f>
        <v>366770952</v>
      </c>
      <c r="T23" s="704"/>
      <c r="U23" s="762">
        <f>+S23</f>
        <v>366770952</v>
      </c>
      <c r="V23" s="254"/>
      <c r="W23" s="557"/>
      <c r="X23" s="558" t="s">
        <v>88</v>
      </c>
      <c r="Y23" s="559"/>
      <c r="Z23" s="560"/>
      <c r="AA23" s="560"/>
      <c r="AB23" s="560"/>
      <c r="AC23" s="561"/>
      <c r="AD23" s="562">
        <f>+'Presupuesto Consolidado'!Z81</f>
        <v>361844287.39999998</v>
      </c>
      <c r="AE23" s="704"/>
      <c r="AF23" s="762">
        <f>+AD23</f>
        <v>361844287.39999998</v>
      </c>
      <c r="AG23" s="254"/>
      <c r="AH23" s="557"/>
      <c r="AI23" s="558" t="s">
        <v>88</v>
      </c>
      <c r="AJ23" s="559"/>
      <c r="AK23" s="560"/>
      <c r="AL23" s="560"/>
      <c r="AM23" s="560"/>
      <c r="AN23" s="561"/>
      <c r="AO23" s="562">
        <f>+'Presupuesto Consolidado'!AJ81</f>
        <v>365069934</v>
      </c>
      <c r="AP23" s="704"/>
      <c r="AQ23" s="762">
        <f>+AO23</f>
        <v>365069934</v>
      </c>
      <c r="AR23" s="254"/>
      <c r="AS23" s="557"/>
      <c r="AT23" s="558" t="s">
        <v>88</v>
      </c>
      <c r="AU23" s="559"/>
      <c r="AV23" s="560"/>
      <c r="AW23" s="560"/>
      <c r="AX23" s="560"/>
      <c r="AY23" s="561"/>
      <c r="AZ23" s="562">
        <f>+'Presupuesto Consolidado'!AT81</f>
        <v>371473205</v>
      </c>
      <c r="BA23" s="704"/>
      <c r="BB23" s="762">
        <f>+AZ23</f>
        <v>371473205</v>
      </c>
      <c r="BC23" s="254"/>
      <c r="BD23" s="557"/>
      <c r="BE23" s="558" t="s">
        <v>88</v>
      </c>
      <c r="BF23" s="559"/>
      <c r="BG23" s="560"/>
      <c r="BH23" s="560"/>
      <c r="BI23" s="560"/>
      <c r="BJ23" s="561"/>
      <c r="BK23" s="562">
        <f>+'Presupuesto Consolidado'!BD81</f>
        <v>352468033</v>
      </c>
      <c r="BL23" s="704"/>
      <c r="BM23" s="762">
        <f>+BK23</f>
        <v>352468033</v>
      </c>
      <c r="BN23" s="254"/>
      <c r="BO23" s="557"/>
      <c r="BP23" s="558" t="s">
        <v>88</v>
      </c>
      <c r="BQ23" s="559"/>
      <c r="BR23" s="560"/>
      <c r="BS23" s="560"/>
      <c r="BT23" s="560"/>
      <c r="BU23" s="561"/>
      <c r="BV23" s="562">
        <f>+'Presupuesto Consolidado'!BN81</f>
        <v>371283068</v>
      </c>
      <c r="BW23" s="704"/>
      <c r="BX23" s="762">
        <f>+BV23</f>
        <v>371283068</v>
      </c>
      <c r="BY23" s="254"/>
      <c r="BZ23" s="557"/>
      <c r="CA23" s="558" t="s">
        <v>88</v>
      </c>
      <c r="CB23" s="559"/>
      <c r="CC23" s="560"/>
      <c r="CD23" s="560"/>
      <c r="CE23" s="560"/>
      <c r="CF23" s="561"/>
      <c r="CG23" s="562">
        <f>+'Presupuesto Consolidado'!BX81</f>
        <v>374632499</v>
      </c>
      <c r="CH23" s="704"/>
      <c r="CI23" s="762">
        <f>+CG23</f>
        <v>374632499</v>
      </c>
      <c r="CJ23" s="254"/>
      <c r="CK23" s="557"/>
      <c r="CL23" s="558" t="s">
        <v>88</v>
      </c>
      <c r="CM23" s="559"/>
      <c r="CN23" s="560"/>
      <c r="CO23" s="560"/>
      <c r="CP23" s="560"/>
      <c r="CQ23" s="561"/>
      <c r="CR23" s="562">
        <f>+'Presupuesto Consolidado'!CH81</f>
        <v>372633595.60000002</v>
      </c>
      <c r="CS23" s="704"/>
      <c r="CT23" s="762">
        <f>+CR23</f>
        <v>372633595.60000002</v>
      </c>
      <c r="CU23" s="254"/>
      <c r="CV23" s="557"/>
      <c r="CW23" s="558" t="s">
        <v>88</v>
      </c>
      <c r="CX23" s="559"/>
      <c r="CY23" s="560"/>
      <c r="CZ23" s="560"/>
      <c r="DA23" s="560"/>
      <c r="DB23" s="561"/>
      <c r="DC23" s="562">
        <f>+'Presupuesto Consolidado'!CR81</f>
        <v>361429288</v>
      </c>
      <c r="DD23" s="704"/>
      <c r="DE23" s="762">
        <f>+DC23</f>
        <v>361429288</v>
      </c>
      <c r="DF23" s="254"/>
    </row>
    <row r="24" spans="1:110" s="10" customFormat="1" ht="21" thickTop="1">
      <c r="A24" s="7"/>
      <c r="B24" s="19" t="s">
        <v>469</v>
      </c>
      <c r="C24" s="563"/>
      <c r="D24" s="11"/>
      <c r="E24" s="12"/>
      <c r="F24" s="737">
        <f>+ROUND((H21/H23),4)</f>
        <v>8.9599999999999999E-2</v>
      </c>
      <c r="G24" s="17" t="s">
        <v>89</v>
      </c>
      <c r="H24" s="565">
        <f>ROUND(H23*F24,0)</f>
        <v>32670533</v>
      </c>
      <c r="I24" s="704">
        <f>+ROUND(J21/J23,4)</f>
        <v>8.9599999999999999E-2</v>
      </c>
      <c r="J24" s="760">
        <f>+ROUND(J23*I24,0)</f>
        <v>32670533</v>
      </c>
      <c r="K24" s="255"/>
      <c r="L24" s="7"/>
      <c r="M24" s="19" t="s">
        <v>469</v>
      </c>
      <c r="N24" s="563"/>
      <c r="O24" s="11"/>
      <c r="P24" s="12"/>
      <c r="Q24" s="564">
        <f>+ROUND((S21/S23),4)</f>
        <v>9.2700000000000005E-2</v>
      </c>
      <c r="R24" s="17" t="s">
        <v>89</v>
      </c>
      <c r="S24" s="565">
        <f>ROUND(S23*Q24,0)</f>
        <v>33999667</v>
      </c>
      <c r="T24" s="704">
        <f>+ROUND(U21/U23,4)</f>
        <v>9.2700000000000005E-2</v>
      </c>
      <c r="U24" s="760">
        <f>+ROUND(U23*T24,0)</f>
        <v>33999667</v>
      </c>
      <c r="V24" s="255"/>
      <c r="W24" s="7"/>
      <c r="X24" s="19" t="s">
        <v>469</v>
      </c>
      <c r="Y24" s="563"/>
      <c r="Z24" s="11"/>
      <c r="AA24" s="12"/>
      <c r="AB24" s="564">
        <f>+ROUND((AD21/AD23),4)</f>
        <v>8.5199999999999998E-2</v>
      </c>
      <c r="AC24" s="17" t="s">
        <v>89</v>
      </c>
      <c r="AD24" s="565">
        <f>ROUND(AD23*AB24,0)</f>
        <v>30829133</v>
      </c>
      <c r="AE24" s="704">
        <f>+ROUND(AF21/AF23,4)</f>
        <v>8.5199999999999998E-2</v>
      </c>
      <c r="AF24" s="760">
        <f>+ROUND(AF23*AE24,0)</f>
        <v>30829133</v>
      </c>
      <c r="AG24" s="255"/>
      <c r="AH24" s="7"/>
      <c r="AI24" s="19" t="s">
        <v>469</v>
      </c>
      <c r="AJ24" s="563"/>
      <c r="AK24" s="11"/>
      <c r="AL24" s="12"/>
      <c r="AM24" s="564">
        <f>+ROUND((AO21/AO23),4)</f>
        <v>8.5000000000000006E-2</v>
      </c>
      <c r="AN24" s="17" t="s">
        <v>89</v>
      </c>
      <c r="AO24" s="565">
        <f>ROUND(AO23*AM24,0)</f>
        <v>31030944</v>
      </c>
      <c r="AP24" s="704">
        <f>+ROUND(AQ21/AQ23,4)</f>
        <v>8.5000000000000006E-2</v>
      </c>
      <c r="AQ24" s="760">
        <f>+ROUND(AQ23*AP24,0)</f>
        <v>31030944</v>
      </c>
      <c r="AR24" s="255"/>
      <c r="AS24" s="7"/>
      <c r="AT24" s="19" t="s">
        <v>469</v>
      </c>
      <c r="AU24" s="563"/>
      <c r="AV24" s="11"/>
      <c r="AW24" s="12"/>
      <c r="AX24" s="694">
        <f>AZ21/AZ23</f>
        <v>7.7100960754356435E-2</v>
      </c>
      <c r="AY24" s="17" t="s">
        <v>89</v>
      </c>
      <c r="AZ24" s="565">
        <f>AX24*AZ23</f>
        <v>28640941.000000004</v>
      </c>
      <c r="BA24" s="704">
        <f>+ROUND(BB21/BB23,4)</f>
        <v>7.7100000000000002E-2</v>
      </c>
      <c r="BB24" s="760">
        <f>+ROUND(BB23*BA24,0)</f>
        <v>28640584</v>
      </c>
      <c r="BC24" s="255"/>
      <c r="BD24" s="7"/>
      <c r="BE24" s="19" t="s">
        <v>469</v>
      </c>
      <c r="BF24" s="563"/>
      <c r="BG24" s="11"/>
      <c r="BH24" s="12"/>
      <c r="BI24" s="564">
        <f>+ROUND((BK21/BK23),4)</f>
        <v>0.15</v>
      </c>
      <c r="BJ24" s="17" t="s">
        <v>89</v>
      </c>
      <c r="BK24" s="565">
        <f>ROUND(BK23*BI24,0)</f>
        <v>52870205</v>
      </c>
      <c r="BL24" s="704">
        <f>+ROUND(BM21/BM23,4)</f>
        <v>0.15</v>
      </c>
      <c r="BM24" s="760">
        <f>+ROUND(BM23*BL24,0)</f>
        <v>52870205</v>
      </c>
      <c r="BN24" s="255"/>
      <c r="BO24" s="7"/>
      <c r="BP24" s="19" t="s">
        <v>469</v>
      </c>
      <c r="BQ24" s="563"/>
      <c r="BR24" s="11"/>
      <c r="BS24" s="12"/>
      <c r="BT24" s="738">
        <f>BV21/BV23</f>
        <v>7.4829967737715414E-2</v>
      </c>
      <c r="BU24" s="17" t="s">
        <v>89</v>
      </c>
      <c r="BV24" s="565">
        <f>BT24*BV23</f>
        <v>27783099.999999996</v>
      </c>
      <c r="BW24" s="704">
        <f>+ROUND(BX21/BX23,4)</f>
        <v>7.4800000000000005E-2</v>
      </c>
      <c r="BX24" s="760">
        <f>+ROUND(BX23*BW24,0)</f>
        <v>27771973</v>
      </c>
      <c r="BY24" s="255"/>
      <c r="BZ24" s="7"/>
      <c r="CA24" s="19" t="s">
        <v>469</v>
      </c>
      <c r="CB24" s="563"/>
      <c r="CC24" s="11"/>
      <c r="CD24" s="12"/>
      <c r="CE24" s="740">
        <f>CG21/CG23</f>
        <v>7.5626039053274974E-2</v>
      </c>
      <c r="CF24" s="17" t="s">
        <v>89</v>
      </c>
      <c r="CG24" s="565">
        <f>CE24*CG23</f>
        <v>28331971.999999996</v>
      </c>
      <c r="CH24" s="704">
        <f>+ROUND(CI21/CI23,4)</f>
        <v>7.5600000000000001E-2</v>
      </c>
      <c r="CI24" s="760">
        <f>+ROUND(CI23*CH24,0)</f>
        <v>28322217</v>
      </c>
      <c r="CJ24" s="255"/>
      <c r="CK24" s="7"/>
      <c r="CL24" s="19" t="s">
        <v>469</v>
      </c>
      <c r="CM24" s="563"/>
      <c r="CN24" s="11"/>
      <c r="CO24" s="12"/>
      <c r="CP24" s="738">
        <f>CR21/CR23</f>
        <v>7.5222264795708066E-2</v>
      </c>
      <c r="CQ24" s="17" t="s">
        <v>89</v>
      </c>
      <c r="CR24" s="565">
        <f>CP24*CR23</f>
        <v>28030342.999999996</v>
      </c>
      <c r="CS24" s="704">
        <f>+ROUND(CT21/CT23,4)</f>
        <v>7.5200000000000003E-2</v>
      </c>
      <c r="CT24" s="760">
        <f>+ROUND(CT23*CS24,0)</f>
        <v>28022046</v>
      </c>
      <c r="CU24" s="255"/>
      <c r="CV24" s="7"/>
      <c r="CW24" s="19" t="s">
        <v>469</v>
      </c>
      <c r="CX24" s="563"/>
      <c r="CY24" s="11"/>
      <c r="CZ24" s="12"/>
      <c r="DA24" s="564">
        <f>+ROUND((DC21/DC23),4)</f>
        <v>9.7100000000000006E-2</v>
      </c>
      <c r="DB24" s="17" t="s">
        <v>89</v>
      </c>
      <c r="DC24" s="565">
        <f>ROUND(DC23*DA24,0)</f>
        <v>35094784</v>
      </c>
      <c r="DD24" s="704">
        <f>+ROUND(DE21/DE23,4)</f>
        <v>9.7100000000000006E-2</v>
      </c>
      <c r="DE24" s="760">
        <f>+ROUND(DE23*DD24,0)</f>
        <v>35094784</v>
      </c>
      <c r="DF24" s="255"/>
    </row>
    <row r="25" spans="1:110" s="10" customFormat="1">
      <c r="A25" s="7"/>
      <c r="B25" s="19" t="s">
        <v>63</v>
      </c>
      <c r="C25" s="563"/>
      <c r="D25" s="11"/>
      <c r="E25" s="12"/>
      <c r="F25" s="470">
        <f>+'Presupuesto Consolidado'!E83</f>
        <v>0.02</v>
      </c>
      <c r="G25" s="17" t="s">
        <v>90</v>
      </c>
      <c r="H25" s="565">
        <f>ROUND(H23*F25,0)</f>
        <v>7292530</v>
      </c>
      <c r="I25" s="704">
        <f>+ROUND(F25,4)</f>
        <v>0.02</v>
      </c>
      <c r="J25" s="760">
        <f>+ROUND(J23*I25,0)</f>
        <v>7292530</v>
      </c>
      <c r="K25" s="255">
        <f>+IF(OR(F25=0),1,0)</f>
        <v>0</v>
      </c>
      <c r="L25" s="7"/>
      <c r="M25" s="19" t="s">
        <v>63</v>
      </c>
      <c r="N25" s="563"/>
      <c r="O25" s="11"/>
      <c r="P25" s="12"/>
      <c r="Q25" s="470">
        <v>0.02</v>
      </c>
      <c r="R25" s="17" t="s">
        <v>90</v>
      </c>
      <c r="S25" s="565">
        <f>ROUND(S23*Q25,0)</f>
        <v>7335419</v>
      </c>
      <c r="T25" s="704">
        <f>+ROUND(Q25,4)</f>
        <v>0.02</v>
      </c>
      <c r="U25" s="760">
        <f>+ROUND(U23*T25,0)</f>
        <v>7335419</v>
      </c>
      <c r="V25" s="255">
        <f>+IF(OR(Q25=0),1,0)</f>
        <v>0</v>
      </c>
      <c r="W25" s="7"/>
      <c r="X25" s="19" t="s">
        <v>63</v>
      </c>
      <c r="Y25" s="563"/>
      <c r="Z25" s="11"/>
      <c r="AA25" s="12"/>
      <c r="AB25" s="470">
        <v>2.4E-2</v>
      </c>
      <c r="AC25" s="17" t="s">
        <v>90</v>
      </c>
      <c r="AD25" s="565">
        <f>ROUND(AD23*AB25,0)</f>
        <v>8684263</v>
      </c>
      <c r="AE25" s="704">
        <f>+ROUND(AB25,4)</f>
        <v>2.4E-2</v>
      </c>
      <c r="AF25" s="760">
        <f>+ROUND(AF23*AE25,0)</f>
        <v>8684263</v>
      </c>
      <c r="AG25" s="255">
        <f>+IF(OR(AB25=0),1,0)</f>
        <v>0</v>
      </c>
      <c r="AH25" s="7"/>
      <c r="AI25" s="19" t="s">
        <v>63</v>
      </c>
      <c r="AJ25" s="563"/>
      <c r="AK25" s="11"/>
      <c r="AL25" s="12"/>
      <c r="AM25" s="470">
        <v>2.5000000000000001E-2</v>
      </c>
      <c r="AN25" s="17" t="s">
        <v>90</v>
      </c>
      <c r="AO25" s="565">
        <f>ROUND(AO23*AM25,0)</f>
        <v>9126748</v>
      </c>
      <c r="AP25" s="704">
        <f>+ROUND(AM25,4)</f>
        <v>2.5000000000000001E-2</v>
      </c>
      <c r="AQ25" s="760">
        <f>+ROUND(AQ23*AP25,0)</f>
        <v>9126748</v>
      </c>
      <c r="AR25" s="255">
        <f>+IF(OR(AM25=0),1,0)</f>
        <v>0</v>
      </c>
      <c r="AS25" s="7"/>
      <c r="AT25" s="19" t="s">
        <v>63</v>
      </c>
      <c r="AU25" s="563"/>
      <c r="AV25" s="11"/>
      <c r="AW25" s="12"/>
      <c r="AX25" s="470">
        <v>1.4999999999999999E-2</v>
      </c>
      <c r="AY25" s="17" t="s">
        <v>90</v>
      </c>
      <c r="AZ25" s="565">
        <f>AX25*AZ23</f>
        <v>5572098.0750000002</v>
      </c>
      <c r="BA25" s="704">
        <f>+ROUND(AX25,4)</f>
        <v>1.4999999999999999E-2</v>
      </c>
      <c r="BB25" s="760">
        <f>+ROUND(BB23*BA25,0)</f>
        <v>5572098</v>
      </c>
      <c r="BC25" s="255">
        <f>+IF(OR(AX25=0),1,0)</f>
        <v>0</v>
      </c>
      <c r="BD25" s="7"/>
      <c r="BE25" s="19" t="s">
        <v>63</v>
      </c>
      <c r="BF25" s="563"/>
      <c r="BG25" s="11"/>
      <c r="BH25" s="12"/>
      <c r="BI25" s="470">
        <v>0.01</v>
      </c>
      <c r="BJ25" s="17" t="s">
        <v>90</v>
      </c>
      <c r="BK25" s="565">
        <f>ROUND(BK23*BI25,0)</f>
        <v>3524680</v>
      </c>
      <c r="BL25" s="704">
        <f>+ROUND(BI25,4)</f>
        <v>0.01</v>
      </c>
      <c r="BM25" s="760">
        <f>+ROUND(BM23*BL25,0)</f>
        <v>3524680</v>
      </c>
      <c r="BN25" s="255">
        <f>+IF(OR(BI25=0),1,0)</f>
        <v>0</v>
      </c>
      <c r="BO25" s="7"/>
      <c r="BP25" s="19" t="s">
        <v>63</v>
      </c>
      <c r="BQ25" s="563"/>
      <c r="BR25" s="11"/>
      <c r="BS25" s="12"/>
      <c r="BT25" s="470">
        <v>0.02</v>
      </c>
      <c r="BU25" s="17" t="s">
        <v>90</v>
      </c>
      <c r="BV25" s="565">
        <f>BT25*BV23</f>
        <v>7425661.3600000003</v>
      </c>
      <c r="BW25" s="704">
        <f>+ROUND(BT25,4)</f>
        <v>0.02</v>
      </c>
      <c r="BX25" s="760">
        <f>+ROUND(BX23*BW25,0)</f>
        <v>7425661</v>
      </c>
      <c r="BY25" s="255">
        <f>+IF(OR(BT25=0),1,0)</f>
        <v>0</v>
      </c>
      <c r="BZ25" s="7"/>
      <c r="CA25" s="19" t="s">
        <v>63</v>
      </c>
      <c r="CB25" s="563"/>
      <c r="CC25" s="11"/>
      <c r="CD25" s="12"/>
      <c r="CE25" s="470">
        <v>0.02</v>
      </c>
      <c r="CF25" s="17" t="s">
        <v>90</v>
      </c>
      <c r="CG25" s="565">
        <f>CE25*CG23</f>
        <v>7492649.9800000004</v>
      </c>
      <c r="CH25" s="704">
        <f>+ROUND(CE25,4)</f>
        <v>0.02</v>
      </c>
      <c r="CI25" s="760">
        <f>+ROUND(CI23*CH25,0)</f>
        <v>7492650</v>
      </c>
      <c r="CJ25" s="255">
        <f>+IF(OR(CE25=0),1,0)</f>
        <v>0</v>
      </c>
      <c r="CK25" s="7"/>
      <c r="CL25" s="19" t="s">
        <v>63</v>
      </c>
      <c r="CM25" s="563"/>
      <c r="CN25" s="11"/>
      <c r="CO25" s="12"/>
      <c r="CP25" s="470">
        <v>1.7999999999999999E-2</v>
      </c>
      <c r="CQ25" s="17" t="s">
        <v>90</v>
      </c>
      <c r="CR25" s="565">
        <f>CP25*CR23</f>
        <v>6707404.7208000002</v>
      </c>
      <c r="CS25" s="704">
        <f>+ROUND(CP25,4)</f>
        <v>1.7999999999999999E-2</v>
      </c>
      <c r="CT25" s="760">
        <f>+ROUND(CT23*CS25,0)</f>
        <v>6707405</v>
      </c>
      <c r="CU25" s="255">
        <f>+IF(OR(CP25=0),1,0)</f>
        <v>0</v>
      </c>
      <c r="CV25" s="7"/>
      <c r="CW25" s="19" t="s">
        <v>63</v>
      </c>
      <c r="CX25" s="563"/>
      <c r="CY25" s="11"/>
      <c r="CZ25" s="12"/>
      <c r="DA25" s="470">
        <v>0.04</v>
      </c>
      <c r="DB25" s="17" t="s">
        <v>90</v>
      </c>
      <c r="DC25" s="565">
        <f>ROUND(DC23*DA25,0)</f>
        <v>14457172</v>
      </c>
      <c r="DD25" s="704">
        <f>+ROUND(DA25,4)</f>
        <v>0.04</v>
      </c>
      <c r="DE25" s="760">
        <f>+ROUND(DE23*DD25,0)</f>
        <v>14457172</v>
      </c>
      <c r="DF25" s="255">
        <f>+IF(OR(DA25=0),1,0)</f>
        <v>0</v>
      </c>
    </row>
    <row r="26" spans="1:110" ht="21" thickBot="1">
      <c r="A26" s="21"/>
      <c r="B26" s="22" t="s">
        <v>155</v>
      </c>
      <c r="C26" s="566"/>
      <c r="D26" s="23"/>
      <c r="E26" s="23"/>
      <c r="F26" s="567"/>
      <c r="G26" s="18"/>
      <c r="H26" s="568">
        <f>SUM(H24:H25)</f>
        <v>39963063</v>
      </c>
      <c r="I26" s="704"/>
      <c r="J26" s="762">
        <f>+SUM(J24:J25)</f>
        <v>39963063</v>
      </c>
      <c r="L26" s="21"/>
      <c r="M26" s="22" t="s">
        <v>155</v>
      </c>
      <c r="N26" s="566"/>
      <c r="O26" s="23"/>
      <c r="P26" s="23"/>
      <c r="Q26" s="567"/>
      <c r="R26" s="18"/>
      <c r="S26" s="568">
        <f>SUM(S24:S25)</f>
        <v>41335086</v>
      </c>
      <c r="T26" s="704"/>
      <c r="U26" s="762">
        <f>+SUM(U24:U25)</f>
        <v>41335086</v>
      </c>
      <c r="V26" s="254"/>
      <c r="W26" s="21"/>
      <c r="X26" s="22" t="s">
        <v>155</v>
      </c>
      <c r="Y26" s="566"/>
      <c r="Z26" s="23"/>
      <c r="AA26" s="23"/>
      <c r="AB26" s="567"/>
      <c r="AC26" s="18"/>
      <c r="AD26" s="568">
        <f>SUM(AD24:AD25)</f>
        <v>39513396</v>
      </c>
      <c r="AE26" s="704"/>
      <c r="AF26" s="762">
        <f>+SUM(AF24:AF25)</f>
        <v>39513396</v>
      </c>
      <c r="AG26" s="254"/>
      <c r="AH26" s="21"/>
      <c r="AI26" s="22" t="s">
        <v>155</v>
      </c>
      <c r="AJ26" s="566"/>
      <c r="AK26" s="23"/>
      <c r="AL26" s="23"/>
      <c r="AM26" s="567"/>
      <c r="AN26" s="18"/>
      <c r="AO26" s="568">
        <f>SUM(AO24:AO25)</f>
        <v>40157692</v>
      </c>
      <c r="AP26" s="704"/>
      <c r="AQ26" s="762">
        <f>+SUM(AQ24:AQ25)</f>
        <v>40157692</v>
      </c>
      <c r="AR26" s="254"/>
      <c r="AS26" s="21"/>
      <c r="AT26" s="22" t="s">
        <v>155</v>
      </c>
      <c r="AU26" s="566"/>
      <c r="AV26" s="23"/>
      <c r="AW26" s="23"/>
      <c r="AX26" s="567"/>
      <c r="AY26" s="18"/>
      <c r="AZ26" s="568">
        <f>SUM(AZ24:AZ25)</f>
        <v>34213039.075000003</v>
      </c>
      <c r="BA26" s="704"/>
      <c r="BB26" s="762">
        <f>+SUM(BB24:BB25)</f>
        <v>34212682</v>
      </c>
      <c r="BC26" s="254"/>
      <c r="BD26" s="21"/>
      <c r="BE26" s="22" t="s">
        <v>155</v>
      </c>
      <c r="BF26" s="566"/>
      <c r="BG26" s="23"/>
      <c r="BH26" s="23"/>
      <c r="BI26" s="567"/>
      <c r="BJ26" s="18"/>
      <c r="BK26" s="568">
        <f>SUM(BK24:BK25)</f>
        <v>56394885</v>
      </c>
      <c r="BL26" s="704"/>
      <c r="BM26" s="762">
        <f>+SUM(BM24:BM25)</f>
        <v>56394885</v>
      </c>
      <c r="BN26" s="254"/>
      <c r="BO26" s="21"/>
      <c r="BP26" s="22" t="s">
        <v>155</v>
      </c>
      <c r="BQ26" s="566"/>
      <c r="BR26" s="23"/>
      <c r="BS26" s="23"/>
      <c r="BT26" s="567"/>
      <c r="BU26" s="18"/>
      <c r="BV26" s="568">
        <f>SUM(BV24:BV25)</f>
        <v>35208761.359999999</v>
      </c>
      <c r="BW26" s="704"/>
      <c r="BX26" s="762">
        <f>+SUM(BX24:BX25)</f>
        <v>35197634</v>
      </c>
      <c r="BY26" s="254"/>
      <c r="BZ26" s="21"/>
      <c r="CA26" s="22" t="s">
        <v>155</v>
      </c>
      <c r="CB26" s="566"/>
      <c r="CC26" s="23"/>
      <c r="CD26" s="23"/>
      <c r="CE26" s="567"/>
      <c r="CF26" s="18"/>
      <c r="CG26" s="568">
        <f>SUM(CG24:CG25)</f>
        <v>35824621.979999997</v>
      </c>
      <c r="CH26" s="704"/>
      <c r="CI26" s="762">
        <f>+SUM(CI24:CI25)</f>
        <v>35814867</v>
      </c>
      <c r="CJ26" s="254"/>
      <c r="CK26" s="21"/>
      <c r="CL26" s="22" t="s">
        <v>155</v>
      </c>
      <c r="CM26" s="566"/>
      <c r="CN26" s="23"/>
      <c r="CO26" s="23"/>
      <c r="CP26" s="567"/>
      <c r="CQ26" s="18"/>
      <c r="CR26" s="568">
        <f>SUM(CR24:CR25)</f>
        <v>34737747.720799997</v>
      </c>
      <c r="CS26" s="704"/>
      <c r="CT26" s="762">
        <f>+SUM(CT24:CT25)</f>
        <v>34729451</v>
      </c>
      <c r="CU26" s="254"/>
      <c r="CV26" s="21"/>
      <c r="CW26" s="22" t="s">
        <v>155</v>
      </c>
      <c r="CX26" s="566"/>
      <c r="CY26" s="23"/>
      <c r="CZ26" s="23"/>
      <c r="DA26" s="567"/>
      <c r="DB26" s="18"/>
      <c r="DC26" s="568">
        <f>SUM(DC24:DC25)</f>
        <v>49551956</v>
      </c>
      <c r="DD26" s="704"/>
      <c r="DE26" s="762">
        <f>+SUM(DE24:DE25)</f>
        <v>49551956</v>
      </c>
      <c r="DF26" s="254"/>
    </row>
    <row r="27" spans="1:110" ht="14.25" customHeight="1" thickTop="1" thickBot="1">
      <c r="A27" s="1001" t="s">
        <v>470</v>
      </c>
      <c r="B27" s="1002"/>
      <c r="C27" s="1002"/>
      <c r="D27" s="1002"/>
      <c r="E27" s="1003"/>
      <c r="F27" s="569">
        <f>SUM(F24:F26)</f>
        <v>0.1096</v>
      </c>
      <c r="G27" s="570"/>
      <c r="H27" s="571"/>
      <c r="I27" s="704">
        <f>+SUM(I24:I25)</f>
        <v>0.1096</v>
      </c>
      <c r="J27" s="762"/>
      <c r="L27" s="1001" t="s">
        <v>470</v>
      </c>
      <c r="M27" s="1002"/>
      <c r="N27" s="1002"/>
      <c r="O27" s="1002"/>
      <c r="P27" s="1003"/>
      <c r="Q27" s="569">
        <f>SUM(Q24:Q26)</f>
        <v>0.11270000000000001</v>
      </c>
      <c r="R27" s="570"/>
      <c r="S27" s="571"/>
      <c r="T27" s="704">
        <f>+SUM(T24:T25)</f>
        <v>0.11270000000000001</v>
      </c>
      <c r="U27" s="762"/>
      <c r="V27" s="254"/>
      <c r="W27" s="1001" t="s">
        <v>470</v>
      </c>
      <c r="X27" s="1002"/>
      <c r="Y27" s="1002"/>
      <c r="Z27" s="1002"/>
      <c r="AA27" s="1003"/>
      <c r="AB27" s="569">
        <f>SUM(AB24:AB26)</f>
        <v>0.10919999999999999</v>
      </c>
      <c r="AC27" s="570"/>
      <c r="AD27" s="571"/>
      <c r="AE27" s="704">
        <f>+SUM(AE24:AE25)</f>
        <v>0.10919999999999999</v>
      </c>
      <c r="AF27" s="762"/>
      <c r="AG27" s="254"/>
      <c r="AH27" s="1001" t="s">
        <v>470</v>
      </c>
      <c r="AI27" s="1002"/>
      <c r="AJ27" s="1002"/>
      <c r="AK27" s="1002"/>
      <c r="AL27" s="1003"/>
      <c r="AM27" s="569">
        <f>SUM(AM24:AM26)</f>
        <v>0.11000000000000001</v>
      </c>
      <c r="AN27" s="570"/>
      <c r="AO27" s="571"/>
      <c r="AP27" s="704">
        <f>+SUM(AP24:AP25)</f>
        <v>0.11000000000000001</v>
      </c>
      <c r="AQ27" s="762"/>
      <c r="AR27" s="254"/>
      <c r="AS27" s="1001" t="s">
        <v>470</v>
      </c>
      <c r="AT27" s="1002"/>
      <c r="AU27" s="1002"/>
      <c r="AV27" s="1002"/>
      <c r="AW27" s="1003"/>
      <c r="AX27" s="695">
        <f>SUM(AX24:AX26)</f>
        <v>9.2100960754356434E-2</v>
      </c>
      <c r="AY27" s="570"/>
      <c r="AZ27" s="571"/>
      <c r="BA27" s="704">
        <f>+SUM(BA24:BA25)</f>
        <v>9.2100000000000001E-2</v>
      </c>
      <c r="BB27" s="762"/>
      <c r="BC27" s="254"/>
      <c r="BD27" s="1001" t="s">
        <v>470</v>
      </c>
      <c r="BE27" s="1002"/>
      <c r="BF27" s="1002"/>
      <c r="BG27" s="1002"/>
      <c r="BH27" s="1003"/>
      <c r="BI27" s="758">
        <f>SUM(BI24:BI26)</f>
        <v>0.16</v>
      </c>
      <c r="BJ27" s="570"/>
      <c r="BK27" s="571">
        <f>+BK26+BK23</f>
        <v>408862918</v>
      </c>
      <c r="BL27" s="704">
        <f>+SUM(BL24:BL25)</f>
        <v>0.16</v>
      </c>
      <c r="BM27" s="762"/>
      <c r="BN27" s="254"/>
      <c r="BO27" s="1001" t="s">
        <v>470</v>
      </c>
      <c r="BP27" s="1002"/>
      <c r="BQ27" s="1002"/>
      <c r="BR27" s="1002"/>
      <c r="BS27" s="1003"/>
      <c r="BT27" s="695">
        <f>SUM(BT24:BT26)</f>
        <v>9.4829967737715418E-2</v>
      </c>
      <c r="BU27" s="570"/>
      <c r="BV27" s="571"/>
      <c r="BW27" s="704">
        <f>+SUM(BW24:BW25)</f>
        <v>9.4800000000000009E-2</v>
      </c>
      <c r="BX27" s="762"/>
      <c r="BY27" s="254"/>
      <c r="BZ27" s="1001" t="s">
        <v>470</v>
      </c>
      <c r="CA27" s="1002"/>
      <c r="CB27" s="1002"/>
      <c r="CC27" s="1002"/>
      <c r="CD27" s="1003"/>
      <c r="CE27" s="741">
        <f>SUM(CE24:CE26)</f>
        <v>9.5626039053274978E-2</v>
      </c>
      <c r="CF27" s="570"/>
      <c r="CG27" s="571"/>
      <c r="CH27" s="704">
        <f>+SUM(CH24:CH25)</f>
        <v>9.5600000000000004E-2</v>
      </c>
      <c r="CI27" s="762"/>
      <c r="CJ27" s="254"/>
      <c r="CK27" s="1001" t="s">
        <v>470</v>
      </c>
      <c r="CL27" s="1002"/>
      <c r="CM27" s="1002"/>
      <c r="CN27" s="1002"/>
      <c r="CO27" s="1003"/>
      <c r="CP27" s="695">
        <f>SUM(CP24:CP26)</f>
        <v>9.3222264795708068E-2</v>
      </c>
      <c r="CQ27" s="570"/>
      <c r="CR27" s="571"/>
      <c r="CS27" s="704">
        <f>+SUM(CS24:CS25)</f>
        <v>9.3200000000000005E-2</v>
      </c>
      <c r="CT27" s="762"/>
      <c r="CU27" s="254"/>
      <c r="CV27" s="1001" t="s">
        <v>470</v>
      </c>
      <c r="CW27" s="1002"/>
      <c r="CX27" s="1002"/>
      <c r="CY27" s="1002"/>
      <c r="CZ27" s="1003"/>
      <c r="DA27" s="758">
        <f>SUM(DA24:DA26)</f>
        <v>0.1371</v>
      </c>
      <c r="DB27" s="570"/>
      <c r="DC27" s="571"/>
      <c r="DD27" s="704">
        <f>+SUM(DD24:DD25)</f>
        <v>0.1371</v>
      </c>
      <c r="DE27" s="762"/>
      <c r="DF27" s="254"/>
    </row>
    <row r="28" spans="1:110" ht="21" thickTop="1">
      <c r="V28" s="254"/>
      <c r="AG28" s="254"/>
      <c r="AR28" s="254"/>
      <c r="AZ28" s="696"/>
      <c r="BC28" s="254"/>
      <c r="BN28" s="254"/>
      <c r="BY28" s="254"/>
      <c r="CJ28" s="254"/>
      <c r="CU28" s="254"/>
      <c r="DF28" s="254"/>
    </row>
    <row r="29" spans="1:110" ht="20.25" customHeight="1">
      <c r="G29" s="35" t="s">
        <v>527</v>
      </c>
      <c r="H29" s="28" t="str">
        <f>+IF(I27&gt;'10. EVALUACIÓN'!$C$9,"NO HABILITADO","OK")</f>
        <v>OK</v>
      </c>
      <c r="I29" s="28"/>
      <c r="J29" s="28"/>
      <c r="R29" s="35" t="s">
        <v>527</v>
      </c>
      <c r="S29" s="28" t="str">
        <f>+IF(T27&gt;'10. EVALUACIÓN'!$C$9,"NO HABILITADO","OK")</f>
        <v>OK</v>
      </c>
      <c r="T29" s="28"/>
      <c r="U29" s="28"/>
      <c r="V29" s="254"/>
      <c r="AC29" s="35" t="s">
        <v>527</v>
      </c>
      <c r="AD29" s="28" t="str">
        <f>+IF(AE27&gt;'10. EVALUACIÓN'!$C$9,"NO HABILITADO","OK")</f>
        <v>OK</v>
      </c>
      <c r="AE29" s="28"/>
      <c r="AF29" s="28"/>
      <c r="AG29" s="254"/>
      <c r="AN29" s="35" t="s">
        <v>527</v>
      </c>
      <c r="AO29" s="28" t="str">
        <f>+IF(AP27&gt;'10. EVALUACIÓN'!$C$9,"NO HABILITADO","OK")</f>
        <v>OK</v>
      </c>
      <c r="AP29" s="28"/>
      <c r="AQ29" s="28"/>
      <c r="AR29" s="254"/>
      <c r="AY29" s="35" t="s">
        <v>527</v>
      </c>
      <c r="AZ29" s="28" t="str">
        <f>+IF(BA27&gt;'10. EVALUACIÓN'!$C$9,"NO HABILITADO","OK")</f>
        <v>OK</v>
      </c>
      <c r="BA29" s="28"/>
      <c r="BB29" s="28"/>
      <c r="BC29" s="254"/>
      <c r="BJ29" s="35" t="s">
        <v>527</v>
      </c>
      <c r="BK29" s="28" t="str">
        <f>+IF(BL27&gt;'10. EVALUACIÓN'!$C$9,"NO HABILITADO","OK")</f>
        <v>NO HABILITADO</v>
      </c>
      <c r="BL29" s="28"/>
      <c r="BM29" s="28"/>
      <c r="BN29" s="254"/>
      <c r="BU29" s="35" t="s">
        <v>527</v>
      </c>
      <c r="BV29" s="28" t="str">
        <f>+IF(BW27&gt;'10. EVALUACIÓN'!$C$9,"NO HABILITADO","OK")</f>
        <v>OK</v>
      </c>
      <c r="BW29" s="28"/>
      <c r="BX29" s="28"/>
      <c r="BY29" s="254"/>
      <c r="CF29" s="35" t="s">
        <v>527</v>
      </c>
      <c r="CG29" s="28" t="str">
        <f>+IF(CH27&gt;'10. EVALUACIÓN'!$C$9,"NO HABILITADO","OK")</f>
        <v>OK</v>
      </c>
      <c r="CH29" s="28"/>
      <c r="CI29" s="28"/>
      <c r="CJ29" s="254"/>
      <c r="CQ29" s="35" t="s">
        <v>527</v>
      </c>
      <c r="CR29" s="28" t="str">
        <f>+IF(CS27&gt;'10. EVALUACIÓN'!$C$9,"NO HABILITADO","OK")</f>
        <v>OK</v>
      </c>
      <c r="CS29" s="28"/>
      <c r="CT29" s="28"/>
      <c r="CU29" s="254"/>
      <c r="DB29" s="35" t="s">
        <v>527</v>
      </c>
      <c r="DC29" s="28" t="str">
        <f>+IF(DD27&gt;'10. EVALUACIÓN'!$C$9,"NO HABILITADO","OK")</f>
        <v>NO HABILITADO</v>
      </c>
      <c r="DD29" s="28"/>
      <c r="DE29" s="28"/>
      <c r="DF29" s="254"/>
    </row>
    <row r="30" spans="1:110" ht="20.25" customHeight="1">
      <c r="G30" s="35" t="s">
        <v>121</v>
      </c>
      <c r="H30" s="28" t="str">
        <f>+IF(SUM(K5:K25)&lt;&gt;0,"NO HABILITADO","OK")</f>
        <v>OK</v>
      </c>
      <c r="I30" s="28"/>
      <c r="J30" s="28"/>
      <c r="R30" s="35" t="s">
        <v>121</v>
      </c>
      <c r="S30" s="28" t="str">
        <f>+IF(SUM(V5:V25)&lt;&gt;0,"NO HABILITADO","OK")</f>
        <v>OK</v>
      </c>
      <c r="T30" s="28"/>
      <c r="U30" s="28"/>
      <c r="V30" s="254"/>
      <c r="AC30" s="35" t="s">
        <v>121</v>
      </c>
      <c r="AD30" s="28" t="str">
        <f>+IF(SUM(AG5:AG25)&lt;&gt;0,"NO HABILITADO","OK")</f>
        <v>OK</v>
      </c>
      <c r="AE30" s="28"/>
      <c r="AF30" s="28"/>
      <c r="AG30" s="254"/>
      <c r="AN30" s="35" t="s">
        <v>121</v>
      </c>
      <c r="AO30" s="28" t="str">
        <f>+IF(SUM(AR5:AR25)&lt;&gt;0,"NO HABILITADO","OK")</f>
        <v>OK</v>
      </c>
      <c r="AP30" s="28"/>
      <c r="AQ30" s="28"/>
      <c r="AR30" s="254"/>
      <c r="AY30" s="35" t="s">
        <v>121</v>
      </c>
      <c r="AZ30" s="28" t="str">
        <f>+IF(SUM(BC5:BC25)&lt;&gt;0,"NO HABILITADO","OK")</f>
        <v>OK</v>
      </c>
      <c r="BA30" s="28"/>
      <c r="BB30" s="28"/>
      <c r="BC30" s="254"/>
      <c r="BJ30" s="35" t="s">
        <v>121</v>
      </c>
      <c r="BK30" s="28" t="str">
        <f>+IF(SUM(BN5:BN25)&lt;&gt;0,"NO HABILITADO","OK")</f>
        <v>OK</v>
      </c>
      <c r="BL30" s="28"/>
      <c r="BM30" s="28"/>
      <c r="BN30" s="254"/>
      <c r="BU30" s="35" t="s">
        <v>121</v>
      </c>
      <c r="BV30" s="28" t="str">
        <f>+IF(SUM(BY5:BY25)&lt;&gt;0,"NO HABILITADO","OK")</f>
        <v>OK</v>
      </c>
      <c r="BW30" s="28"/>
      <c r="BX30" s="28"/>
      <c r="BY30" s="254"/>
      <c r="CF30" s="35" t="s">
        <v>121</v>
      </c>
      <c r="CG30" s="28" t="str">
        <f>+IF(SUM(CJ5:CJ25)&lt;&gt;0,"NO HABILITADO","OK")</f>
        <v>OK</v>
      </c>
      <c r="CH30" s="28"/>
      <c r="CI30" s="28"/>
      <c r="CJ30" s="254"/>
      <c r="CQ30" s="35" t="s">
        <v>121</v>
      </c>
      <c r="CR30" s="28" t="str">
        <f>+IF(SUM(CU5:CU25)&lt;&gt;0,"NO HABILITADO","OK")</f>
        <v>OK</v>
      </c>
      <c r="CS30" s="28"/>
      <c r="CT30" s="28"/>
      <c r="CU30" s="254"/>
      <c r="DB30" s="35" t="s">
        <v>121</v>
      </c>
      <c r="DC30" s="28" t="str">
        <f>+IF(SUM(DF5:DF25)&lt;&gt;0,"NO HABILITADO","OK")</f>
        <v>OK</v>
      </c>
      <c r="DD30" s="28"/>
      <c r="DE30" s="28"/>
      <c r="DF30" s="254"/>
    </row>
    <row r="31" spans="1:110">
      <c r="G31" s="35" t="s">
        <v>318</v>
      </c>
      <c r="H31" s="734" t="str">
        <f>+IF(OR(C6&lt;2898406,C9&lt;2070290),"NO HABILITADO","OK")</f>
        <v>OK</v>
      </c>
      <c r="I31" s="734"/>
      <c r="J31" s="734"/>
      <c r="R31" s="35" t="s">
        <v>318</v>
      </c>
      <c r="S31" s="734" t="str">
        <f>+IF(OR(N6&lt;2898406,N9&lt;2070290),"NO HABILITADO","OK")</f>
        <v>OK</v>
      </c>
      <c r="T31" s="734"/>
      <c r="U31" s="734"/>
      <c r="V31" s="254"/>
      <c r="AC31" s="35" t="s">
        <v>318</v>
      </c>
      <c r="AD31" s="734" t="str">
        <f>+IF(OR(Y6&lt;2898406,Y9&lt;2070290),"NO HABILITADO","OK")</f>
        <v>OK</v>
      </c>
      <c r="AE31" s="734"/>
      <c r="AF31" s="734"/>
      <c r="AG31" s="254"/>
      <c r="AN31" s="35" t="s">
        <v>318</v>
      </c>
      <c r="AO31" s="734" t="str">
        <f>+IF(OR(AJ6&lt;2898406,AJ9&lt;2070290),"NO HABILITADO","OK")</f>
        <v>OK</v>
      </c>
      <c r="AP31" s="734"/>
      <c r="AQ31" s="734"/>
      <c r="AR31" s="254"/>
      <c r="AY31" s="35" t="s">
        <v>318</v>
      </c>
      <c r="AZ31" s="734" t="str">
        <f>+IF(OR(AU6&lt;2898406,AU9&lt;2070290),"NO HABILITADO","OK")</f>
        <v>OK</v>
      </c>
      <c r="BA31" s="734"/>
      <c r="BB31" s="734"/>
      <c r="BC31" s="254"/>
      <c r="BJ31" s="35" t="s">
        <v>318</v>
      </c>
      <c r="BK31" s="734" t="str">
        <f>+IF(OR(BF6&lt;2898406,BF9&lt;2070290),"NO HABILITADO","OK")</f>
        <v>NO HABILITADO</v>
      </c>
      <c r="BL31" s="734"/>
      <c r="BM31" s="734"/>
      <c r="BN31" s="254"/>
      <c r="BU31" s="35" t="s">
        <v>318</v>
      </c>
      <c r="BV31" s="734" t="str">
        <f>+IF(OR(BQ6&lt;2898406,BQ9&lt;2070290),"NO HABILITADO","OK")</f>
        <v>OK</v>
      </c>
      <c r="BW31" s="734"/>
      <c r="BX31" s="734"/>
      <c r="BY31" s="254"/>
      <c r="CF31" s="35" t="s">
        <v>318</v>
      </c>
      <c r="CG31" s="734" t="str">
        <f>+IF(OR(CB6&lt;2898406,CB9&lt;2070290),"NO HABILITADO","OK")</f>
        <v>OK</v>
      </c>
      <c r="CH31" s="734"/>
      <c r="CI31" s="734"/>
      <c r="CJ31" s="254"/>
      <c r="CQ31" s="35" t="s">
        <v>318</v>
      </c>
      <c r="CR31" s="734" t="str">
        <f>+IF(OR(CM6&lt;2898406,CM9&lt;2070290),"NO HABILITADO","OK")</f>
        <v>OK</v>
      </c>
      <c r="CS31" s="734"/>
      <c r="CT31" s="734"/>
      <c r="CU31" s="254"/>
      <c r="DB31" s="35" t="s">
        <v>318</v>
      </c>
      <c r="DC31" s="734" t="str">
        <f>+IF(OR(CX6&lt;2898406,CX9&lt;2070290),"NO HABILITADO","OK")</f>
        <v>OK</v>
      </c>
      <c r="DD31" s="734"/>
      <c r="DE31" s="734"/>
      <c r="DF31" s="254"/>
    </row>
  </sheetData>
  <mergeCells count="50">
    <mergeCell ref="B1:H1"/>
    <mergeCell ref="M1:S1"/>
    <mergeCell ref="W2:X2"/>
    <mergeCell ref="Y2:AD2"/>
    <mergeCell ref="W27:AA27"/>
    <mergeCell ref="A2:B2"/>
    <mergeCell ref="C2:H2"/>
    <mergeCell ref="A27:E27"/>
    <mergeCell ref="L2:M2"/>
    <mergeCell ref="N2:S2"/>
    <mergeCell ref="L27:P27"/>
    <mergeCell ref="I3:J3"/>
    <mergeCell ref="T3:U3"/>
    <mergeCell ref="AH2:AI2"/>
    <mergeCell ref="AJ2:AO2"/>
    <mergeCell ref="AH27:AL27"/>
    <mergeCell ref="X1:AD1"/>
    <mergeCell ref="AI1:AO1"/>
    <mergeCell ref="AE3:AF3"/>
    <mergeCell ref="AT1:AZ1"/>
    <mergeCell ref="BE1:BK1"/>
    <mergeCell ref="BO2:BP2"/>
    <mergeCell ref="BQ2:BV2"/>
    <mergeCell ref="BO27:BS27"/>
    <mergeCell ref="AS2:AT2"/>
    <mergeCell ref="AU2:AZ2"/>
    <mergeCell ref="AS27:AW27"/>
    <mergeCell ref="BD2:BE2"/>
    <mergeCell ref="BF2:BK2"/>
    <mergeCell ref="BD27:BH27"/>
    <mergeCell ref="DD3:DE3"/>
    <mergeCell ref="BZ2:CA2"/>
    <mergeCell ref="CB2:CG2"/>
    <mergeCell ref="BZ27:CD27"/>
    <mergeCell ref="BP1:BV1"/>
    <mergeCell ref="CA1:CG1"/>
    <mergeCell ref="CL1:CR1"/>
    <mergeCell ref="CW1:DC1"/>
    <mergeCell ref="CK2:CL2"/>
    <mergeCell ref="CM2:CR2"/>
    <mergeCell ref="CK27:CO27"/>
    <mergeCell ref="CV2:CW2"/>
    <mergeCell ref="CX2:DC2"/>
    <mergeCell ref="CV27:CZ27"/>
    <mergeCell ref="CS3:CT3"/>
    <mergeCell ref="AP3:AQ3"/>
    <mergeCell ref="BA3:BB3"/>
    <mergeCell ref="BL3:BM3"/>
    <mergeCell ref="BW3:BX3"/>
    <mergeCell ref="CH3:CI3"/>
  </mergeCells>
  <pageMargins left="0.70866141732283472" right="0.70866141732283472" top="0.74803149606299213" bottom="0.74803149606299213" header="0.31496062992125984" footer="0.31496062992125984"/>
  <pageSetup paperSize="9" scale="10"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18"/>
  <sheetViews>
    <sheetView zoomScale="90" zoomScaleNormal="90" workbookViewId="0">
      <selection activeCell="F15" sqref="F15"/>
    </sheetView>
  </sheetViews>
  <sheetFormatPr baseColWidth="10" defaultColWidth="11.42578125" defaultRowHeight="14.25"/>
  <cols>
    <col min="1" max="1" width="11.5703125" style="5" customWidth="1"/>
    <col min="2" max="2" width="16.5703125" style="5" customWidth="1"/>
    <col min="3" max="3" width="13.42578125" style="5" customWidth="1"/>
    <col min="4" max="4" width="34.140625" style="5" customWidth="1"/>
    <col min="5" max="5" width="18.140625" style="5" customWidth="1"/>
    <col min="6" max="6" width="28.5703125" style="5" customWidth="1"/>
    <col min="7" max="7" width="24.28515625" style="5" customWidth="1"/>
    <col min="8" max="8" width="16.42578125" style="5" customWidth="1"/>
    <col min="9" max="9" width="39.28515625" style="5" customWidth="1"/>
    <col min="10" max="16384" width="11.42578125" style="5"/>
  </cols>
  <sheetData>
    <row r="1" spans="1:9" ht="34.5" customHeight="1">
      <c r="A1" s="784"/>
      <c r="B1" s="776" t="s">
        <v>7</v>
      </c>
      <c r="C1" s="776"/>
      <c r="D1" s="776"/>
      <c r="E1" s="776"/>
      <c r="F1" s="776"/>
      <c r="G1" s="776"/>
      <c r="H1" s="776"/>
      <c r="I1" s="777"/>
    </row>
    <row r="2" spans="1:9" ht="32.25" customHeight="1">
      <c r="A2" s="785"/>
      <c r="B2" s="778" t="str">
        <f>+ENTREGA!A2</f>
        <v>Invitación Pública N° VA-012-2019</v>
      </c>
      <c r="C2" s="778"/>
      <c r="D2" s="778"/>
      <c r="E2" s="778"/>
      <c r="F2" s="778"/>
      <c r="G2" s="778"/>
      <c r="H2" s="778"/>
      <c r="I2" s="779"/>
    </row>
    <row r="3" spans="1:9" ht="57" customHeight="1">
      <c r="A3" s="785"/>
      <c r="B3" s="780" t="str">
        <f>+ENTREGA!A3</f>
        <v>OBJETO: “Realizar las obras civiles, hidráulicas, eléctricas, de mantenimiento, adecuaciones, reparaciones y obras complementarias para la infraestructura de la sede Carmen de Viboral. Seccional Oriente, por la modalidad de precios unitarios fijos no reajustables, conforma con las especificaciones técnicas de construcción (ver anexo 1)”</v>
      </c>
      <c r="C3" s="780"/>
      <c r="D3" s="780"/>
      <c r="E3" s="780"/>
      <c r="F3" s="780"/>
      <c r="G3" s="780"/>
      <c r="H3" s="780"/>
      <c r="I3" s="781"/>
    </row>
    <row r="4" spans="1:9" ht="18" customHeight="1">
      <c r="A4" s="789" t="s">
        <v>65</v>
      </c>
      <c r="B4" s="790"/>
      <c r="C4" s="790"/>
      <c r="D4" s="790"/>
      <c r="E4" s="790"/>
      <c r="F4" s="790"/>
      <c r="G4" s="790"/>
      <c r="H4" s="790"/>
      <c r="I4" s="791"/>
    </row>
    <row r="5" spans="1:9" ht="33" customHeight="1">
      <c r="A5" s="786" t="s">
        <v>329</v>
      </c>
      <c r="B5" s="787"/>
      <c r="C5" s="788"/>
      <c r="D5" s="143"/>
      <c r="E5" s="144"/>
      <c r="F5" s="144"/>
      <c r="G5" s="144"/>
      <c r="H5" s="144"/>
      <c r="I5" s="145"/>
    </row>
    <row r="6" spans="1:9" ht="45">
      <c r="A6" s="29" t="s">
        <v>44</v>
      </c>
      <c r="B6" s="29" t="s">
        <v>45</v>
      </c>
      <c r="C6" s="30" t="s">
        <v>46</v>
      </c>
      <c r="D6" s="29" t="s">
        <v>40</v>
      </c>
      <c r="E6" s="30" t="s">
        <v>47</v>
      </c>
      <c r="F6" s="30" t="s">
        <v>48</v>
      </c>
      <c r="G6" s="30" t="s">
        <v>49</v>
      </c>
      <c r="H6" s="30" t="s">
        <v>50</v>
      </c>
      <c r="I6" s="30" t="s">
        <v>19</v>
      </c>
    </row>
    <row r="7" spans="1:9" ht="42" customHeight="1">
      <c r="A7" s="36">
        <f>IF(ENTREGA!A7="","",ENTREGA!A7)</f>
        <v>1</v>
      </c>
      <c r="B7" s="107">
        <v>2019009019</v>
      </c>
      <c r="C7" s="108">
        <v>0.39666666666666667</v>
      </c>
      <c r="D7" s="31" t="str">
        <f>IF(A7="","",VLOOKUP(A7,ENTREGA!$A$7:$B$16,2,FALSE))</f>
        <v>GUSTAVO ADOLFO CARMONA ALARCON</v>
      </c>
      <c r="E7" s="113">
        <v>71577370</v>
      </c>
      <c r="F7" s="114" t="s">
        <v>330</v>
      </c>
      <c r="G7" s="114">
        <v>93</v>
      </c>
      <c r="H7" s="115">
        <v>405975129</v>
      </c>
      <c r="I7" s="112" t="s">
        <v>331</v>
      </c>
    </row>
    <row r="8" spans="1:9" ht="42" customHeight="1">
      <c r="A8" s="36">
        <f>IF(ENTREGA!A8="","",ENTREGA!A8)</f>
        <v>2</v>
      </c>
      <c r="B8" s="107">
        <v>2019009020</v>
      </c>
      <c r="C8" s="108">
        <v>0.39700231481481479</v>
      </c>
      <c r="D8" s="31" t="str">
        <f>IF(A8="","",VLOOKUP(A8,ENTREGA!$A$7:$B$16,2,FALSE))</f>
        <v>VERTICES INGENIERIA</v>
      </c>
      <c r="E8" s="113" t="s">
        <v>332</v>
      </c>
      <c r="F8" s="114" t="s">
        <v>333</v>
      </c>
      <c r="G8" s="114">
        <v>143</v>
      </c>
      <c r="H8" s="115">
        <v>409499767.91000003</v>
      </c>
      <c r="I8" s="112" t="s">
        <v>331</v>
      </c>
    </row>
    <row r="9" spans="1:9" ht="42" customHeight="1">
      <c r="A9" s="36">
        <f>IF(ENTREGA!A9="","",ENTREGA!A9)</f>
        <v>3</v>
      </c>
      <c r="B9" s="107">
        <v>2019009021</v>
      </c>
      <c r="C9" s="108">
        <v>0.39706018518518515</v>
      </c>
      <c r="D9" s="31" t="str">
        <f>IF(A9="","",VLOOKUP(A9,ENTREGA!$A$7:$B$16,2,FALSE))</f>
        <v>INGENIERIA DE ALTURA S.A.S</v>
      </c>
      <c r="E9" s="113" t="s">
        <v>334</v>
      </c>
      <c r="F9" s="114" t="s">
        <v>335</v>
      </c>
      <c r="G9" s="114">
        <v>96</v>
      </c>
      <c r="H9" s="115">
        <v>403007693.52999997</v>
      </c>
      <c r="I9" s="112" t="s">
        <v>331</v>
      </c>
    </row>
    <row r="10" spans="1:9" ht="42" customHeight="1">
      <c r="A10" s="36">
        <f>IF(ENTREGA!A10="","",ENTREGA!A10)</f>
        <v>4</v>
      </c>
      <c r="B10" s="107">
        <v>2019009022</v>
      </c>
      <c r="C10" s="108">
        <v>0.39758101851851851</v>
      </c>
      <c r="D10" s="31" t="str">
        <f>IF(A10="","",VLOOKUP(A10,ENTREGA!$A$7:$B$16,2,FALSE))</f>
        <v>URBANICO S.A.S</v>
      </c>
      <c r="E10" s="113" t="s">
        <v>336</v>
      </c>
      <c r="F10" s="110" t="s">
        <v>337</v>
      </c>
      <c r="G10" s="114">
        <v>351</v>
      </c>
      <c r="H10" s="115">
        <v>406961708.93000001</v>
      </c>
      <c r="I10" s="112" t="s">
        <v>338</v>
      </c>
    </row>
    <row r="11" spans="1:9" ht="42" customHeight="1">
      <c r="A11" s="36">
        <f>IF(ENTREGA!A11="","",ENTREGA!A11)</f>
        <v>5</v>
      </c>
      <c r="B11" s="107">
        <v>2019009023</v>
      </c>
      <c r="C11" s="108">
        <v>0.39762731481481484</v>
      </c>
      <c r="D11" s="31" t="str">
        <f>IF(A11="","",VLOOKUP(A11,ENTREGA!$A$7:$B$16,2,FALSE))</f>
        <v>LUIS ENRIQUE OYOLA QUINTERO</v>
      </c>
      <c r="E11" s="113">
        <v>73077245</v>
      </c>
      <c r="F11" s="110" t="s">
        <v>330</v>
      </c>
      <c r="G11" s="114">
        <v>141</v>
      </c>
      <c r="H11" s="115">
        <v>406744942.70999998</v>
      </c>
      <c r="I11" s="112" t="s">
        <v>331</v>
      </c>
    </row>
    <row r="12" spans="1:9" ht="54" customHeight="1">
      <c r="A12" s="36">
        <f>IF(ENTREGA!A12="","",ENTREGA!A12)</f>
        <v>6</v>
      </c>
      <c r="B12" s="107">
        <v>2019009024</v>
      </c>
      <c r="C12" s="108">
        <v>0.39844907407407404</v>
      </c>
      <c r="D12" s="31" t="str">
        <f>IF(A12="","",VLOOKUP(A12,ENTREGA!$A$7:$B$16,2,FALSE))</f>
        <v>INGAP S.A.S</v>
      </c>
      <c r="E12" s="113" t="s">
        <v>339</v>
      </c>
      <c r="F12" s="114" t="s">
        <v>340</v>
      </c>
      <c r="G12" s="114">
        <v>87</v>
      </c>
      <c r="H12" s="115">
        <v>408862918</v>
      </c>
      <c r="I12" s="112" t="s">
        <v>331</v>
      </c>
    </row>
    <row r="13" spans="1:9" ht="42" customHeight="1">
      <c r="A13" s="36">
        <f>IF(ENTREGA!A13="","",ENTREGA!A13)</f>
        <v>7</v>
      </c>
      <c r="B13" s="107">
        <v>2019009025</v>
      </c>
      <c r="C13" s="108">
        <v>0.39850694444444446</v>
      </c>
      <c r="D13" s="31" t="str">
        <f>IF(A13="","",VLOOKUP(A13,ENTREGA!$A$7:$B$16,2,FALSE))</f>
        <v>GUSTAVO ENRIQUE CARDONA VERGARA</v>
      </c>
      <c r="E13" s="113">
        <v>73581245</v>
      </c>
      <c r="F13" s="110" t="s">
        <v>330</v>
      </c>
      <c r="G13" s="114">
        <v>280</v>
      </c>
      <c r="H13" s="111">
        <v>407902705.01999998</v>
      </c>
      <c r="I13" s="112" t="s">
        <v>331</v>
      </c>
    </row>
    <row r="14" spans="1:9" ht="42" customHeight="1">
      <c r="A14" s="36">
        <f>IF(ENTREGA!A14="","",ENTREGA!A14)</f>
        <v>8</v>
      </c>
      <c r="B14" s="107">
        <v>2019009026</v>
      </c>
      <c r="C14" s="108">
        <v>0.39984953703703702</v>
      </c>
      <c r="D14" s="31" t="str">
        <f>IF(A14="","",VLOOKUP(A14,ENTREGA!$A$7:$B$16,2,FALSE))</f>
        <v>ASESORES EMPRESARIALES Y CONSTRUCTORES S.A.S</v>
      </c>
      <c r="E14" s="113" t="s">
        <v>341</v>
      </c>
      <c r="F14" s="114" t="s">
        <v>342</v>
      </c>
      <c r="G14" s="114">
        <v>106</v>
      </c>
      <c r="H14" s="111">
        <v>411880724.48000002</v>
      </c>
      <c r="I14" s="112" t="s">
        <v>331</v>
      </c>
    </row>
    <row r="15" spans="1:9" ht="42" customHeight="1">
      <c r="A15" s="36">
        <f>IF(ENTREGA!A15="","",ENTREGA!A15)</f>
        <v>9</v>
      </c>
      <c r="B15" s="107">
        <v>2019009027</v>
      </c>
      <c r="C15" s="108">
        <v>0.4001851851851852</v>
      </c>
      <c r="D15" s="31" t="str">
        <f>IF(A15="","",VLOOKUP(A15,ENTREGA!$A$7:$B$16,2,FALSE))</f>
        <v>DANIEL JOSE NIEVES VERGARA</v>
      </c>
      <c r="E15" s="109">
        <v>10765872</v>
      </c>
      <c r="F15" s="110" t="s">
        <v>330</v>
      </c>
      <c r="G15" s="110">
        <v>105</v>
      </c>
      <c r="H15" s="111">
        <v>408645750.22000003</v>
      </c>
      <c r="I15" s="112" t="s">
        <v>331</v>
      </c>
    </row>
    <row r="16" spans="1:9" ht="42" customHeight="1">
      <c r="A16" s="36">
        <f>IF(ENTREGA!A16="","",ENTREGA!A16)</f>
        <v>10</v>
      </c>
      <c r="B16" s="107">
        <v>2019009028</v>
      </c>
      <c r="C16" s="108">
        <v>0.4120138888888889</v>
      </c>
      <c r="D16" s="31" t="str">
        <f>IF(A16="","",VLOOKUP(A16,ENTREGA!$A$7:$B$16,2,FALSE))</f>
        <v>BETEL INGENIEROS S.A.S</v>
      </c>
      <c r="E16" s="113" t="s">
        <v>343</v>
      </c>
      <c r="F16" s="114" t="s">
        <v>344</v>
      </c>
      <c r="G16" s="114">
        <v>267</v>
      </c>
      <c r="H16" s="115">
        <v>413728105.97000003</v>
      </c>
      <c r="I16" s="112" t="s">
        <v>331</v>
      </c>
    </row>
    <row r="17" spans="1:9">
      <c r="A17" s="32"/>
      <c r="B17" s="32"/>
      <c r="C17" s="32"/>
      <c r="D17" s="32"/>
      <c r="E17" s="32"/>
      <c r="F17" s="32"/>
      <c r="G17" s="32"/>
      <c r="H17" s="32"/>
      <c r="I17" s="32"/>
    </row>
    <row r="18" spans="1:9" ht="34.5" customHeight="1">
      <c r="A18" s="782" t="s">
        <v>345</v>
      </c>
      <c r="B18" s="782"/>
      <c r="C18" s="782"/>
      <c r="D18" s="783"/>
      <c r="E18" s="783"/>
      <c r="F18" s="783"/>
      <c r="G18" s="783"/>
      <c r="H18" s="783"/>
      <c r="I18" s="783"/>
    </row>
  </sheetData>
  <sheetProtection password="A658" sheet="1" objects="1" scenarios="1" selectLockedCells="1" selectUnlockedCells="1"/>
  <mergeCells count="7">
    <mergeCell ref="B1:I1"/>
    <mergeCell ref="B2:I2"/>
    <mergeCell ref="B3:I3"/>
    <mergeCell ref="A18:I18"/>
    <mergeCell ref="A1:A3"/>
    <mergeCell ref="A5:C5"/>
    <mergeCell ref="A4:I4"/>
  </mergeCells>
  <printOptions horizontalCentered="1"/>
  <pageMargins left="0.59055118110236227" right="0.39370078740157483" top="0.59055118110236227" bottom="0.39370078740157483" header="0.31496062992125984" footer="0.31496062992125984"/>
  <pageSetup scale="66"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L36"/>
  <sheetViews>
    <sheetView view="pageBreakPreview" zoomScale="55" zoomScaleNormal="25" zoomScaleSheetLayoutView="55" workbookViewId="0">
      <pane ySplit="5" topLeftCell="A6" activePane="bottomLeft" state="frozen"/>
      <selection pane="bottomLeft" activeCell="E33" sqref="E33"/>
    </sheetView>
  </sheetViews>
  <sheetFormatPr baseColWidth="10" defaultColWidth="11.42578125" defaultRowHeight="14.25"/>
  <cols>
    <col min="1" max="1" width="10.5703125" style="146" customWidth="1"/>
    <col min="2" max="2" width="60.28515625" style="196" customWidth="1"/>
    <col min="3" max="12" width="66.5703125" style="196" customWidth="1"/>
    <col min="13" max="16384" width="11.42578125" style="147"/>
  </cols>
  <sheetData>
    <row r="1" spans="1:12" ht="41.25" customHeight="1">
      <c r="B1" s="792" t="s">
        <v>109</v>
      </c>
      <c r="C1" s="792"/>
      <c r="D1" s="792"/>
      <c r="E1" s="792"/>
      <c r="F1" s="792"/>
      <c r="G1" s="792"/>
      <c r="H1" s="792"/>
      <c r="I1" s="792"/>
      <c r="J1" s="792"/>
      <c r="K1" s="792"/>
      <c r="L1" s="792"/>
    </row>
    <row r="2" spans="1:12" ht="15.75">
      <c r="A2" s="148"/>
      <c r="B2" s="198"/>
      <c r="C2" s="198"/>
      <c r="D2" s="198"/>
      <c r="E2" s="198"/>
      <c r="F2" s="198"/>
      <c r="G2" s="198"/>
      <c r="H2" s="198"/>
      <c r="I2" s="198"/>
      <c r="J2" s="198"/>
      <c r="K2" s="198"/>
      <c r="L2" s="198"/>
    </row>
    <row r="3" spans="1:12" s="149" customFormat="1" ht="15">
      <c r="A3" s="258"/>
      <c r="B3" s="199" t="s">
        <v>33</v>
      </c>
      <c r="C3" s="200">
        <f>IF(ENTREGA!A7="","",ENTREGA!A7)</f>
        <v>1</v>
      </c>
      <c r="D3" s="200">
        <f>IF(ENTREGA!A8="","",ENTREGA!A8)</f>
        <v>2</v>
      </c>
      <c r="E3" s="200">
        <f>IF(ENTREGA!A9="","",ENTREGA!A9)</f>
        <v>3</v>
      </c>
      <c r="F3" s="200">
        <f>IF(ENTREGA!A10="","",ENTREGA!A10)</f>
        <v>4</v>
      </c>
      <c r="G3" s="200">
        <f>IF(ENTREGA!A11="","",ENTREGA!A11)</f>
        <v>5</v>
      </c>
      <c r="H3" s="200">
        <f>IF(ENTREGA!A12="","",ENTREGA!A12)</f>
        <v>6</v>
      </c>
      <c r="I3" s="200">
        <f>IF(ENTREGA!A13="","",ENTREGA!A13)</f>
        <v>7</v>
      </c>
      <c r="J3" s="200">
        <f>IF(ENTREGA!A14="","",ENTREGA!A14)</f>
        <v>8</v>
      </c>
      <c r="K3" s="200">
        <f>IF(ENTREGA!A15="","",ENTREGA!A15)</f>
        <v>9</v>
      </c>
      <c r="L3" s="200">
        <f>IF(ENTREGA!A16="","",ENTREGA!A16)</f>
        <v>10</v>
      </c>
    </row>
    <row r="4" spans="1:12" s="149" customFormat="1" ht="15">
      <c r="A4" s="258"/>
      <c r="B4" s="199" t="s">
        <v>40</v>
      </c>
      <c r="C4" s="200" t="str">
        <f>+VLOOKUP(C3,'APERTURA DE SOBRES'!$A$7:$E$16,4,FALSE)</f>
        <v>GUSTAVO ADOLFO CARMONA ALARCON</v>
      </c>
      <c r="D4" s="200" t="str">
        <f>+VLOOKUP(D3,'APERTURA DE SOBRES'!$A$7:$E$16,4,FALSE)</f>
        <v>VERTICES INGENIERIA</v>
      </c>
      <c r="E4" s="200" t="str">
        <f>+VLOOKUP(E3,'APERTURA DE SOBRES'!$A$7:$E$16,4,FALSE)</f>
        <v>INGENIERIA DE ALTURA S.A.S</v>
      </c>
      <c r="F4" s="200" t="str">
        <f>+VLOOKUP(F3,'APERTURA DE SOBRES'!$A$7:$E$16,4,FALSE)</f>
        <v>URBANICO S.A.S</v>
      </c>
      <c r="G4" s="200" t="str">
        <f>+VLOOKUP(G3,'APERTURA DE SOBRES'!$A$7:$E$16,4,FALSE)</f>
        <v>LUIS ENRIQUE OYOLA QUINTERO</v>
      </c>
      <c r="H4" s="200" t="str">
        <f>+VLOOKUP(H3,'APERTURA DE SOBRES'!$A$7:$E$16,4,FALSE)</f>
        <v>INGAP S.A.S</v>
      </c>
      <c r="I4" s="200" t="str">
        <f>+VLOOKUP(I3,'APERTURA DE SOBRES'!$A$7:$E$16,4,FALSE)</f>
        <v>GUSTAVO ENRIQUE CARDONA VERGARA</v>
      </c>
      <c r="J4" s="200" t="str">
        <f>+VLOOKUP(J3,'APERTURA DE SOBRES'!$A$7:$E$16,4,FALSE)</f>
        <v>ASESORES EMPRESARIALES Y CONSTRUCTORES S.A.S</v>
      </c>
      <c r="K4" s="200" t="str">
        <f>+VLOOKUP(K3,'APERTURA DE SOBRES'!$A$7:$E$16,4,FALSE)</f>
        <v>DANIEL JOSE NIEVES VERGARA</v>
      </c>
      <c r="L4" s="200" t="str">
        <f>+VLOOKUP(L3,'APERTURA DE SOBRES'!$A$7:$E$16,4,FALSE)</f>
        <v>BETEL INGENIEROS S.A.S</v>
      </c>
    </row>
    <row r="5" spans="1:12" s="149" customFormat="1" ht="20.25" customHeight="1">
      <c r="A5" s="258"/>
      <c r="B5" s="199" t="s">
        <v>55</v>
      </c>
      <c r="C5" s="201">
        <f>IF(ENTREGA!A7="","",VLOOKUP(C3,'APERTURA DE SOBRES'!$A$7:$E$16,5,FALSE))</f>
        <v>71577370</v>
      </c>
      <c r="D5" s="201" t="str">
        <f>IF(ENTREGA!A8="","",VLOOKUP(D3,'APERTURA DE SOBRES'!$A$7:$E$16,5,FALSE))</f>
        <v>900.165.937-9</v>
      </c>
      <c r="E5" s="201" t="str">
        <f>IF(ENTREGA!A9="","",VLOOKUP(E3,'APERTURA DE SOBRES'!$A$7:$E$16,5,FALSE))</f>
        <v>900.615.667-7</v>
      </c>
      <c r="F5" s="201" t="str">
        <f>IF(ENTREGA!A10="","",VLOOKUP(F3,'APERTURA DE SOBRES'!$A$7:$E$16,5,FALSE))</f>
        <v>900.066.226-6</v>
      </c>
      <c r="G5" s="201">
        <f>IF(ENTREGA!A11="","",VLOOKUP(G3,'APERTURA DE SOBRES'!$A$7:$E$16,5,FALSE))</f>
        <v>73077245</v>
      </c>
      <c r="H5" s="201" t="str">
        <f>IF(ENTREGA!A12="","",VLOOKUP(H3,'APERTURA DE SOBRES'!$A$7:$E$16,5,FALSE))</f>
        <v>811.047.188-0</v>
      </c>
      <c r="I5" s="201">
        <f>IF(ENTREGA!A13="","",VLOOKUP(I3,'APERTURA DE SOBRES'!$A$7:$E$16,5,FALSE))</f>
        <v>73581245</v>
      </c>
      <c r="J5" s="201" t="str">
        <f>IF(ENTREGA!A14="","",VLOOKUP(J3,'APERTURA DE SOBRES'!$A$7:$E$16,5,FALSE))</f>
        <v>825.002.360-9</v>
      </c>
      <c r="K5" s="201">
        <f>IF(ENTREGA!A15="","",VLOOKUP(K3,'APERTURA DE SOBRES'!$A$7:$E$16,5,FALSE))</f>
        <v>10765872</v>
      </c>
      <c r="L5" s="201" t="str">
        <f>IF(ENTREGA!A16="","",VLOOKUP(L3,'APERTURA DE SOBRES'!$A$7:$E$16,5,FALSE))</f>
        <v>900.674.636-0</v>
      </c>
    </row>
    <row r="6" spans="1:12" ht="34.5" customHeight="1">
      <c r="A6" s="259"/>
      <c r="B6" s="260" t="s">
        <v>118</v>
      </c>
      <c r="C6" s="150"/>
      <c r="D6" s="150"/>
      <c r="E6" s="150"/>
      <c r="F6" s="150"/>
      <c r="G6" s="150"/>
      <c r="H6" s="150"/>
      <c r="I6" s="150"/>
      <c r="J6" s="150"/>
      <c r="K6" s="150"/>
      <c r="L6" s="150"/>
    </row>
    <row r="7" spans="1:12" ht="33" customHeight="1">
      <c r="A7" s="261" t="s">
        <v>18</v>
      </c>
      <c r="B7" s="262" t="s">
        <v>119</v>
      </c>
      <c r="C7" s="151"/>
      <c r="D7" s="151"/>
      <c r="E7" s="151"/>
      <c r="F7" s="151"/>
      <c r="G7" s="151"/>
      <c r="H7" s="151"/>
      <c r="I7" s="151"/>
      <c r="J7" s="151"/>
      <c r="K7" s="151"/>
      <c r="L7" s="151"/>
    </row>
    <row r="8" spans="1:12" ht="102">
      <c r="A8" s="1006">
        <v>1</v>
      </c>
      <c r="B8" s="1007" t="s">
        <v>528</v>
      </c>
      <c r="C8" s="153" t="s">
        <v>534</v>
      </c>
      <c r="D8" s="152"/>
      <c r="E8" s="153"/>
      <c r="F8" s="154"/>
      <c r="G8" s="154" t="s">
        <v>546</v>
      </c>
      <c r="H8" s="154"/>
      <c r="I8" s="154" t="s">
        <v>572</v>
      </c>
      <c r="J8" s="155"/>
      <c r="K8" s="153" t="s">
        <v>559</v>
      </c>
      <c r="L8" s="156"/>
    </row>
    <row r="9" spans="1:12" ht="84.75" customHeight="1">
      <c r="A9" s="1006">
        <v>2</v>
      </c>
      <c r="B9" s="1008" t="s">
        <v>529</v>
      </c>
      <c r="C9" s="157" t="s">
        <v>535</v>
      </c>
      <c r="D9" s="152"/>
      <c r="E9" s="157"/>
      <c r="F9" s="158"/>
      <c r="G9" s="158" t="s">
        <v>547</v>
      </c>
      <c r="H9" s="159"/>
      <c r="I9" s="158" t="s">
        <v>573</v>
      </c>
      <c r="J9" s="160"/>
      <c r="K9" s="157" t="s">
        <v>560</v>
      </c>
      <c r="L9" s="161"/>
    </row>
    <row r="10" spans="1:12" ht="76.5">
      <c r="A10" s="1006">
        <v>3</v>
      </c>
      <c r="B10" s="1007" t="s">
        <v>530</v>
      </c>
      <c r="C10" s="153" t="s">
        <v>536</v>
      </c>
      <c r="D10" s="152"/>
      <c r="E10" s="153"/>
      <c r="F10" s="154"/>
      <c r="G10" s="154" t="s">
        <v>548</v>
      </c>
      <c r="H10" s="154"/>
      <c r="I10" s="154" t="s">
        <v>574</v>
      </c>
      <c r="J10" s="160"/>
      <c r="K10" s="153" t="s">
        <v>561</v>
      </c>
      <c r="L10" s="161"/>
    </row>
    <row r="11" spans="1:12" ht="38.25">
      <c r="A11" s="1006">
        <v>4</v>
      </c>
      <c r="B11" s="1007" t="s">
        <v>531</v>
      </c>
      <c r="C11" s="157" t="s">
        <v>537</v>
      </c>
      <c r="D11" s="152"/>
      <c r="E11" s="157"/>
      <c r="F11" s="154"/>
      <c r="G11" s="154" t="s">
        <v>549</v>
      </c>
      <c r="H11" s="154"/>
      <c r="I11" s="154" t="s">
        <v>575</v>
      </c>
      <c r="J11" s="160"/>
      <c r="K11" s="157" t="s">
        <v>562</v>
      </c>
      <c r="L11" s="156"/>
    </row>
    <row r="12" spans="1:12" ht="25.5">
      <c r="A12" s="1006">
        <v>5</v>
      </c>
      <c r="B12" s="1007" t="s">
        <v>532</v>
      </c>
      <c r="C12" s="162" t="s">
        <v>538</v>
      </c>
      <c r="D12" s="152"/>
      <c r="E12" s="162"/>
      <c r="F12" s="154"/>
      <c r="G12" s="154" t="s">
        <v>550</v>
      </c>
      <c r="H12" s="154"/>
      <c r="I12" s="154" t="s">
        <v>576</v>
      </c>
      <c r="J12" s="160"/>
      <c r="K12" s="162" t="s">
        <v>563</v>
      </c>
      <c r="L12" s="161"/>
    </row>
    <row r="13" spans="1:12">
      <c r="A13" s="1006">
        <v>6</v>
      </c>
      <c r="B13" s="1008" t="s">
        <v>20</v>
      </c>
      <c r="C13" s="162" t="s">
        <v>539</v>
      </c>
      <c r="D13" s="152"/>
      <c r="E13" s="162"/>
      <c r="F13" s="163"/>
      <c r="G13" s="163" t="s">
        <v>551</v>
      </c>
      <c r="H13" s="163"/>
      <c r="I13" s="163" t="s">
        <v>577</v>
      </c>
      <c r="J13" s="160"/>
      <c r="K13" s="162" t="s">
        <v>564</v>
      </c>
      <c r="L13" s="161"/>
    </row>
    <row r="14" spans="1:12" ht="38.25">
      <c r="A14" s="1006">
        <v>7</v>
      </c>
      <c r="B14" s="1008" t="s">
        <v>133</v>
      </c>
      <c r="C14" s="165" t="s">
        <v>540</v>
      </c>
      <c r="D14" s="152"/>
      <c r="E14" s="164"/>
      <c r="F14" s="163"/>
      <c r="G14" s="163" t="s">
        <v>552</v>
      </c>
      <c r="H14" s="163"/>
      <c r="I14" s="163" t="s">
        <v>578</v>
      </c>
      <c r="J14" s="166"/>
      <c r="K14" s="165" t="s">
        <v>565</v>
      </c>
      <c r="L14" s="162"/>
    </row>
    <row r="15" spans="1:12">
      <c r="A15" s="1006">
        <v>8</v>
      </c>
      <c r="B15" s="1008" t="s">
        <v>95</v>
      </c>
      <c r="C15" s="165" t="s">
        <v>541</v>
      </c>
      <c r="D15" s="152"/>
      <c r="E15" s="167"/>
      <c r="F15" s="163"/>
      <c r="G15" s="163" t="s">
        <v>553</v>
      </c>
      <c r="H15" s="163"/>
      <c r="I15" s="163" t="s">
        <v>579</v>
      </c>
      <c r="J15" s="166"/>
      <c r="K15" s="165" t="s">
        <v>566</v>
      </c>
      <c r="L15" s="168"/>
    </row>
    <row r="16" spans="1:12" ht="63.75">
      <c r="A16" s="1006">
        <v>9</v>
      </c>
      <c r="B16" s="1008" t="s">
        <v>533</v>
      </c>
      <c r="C16" s="153" t="s">
        <v>542</v>
      </c>
      <c r="D16" s="152"/>
      <c r="E16" s="153"/>
      <c r="F16" s="166"/>
      <c r="G16" s="166" t="s">
        <v>554</v>
      </c>
      <c r="H16" s="166"/>
      <c r="I16" s="166" t="s">
        <v>580</v>
      </c>
      <c r="J16" s="166"/>
      <c r="K16" s="153" t="s">
        <v>567</v>
      </c>
      <c r="L16" s="156"/>
    </row>
    <row r="17" spans="1:12">
      <c r="A17" s="1006">
        <v>10</v>
      </c>
      <c r="B17" s="1008" t="s">
        <v>77</v>
      </c>
      <c r="C17" s="153" t="s">
        <v>543</v>
      </c>
      <c r="D17" s="152"/>
      <c r="E17" s="153"/>
      <c r="F17" s="166"/>
      <c r="G17" s="166" t="s">
        <v>555</v>
      </c>
      <c r="H17" s="166"/>
      <c r="I17" s="166" t="s">
        <v>581</v>
      </c>
      <c r="J17" s="166"/>
      <c r="K17" s="153" t="s">
        <v>568</v>
      </c>
      <c r="L17" s="156"/>
    </row>
    <row r="18" spans="1:12">
      <c r="A18" s="1006"/>
      <c r="B18" s="1008" t="s">
        <v>51</v>
      </c>
      <c r="C18" s="153" t="s">
        <v>544</v>
      </c>
      <c r="D18" s="152"/>
      <c r="E18" s="153"/>
      <c r="F18" s="166"/>
      <c r="G18" s="166" t="s">
        <v>556</v>
      </c>
      <c r="H18" s="166"/>
      <c r="I18" s="166" t="s">
        <v>556</v>
      </c>
      <c r="J18" s="166"/>
      <c r="K18" s="153" t="s">
        <v>569</v>
      </c>
      <c r="L18" s="156"/>
    </row>
    <row r="19" spans="1:12" ht="15.75" customHeight="1">
      <c r="A19" s="1006"/>
      <c r="B19" s="1008" t="s">
        <v>78</v>
      </c>
      <c r="C19" s="169" t="s">
        <v>545</v>
      </c>
      <c r="D19" s="152"/>
      <c r="E19" s="169"/>
      <c r="F19" s="166"/>
      <c r="G19" s="166" t="s">
        <v>557</v>
      </c>
      <c r="H19" s="166"/>
      <c r="I19" s="166" t="s">
        <v>582</v>
      </c>
      <c r="J19" s="170"/>
      <c r="K19" s="169" t="s">
        <v>570</v>
      </c>
      <c r="L19" s="171"/>
    </row>
    <row r="20" spans="1:12">
      <c r="A20" s="1006"/>
      <c r="B20" s="1008" t="s">
        <v>53</v>
      </c>
      <c r="C20" s="1009">
        <v>41456276.600000001</v>
      </c>
      <c r="D20" s="152"/>
      <c r="E20" s="173"/>
      <c r="F20" s="163"/>
      <c r="G20" s="1010">
        <v>41456276.600000001</v>
      </c>
      <c r="H20" s="163"/>
      <c r="I20" s="1010">
        <v>41456276.600000001</v>
      </c>
      <c r="J20" s="170"/>
      <c r="K20" s="1012">
        <v>41456277</v>
      </c>
      <c r="L20" s="172"/>
    </row>
    <row r="21" spans="1:12">
      <c r="A21" s="263"/>
      <c r="B21" s="264" t="s">
        <v>96</v>
      </c>
      <c r="C21" s="1011" t="s">
        <v>558</v>
      </c>
      <c r="D21" s="174"/>
      <c r="E21" s="175"/>
      <c r="F21" s="175"/>
      <c r="G21" s="1011" t="s">
        <v>558</v>
      </c>
      <c r="H21" s="175"/>
      <c r="I21" s="176"/>
      <c r="J21" s="176"/>
      <c r="K21" s="1013" t="s">
        <v>571</v>
      </c>
      <c r="L21" s="177"/>
    </row>
    <row r="22" spans="1:12" s="181" customFormat="1" ht="15.75">
      <c r="A22" s="265"/>
      <c r="B22" s="266"/>
      <c r="C22" s="178"/>
      <c r="D22" s="179"/>
      <c r="E22" s="152"/>
      <c r="F22" s="152"/>
      <c r="G22" s="152"/>
      <c r="H22" s="152"/>
      <c r="I22" s="170"/>
      <c r="J22" s="170"/>
      <c r="K22" s="170"/>
      <c r="L22" s="180"/>
    </row>
    <row r="23" spans="1:12">
      <c r="A23" s="267" t="s">
        <v>18</v>
      </c>
      <c r="B23" s="268" t="s">
        <v>120</v>
      </c>
      <c r="C23" s="172"/>
      <c r="D23" s="172"/>
      <c r="E23" s="170"/>
      <c r="F23" s="182"/>
      <c r="G23" s="183"/>
      <c r="H23" s="182"/>
      <c r="I23" s="170"/>
      <c r="J23" s="184"/>
      <c r="K23" s="170"/>
      <c r="L23" s="184"/>
    </row>
    <row r="24" spans="1:12" ht="253.5" customHeight="1">
      <c r="A24" s="267">
        <v>1</v>
      </c>
      <c r="B24" s="1014" t="s">
        <v>583</v>
      </c>
      <c r="C24" s="172"/>
      <c r="D24" s="1016" t="s">
        <v>632</v>
      </c>
      <c r="E24" s="1039" t="s">
        <v>650</v>
      </c>
      <c r="F24" s="1016" t="s">
        <v>587</v>
      </c>
      <c r="G24" s="183"/>
      <c r="H24" s="1021" t="s">
        <v>613</v>
      </c>
      <c r="I24" s="170"/>
      <c r="J24" s="1016" t="s">
        <v>623</v>
      </c>
      <c r="K24" s="170"/>
      <c r="L24" s="1016" t="s">
        <v>596</v>
      </c>
    </row>
    <row r="25" spans="1:12" ht="117.75" customHeight="1">
      <c r="A25" s="267">
        <v>2</v>
      </c>
      <c r="B25" s="1014" t="s">
        <v>584</v>
      </c>
      <c r="C25" s="168"/>
      <c r="D25" s="1016" t="s">
        <v>633</v>
      </c>
      <c r="E25" s="1016" t="s">
        <v>605</v>
      </c>
      <c r="F25" s="1016" t="s">
        <v>588</v>
      </c>
      <c r="G25" s="185"/>
      <c r="H25" s="1016" t="s">
        <v>614</v>
      </c>
      <c r="I25" s="186"/>
      <c r="J25" s="1016" t="s">
        <v>624</v>
      </c>
      <c r="K25" s="186"/>
      <c r="L25" s="1016" t="s">
        <v>597</v>
      </c>
    </row>
    <row r="26" spans="1:12" ht="51">
      <c r="A26" s="267">
        <v>3</v>
      </c>
      <c r="B26" s="1015" t="s">
        <v>585</v>
      </c>
      <c r="C26" s="156"/>
      <c r="D26" s="1019" t="s">
        <v>634</v>
      </c>
      <c r="E26" s="1016" t="s">
        <v>606</v>
      </c>
      <c r="F26" s="1016" t="s">
        <v>589</v>
      </c>
      <c r="G26" s="185"/>
      <c r="H26" s="1022" t="s">
        <v>615</v>
      </c>
      <c r="I26" s="186"/>
      <c r="J26" s="1019" t="s">
        <v>625</v>
      </c>
      <c r="K26" s="186"/>
      <c r="L26" s="1016" t="s">
        <v>598</v>
      </c>
    </row>
    <row r="27" spans="1:12" ht="38.25">
      <c r="A27" s="267">
        <v>4</v>
      </c>
      <c r="B27" s="1015" t="s">
        <v>134</v>
      </c>
      <c r="C27" s="172"/>
      <c r="D27" s="1019" t="s">
        <v>635</v>
      </c>
      <c r="E27" s="1019" t="s">
        <v>607</v>
      </c>
      <c r="F27" s="1016" t="s">
        <v>590</v>
      </c>
      <c r="G27" s="185"/>
      <c r="H27" s="1019" t="s">
        <v>616</v>
      </c>
      <c r="I27" s="187"/>
      <c r="J27" s="1019" t="s">
        <v>626</v>
      </c>
      <c r="K27" s="187"/>
      <c r="L27" s="1016" t="s">
        <v>599</v>
      </c>
    </row>
    <row r="28" spans="1:12" ht="62.25" customHeight="1">
      <c r="A28" s="267">
        <v>5</v>
      </c>
      <c r="B28" s="1015" t="s">
        <v>95</v>
      </c>
      <c r="C28" s="172"/>
      <c r="D28" s="1019" t="s">
        <v>636</v>
      </c>
      <c r="E28" s="1019" t="s">
        <v>608</v>
      </c>
      <c r="F28" s="1016" t="s">
        <v>591</v>
      </c>
      <c r="G28" s="183"/>
      <c r="H28" s="1019" t="s">
        <v>617</v>
      </c>
      <c r="I28" s="188"/>
      <c r="J28" s="1019" t="s">
        <v>627</v>
      </c>
      <c r="K28" s="183"/>
      <c r="L28" s="1016" t="s">
        <v>600</v>
      </c>
    </row>
    <row r="29" spans="1:12" ht="51">
      <c r="A29" s="267">
        <v>6</v>
      </c>
      <c r="B29" s="1015" t="s">
        <v>586</v>
      </c>
      <c r="C29" s="172"/>
      <c r="D29" s="1019" t="s">
        <v>637</v>
      </c>
      <c r="E29" s="1019" t="s">
        <v>609</v>
      </c>
      <c r="F29" s="1016" t="s">
        <v>592</v>
      </c>
      <c r="G29" s="163"/>
      <c r="H29" s="1016" t="s">
        <v>618</v>
      </c>
      <c r="I29" s="163"/>
      <c r="J29" s="1019" t="s">
        <v>628</v>
      </c>
      <c r="K29" s="163"/>
      <c r="L29" s="1016" t="s">
        <v>601</v>
      </c>
    </row>
    <row r="30" spans="1:12" ht="61.5" customHeight="1">
      <c r="A30" s="267">
        <v>7</v>
      </c>
      <c r="B30" s="1015" t="s">
        <v>77</v>
      </c>
      <c r="C30" s="172"/>
      <c r="D30" s="1019" t="s">
        <v>638</v>
      </c>
      <c r="E30" s="1040" t="s">
        <v>652</v>
      </c>
      <c r="F30" s="1016" t="s">
        <v>593</v>
      </c>
      <c r="G30" s="183"/>
      <c r="H30" s="1016" t="s">
        <v>619</v>
      </c>
      <c r="I30" s="189"/>
      <c r="J30" s="1019" t="s">
        <v>629</v>
      </c>
      <c r="K30" s="189"/>
      <c r="L30" s="1016" t="s">
        <v>602</v>
      </c>
    </row>
    <row r="31" spans="1:12" ht="21.75" customHeight="1">
      <c r="A31" s="269">
        <v>8</v>
      </c>
      <c r="B31" s="1015" t="s">
        <v>51</v>
      </c>
      <c r="C31" s="171"/>
      <c r="D31" s="1019" t="s">
        <v>639</v>
      </c>
      <c r="E31" s="1019" t="s">
        <v>610</v>
      </c>
      <c r="F31" s="1016" t="s">
        <v>544</v>
      </c>
      <c r="G31" s="166"/>
      <c r="H31" s="1016" t="s">
        <v>620</v>
      </c>
      <c r="I31" s="190"/>
      <c r="J31" s="1019" t="s">
        <v>630</v>
      </c>
      <c r="K31" s="191"/>
      <c r="L31" s="1018" t="s">
        <v>651</v>
      </c>
    </row>
    <row r="32" spans="1:12">
      <c r="A32" s="269"/>
      <c r="B32" s="1015" t="s">
        <v>52</v>
      </c>
      <c r="C32" s="171"/>
      <c r="D32" s="1019" t="s">
        <v>640</v>
      </c>
      <c r="E32" s="1019" t="s">
        <v>611</v>
      </c>
      <c r="F32" t="s">
        <v>594</v>
      </c>
      <c r="G32" s="166"/>
      <c r="H32" s="1016" t="s">
        <v>621</v>
      </c>
      <c r="I32" s="190"/>
      <c r="J32" s="1019" t="s">
        <v>631</v>
      </c>
      <c r="K32" s="191"/>
      <c r="L32" s="1016" t="s">
        <v>603</v>
      </c>
    </row>
    <row r="33" spans="1:12">
      <c r="A33" s="269"/>
      <c r="B33" s="1015" t="s">
        <v>53</v>
      </c>
      <c r="C33" s="171"/>
      <c r="D33" s="1019" t="s">
        <v>641</v>
      </c>
      <c r="E33" s="1020">
        <v>41456277</v>
      </c>
      <c r="F33" s="1017">
        <v>41456276</v>
      </c>
      <c r="G33" s="192"/>
      <c r="H33" s="1020">
        <v>41456277</v>
      </c>
      <c r="I33" s="190"/>
      <c r="J33" s="1020">
        <v>41456277</v>
      </c>
      <c r="K33" s="191"/>
      <c r="L33" s="1017">
        <v>41456276</v>
      </c>
    </row>
    <row r="34" spans="1:12">
      <c r="A34" s="269"/>
      <c r="B34" s="1015" t="s">
        <v>96</v>
      </c>
      <c r="C34" s="171"/>
      <c r="D34" s="1019" t="s">
        <v>642</v>
      </c>
      <c r="E34" s="1019" t="s">
        <v>612</v>
      </c>
      <c r="F34" t="s">
        <v>595</v>
      </c>
      <c r="G34" s="193"/>
      <c r="H34" s="1016" t="s">
        <v>622</v>
      </c>
      <c r="I34" s="193"/>
      <c r="J34" s="1019" t="s">
        <v>612</v>
      </c>
      <c r="K34" s="194"/>
      <c r="L34" s="1016" t="s">
        <v>604</v>
      </c>
    </row>
    <row r="35" spans="1:12">
      <c r="A35" s="269"/>
      <c r="B35" s="404" t="s">
        <v>96</v>
      </c>
      <c r="C35" s="172"/>
      <c r="D35" s="171"/>
      <c r="E35" s="170"/>
      <c r="F35" s="173"/>
      <c r="G35" s="193"/>
      <c r="H35" s="173"/>
      <c r="I35" s="195"/>
      <c r="J35" s="173"/>
      <c r="K35" s="170"/>
      <c r="L35" s="173"/>
    </row>
    <row r="36" spans="1:12">
      <c r="A36" s="149"/>
      <c r="C36" s="147"/>
      <c r="D36" s="197"/>
      <c r="E36" s="197"/>
      <c r="F36" s="223"/>
      <c r="G36" s="197"/>
      <c r="H36" s="197"/>
      <c r="I36" s="197"/>
      <c r="J36" s="197"/>
      <c r="K36" s="197"/>
      <c r="L36" s="147"/>
    </row>
  </sheetData>
  <sheetProtection password="A658" sheet="1" objects="1" scenarios="1" selectLockedCells="1" selectUnlockedCells="1"/>
  <mergeCells count="1">
    <mergeCell ref="B1:L1"/>
  </mergeCells>
  <printOptions horizontalCentered="1"/>
  <pageMargins left="0.39370078740157483" right="0.19685039370078741" top="0.39370078740157483" bottom="0.39370078740157483" header="0.31496062992125984" footer="0.31496062992125984"/>
  <pageSetup scale="56" orientation="portrait" horizontalDpi="300" verticalDpi="300" r:id="rId1"/>
  <rowBreaks count="1" manualBreakCount="1">
    <brk id="2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N107"/>
  <sheetViews>
    <sheetView topLeftCell="E1" zoomScale="55" zoomScaleNormal="55" zoomScaleSheetLayoutView="25" workbookViewId="0">
      <selection activeCell="K52" sqref="K52"/>
    </sheetView>
  </sheetViews>
  <sheetFormatPr baseColWidth="10" defaultColWidth="11.42578125" defaultRowHeight="15"/>
  <cols>
    <col min="1" max="1" width="20.28515625" style="99" customWidth="1"/>
    <col min="2" max="2" width="6.85546875" style="99" bestFit="1" customWidth="1"/>
    <col min="3" max="3" width="27.85546875" style="62" customWidth="1"/>
    <col min="4" max="4" width="16.85546875" style="62" customWidth="1"/>
    <col min="5" max="5" width="27.5703125" style="100" customWidth="1"/>
    <col min="6" max="6" width="40.42578125" style="101" customWidth="1"/>
    <col min="7" max="7" width="16.7109375" style="101" customWidth="1"/>
    <col min="8" max="9" width="16.7109375" style="62" customWidth="1"/>
    <col min="10" max="10" width="30.85546875" style="62" customWidth="1"/>
    <col min="11" max="11" width="56.5703125" style="62" customWidth="1"/>
    <col min="12" max="12" width="27.28515625" style="62" bestFit="1" customWidth="1"/>
    <col min="13" max="16384" width="11.42578125" style="62"/>
  </cols>
  <sheetData>
    <row r="1" spans="1:14" ht="23.25">
      <c r="A1" s="808" t="s">
        <v>110</v>
      </c>
      <c r="B1" s="808"/>
      <c r="C1" s="808"/>
      <c r="D1" s="808"/>
      <c r="E1" s="808"/>
      <c r="F1" s="808"/>
      <c r="G1" s="808"/>
      <c r="H1" s="808"/>
      <c r="I1" s="808"/>
      <c r="J1" s="808"/>
      <c r="K1" s="808"/>
    </row>
    <row r="2" spans="1:14" s="69" customFormat="1" ht="12.75" customHeight="1">
      <c r="A2" s="80"/>
      <c r="B2" s="80"/>
      <c r="C2" s="81"/>
      <c r="D2" s="81"/>
      <c r="E2" s="81"/>
      <c r="F2" s="81"/>
      <c r="G2" s="81"/>
      <c r="H2" s="81"/>
      <c r="I2" s="62"/>
      <c r="J2" s="62"/>
      <c r="K2" s="62"/>
      <c r="L2" s="62"/>
      <c r="M2" s="62"/>
    </row>
    <row r="3" spans="1:14" s="69" customFormat="1" ht="114.6" customHeight="1">
      <c r="A3" s="819" t="s">
        <v>172</v>
      </c>
      <c r="B3" s="819"/>
      <c r="C3" s="819"/>
      <c r="D3" s="819"/>
      <c r="E3" s="819"/>
      <c r="F3" s="819"/>
      <c r="G3" s="819"/>
      <c r="H3" s="819"/>
      <c r="I3" s="819"/>
      <c r="J3" s="819"/>
      <c r="K3" s="819"/>
      <c r="L3" s="62"/>
      <c r="M3" s="62"/>
    </row>
    <row r="4" spans="1:14" s="69" customFormat="1" ht="12.75" customHeight="1">
      <c r="A4" s="817"/>
      <c r="B4" s="817"/>
      <c r="C4" s="817"/>
      <c r="D4" s="817"/>
      <c r="E4" s="817"/>
      <c r="F4" s="817"/>
      <c r="G4" s="817"/>
      <c r="H4" s="817"/>
      <c r="I4" s="817"/>
      <c r="J4" s="62"/>
      <c r="K4" s="62"/>
      <c r="L4" s="62"/>
      <c r="M4" s="62"/>
      <c r="N4" s="62"/>
    </row>
    <row r="5" spans="1:14" s="69" customFormat="1" ht="30" customHeight="1">
      <c r="A5" s="812" t="s">
        <v>112</v>
      </c>
      <c r="B5" s="813"/>
      <c r="C5" s="82" t="s">
        <v>113</v>
      </c>
      <c r="G5" s="809" t="s">
        <v>41</v>
      </c>
      <c r="H5" s="809"/>
      <c r="I5" s="810" t="s">
        <v>0</v>
      </c>
      <c r="J5" s="810"/>
      <c r="K5" s="83" t="s">
        <v>1</v>
      </c>
      <c r="L5" s="62"/>
    </row>
    <row r="6" spans="1:14" s="69" customFormat="1" ht="48" customHeight="1">
      <c r="A6" s="814">
        <v>828116</v>
      </c>
      <c r="B6" s="815"/>
      <c r="C6" s="102">
        <v>3.5</v>
      </c>
      <c r="G6" s="809"/>
      <c r="H6" s="809"/>
      <c r="I6" s="811">
        <v>414562766</v>
      </c>
      <c r="J6" s="811"/>
      <c r="K6" s="84">
        <f>+ROUND(I6/$A$6,0)</f>
        <v>501</v>
      </c>
      <c r="L6" s="62"/>
    </row>
    <row r="7" spans="1:14" s="69" customFormat="1" ht="12.75" customHeight="1">
      <c r="A7" s="85"/>
      <c r="B7" s="85"/>
      <c r="C7" s="86"/>
      <c r="D7" s="87"/>
      <c r="E7" s="88"/>
      <c r="F7" s="62"/>
      <c r="G7" s="62"/>
      <c r="H7" s="62"/>
      <c r="I7" s="89"/>
      <c r="J7" s="62"/>
      <c r="K7" s="62"/>
      <c r="L7" s="62"/>
      <c r="M7" s="62"/>
    </row>
    <row r="8" spans="1:14" s="69" customFormat="1" ht="18.75">
      <c r="A8" s="797" t="s">
        <v>21</v>
      </c>
      <c r="B8" s="797"/>
      <c r="C8" s="794" t="s">
        <v>42</v>
      </c>
      <c r="D8" s="795"/>
      <c r="E8" s="795"/>
      <c r="F8" s="795"/>
      <c r="G8" s="795"/>
      <c r="H8" s="795"/>
      <c r="I8" s="795"/>
      <c r="J8" s="796"/>
      <c r="K8" s="804" t="s">
        <v>19</v>
      </c>
      <c r="L8" s="62"/>
      <c r="M8" s="62"/>
    </row>
    <row r="9" spans="1:14" s="69" customFormat="1" ht="70.5" customHeight="1">
      <c r="A9" s="818"/>
      <c r="B9" s="797"/>
      <c r="C9" s="90" t="s">
        <v>22</v>
      </c>
      <c r="D9" s="90" t="s">
        <v>23</v>
      </c>
      <c r="E9" s="90" t="s">
        <v>24</v>
      </c>
      <c r="F9" s="90" t="s">
        <v>25</v>
      </c>
      <c r="G9" s="90" t="s">
        <v>26</v>
      </c>
      <c r="H9" s="90" t="s">
        <v>27</v>
      </c>
      <c r="I9" s="90" t="s">
        <v>28</v>
      </c>
      <c r="J9" s="90" t="s">
        <v>91</v>
      </c>
      <c r="K9" s="805"/>
      <c r="L9" s="62"/>
      <c r="M9" s="62"/>
    </row>
    <row r="10" spans="1:14" s="93" customFormat="1" ht="31.5">
      <c r="A10" s="91">
        <f>+IF(ENTREGA!A7="","",ENTREGA!A7)</f>
        <v>1</v>
      </c>
      <c r="B10" s="92">
        <v>1</v>
      </c>
      <c r="C10" s="103">
        <v>32</v>
      </c>
      <c r="D10" s="103">
        <v>45</v>
      </c>
      <c r="E10" s="103" t="s">
        <v>346</v>
      </c>
      <c r="F10" s="103" t="s">
        <v>356</v>
      </c>
      <c r="G10" s="104">
        <v>3258.89</v>
      </c>
      <c r="H10" s="103" t="s">
        <v>352</v>
      </c>
      <c r="I10" s="105">
        <v>1</v>
      </c>
      <c r="J10" s="106" t="s">
        <v>353</v>
      </c>
      <c r="K10" s="103" t="s">
        <v>355</v>
      </c>
    </row>
    <row r="11" spans="1:14" s="93" customFormat="1" ht="31.5">
      <c r="A11" s="806" t="str">
        <f>IF(A10="","",VLOOKUP(A10,ENTREGA!$A$7:$B$16,2,FALSE))</f>
        <v>GUSTAVO ADOLFO CARMONA ALARCON</v>
      </c>
      <c r="B11" s="92">
        <v>2</v>
      </c>
      <c r="C11" s="103">
        <v>35</v>
      </c>
      <c r="D11" s="103">
        <v>52</v>
      </c>
      <c r="E11" s="103" t="s">
        <v>347</v>
      </c>
      <c r="F11" s="103" t="s">
        <v>350</v>
      </c>
      <c r="G11" s="104">
        <v>5959.01</v>
      </c>
      <c r="H11" s="103" t="s">
        <v>352</v>
      </c>
      <c r="I11" s="105">
        <v>1</v>
      </c>
      <c r="J11" s="106" t="s">
        <v>353</v>
      </c>
      <c r="K11" s="103"/>
    </row>
    <row r="12" spans="1:14" s="93" customFormat="1" ht="31.5">
      <c r="A12" s="806"/>
      <c r="B12" s="92">
        <v>3</v>
      </c>
      <c r="C12" s="103">
        <v>78</v>
      </c>
      <c r="D12" s="103">
        <v>99</v>
      </c>
      <c r="E12" s="103" t="s">
        <v>348</v>
      </c>
      <c r="F12" s="103" t="s">
        <v>351</v>
      </c>
      <c r="G12" s="104">
        <v>2823.14</v>
      </c>
      <c r="H12" s="103" t="s">
        <v>352</v>
      </c>
      <c r="I12" s="105">
        <v>1</v>
      </c>
      <c r="J12" s="106" t="s">
        <v>354</v>
      </c>
      <c r="K12" s="103"/>
    </row>
    <row r="13" spans="1:14" s="93" customFormat="1" ht="17.25">
      <c r="A13" s="806"/>
      <c r="B13" s="92">
        <v>4</v>
      </c>
      <c r="C13" s="103"/>
      <c r="D13" s="103"/>
      <c r="E13" s="103"/>
      <c r="F13" s="103"/>
      <c r="G13" s="104"/>
      <c r="H13" s="103"/>
      <c r="I13" s="105"/>
      <c r="J13" s="106"/>
      <c r="K13" s="103"/>
    </row>
    <row r="14" spans="1:14" s="93" customFormat="1" ht="17.25">
      <c r="A14" s="806"/>
      <c r="B14" s="92">
        <v>5</v>
      </c>
      <c r="C14" s="103"/>
      <c r="D14" s="103"/>
      <c r="E14" s="103"/>
      <c r="F14" s="103"/>
      <c r="G14" s="104"/>
      <c r="H14" s="103"/>
      <c r="I14" s="105"/>
      <c r="J14" s="106"/>
      <c r="K14" s="103"/>
    </row>
    <row r="15" spans="1:14" s="93" customFormat="1" ht="15.75" customHeight="1">
      <c r="A15" s="806"/>
      <c r="B15" s="94"/>
      <c r="C15" s="793" t="s">
        <v>29</v>
      </c>
      <c r="D15" s="793"/>
      <c r="E15" s="793"/>
      <c r="F15" s="793"/>
      <c r="G15" s="95">
        <f>+SUM(G10*I10,G11*I11,G12*I12,G13*I13,G14*I14)</f>
        <v>12041.039999999999</v>
      </c>
      <c r="H15" s="816" t="str">
        <f>+IF(G16&gt;$C$6,"CUMPLE","NO CUMPLE")</f>
        <v>CUMPLE</v>
      </c>
      <c r="I15" s="816"/>
      <c r="J15" s="816"/>
      <c r="K15" s="816"/>
    </row>
    <row r="16" spans="1:14" s="93" customFormat="1" ht="15.75" customHeight="1">
      <c r="A16" s="807"/>
      <c r="B16" s="94"/>
      <c r="C16" s="793" t="s">
        <v>32</v>
      </c>
      <c r="D16" s="793"/>
      <c r="E16" s="793"/>
      <c r="F16" s="793"/>
      <c r="G16" s="96">
        <f>+G15/$K$6</f>
        <v>24.034011976047903</v>
      </c>
      <c r="H16" s="816"/>
      <c r="I16" s="816"/>
      <c r="J16" s="816"/>
      <c r="K16" s="816"/>
    </row>
    <row r="17" spans="1:13" ht="15.75">
      <c r="A17" s="85"/>
      <c r="B17" s="85"/>
      <c r="C17" s="85"/>
      <c r="D17" s="85"/>
      <c r="E17" s="85"/>
      <c r="F17" s="85"/>
      <c r="G17" s="85"/>
      <c r="H17" s="85"/>
      <c r="I17" s="85"/>
    </row>
    <row r="18" spans="1:13" s="69" customFormat="1" ht="18.75">
      <c r="A18" s="797" t="s">
        <v>21</v>
      </c>
      <c r="B18" s="797"/>
      <c r="C18" s="794" t="s">
        <v>42</v>
      </c>
      <c r="D18" s="795"/>
      <c r="E18" s="795"/>
      <c r="F18" s="795"/>
      <c r="G18" s="795"/>
      <c r="H18" s="795"/>
      <c r="I18" s="795"/>
      <c r="J18" s="796"/>
      <c r="K18" s="804" t="s">
        <v>19</v>
      </c>
      <c r="L18" s="62"/>
    </row>
    <row r="19" spans="1:13" s="69" customFormat="1" ht="70.5" customHeight="1">
      <c r="A19" s="797"/>
      <c r="B19" s="797"/>
      <c r="C19" s="90" t="s">
        <v>22</v>
      </c>
      <c r="D19" s="90" t="s">
        <v>23</v>
      </c>
      <c r="E19" s="90" t="s">
        <v>24</v>
      </c>
      <c r="F19" s="90" t="s">
        <v>25</v>
      </c>
      <c r="G19" s="90" t="s">
        <v>26</v>
      </c>
      <c r="H19" s="90" t="s">
        <v>27</v>
      </c>
      <c r="I19" s="90" t="s">
        <v>28</v>
      </c>
      <c r="J19" s="90" t="s">
        <v>91</v>
      </c>
      <c r="K19" s="805"/>
      <c r="L19" s="62"/>
    </row>
    <row r="20" spans="1:13" s="93" customFormat="1" ht="31.5">
      <c r="A20" s="91">
        <f>+IF(ENTREGA!A8="","",ENTREGA!A8)</f>
        <v>2</v>
      </c>
      <c r="B20" s="97">
        <v>1</v>
      </c>
      <c r="C20" s="103">
        <v>34</v>
      </c>
      <c r="D20" s="103">
        <v>39</v>
      </c>
      <c r="E20" s="103" t="s">
        <v>357</v>
      </c>
      <c r="F20" s="103" t="s">
        <v>362</v>
      </c>
      <c r="G20" s="104">
        <v>1333.63</v>
      </c>
      <c r="H20" s="103" t="s">
        <v>364</v>
      </c>
      <c r="I20" s="105">
        <v>0.5</v>
      </c>
      <c r="J20" s="106" t="s">
        <v>353</v>
      </c>
      <c r="K20" s="103"/>
    </row>
    <row r="21" spans="1:13" s="93" customFormat="1" ht="81.75" customHeight="1">
      <c r="A21" s="806" t="str">
        <f>IF(A20="","",VLOOKUP(A20,ENTREGA!$A$7:$B$16,2,FALSE))</f>
        <v>VERTICES INGENIERIA</v>
      </c>
      <c r="B21" s="97">
        <v>2</v>
      </c>
      <c r="C21" s="103">
        <v>51</v>
      </c>
      <c r="D21" s="103">
        <v>42</v>
      </c>
      <c r="E21" s="103" t="s">
        <v>358</v>
      </c>
      <c r="F21" s="103" t="s">
        <v>365</v>
      </c>
      <c r="G21" s="104">
        <v>2769.24</v>
      </c>
      <c r="H21" s="103" t="s">
        <v>364</v>
      </c>
      <c r="I21" s="105">
        <v>0.4</v>
      </c>
      <c r="J21" s="106" t="s">
        <v>353</v>
      </c>
      <c r="K21" s="103" t="s">
        <v>367</v>
      </c>
    </row>
    <row r="22" spans="1:13" s="93" customFormat="1" ht="85.5">
      <c r="A22" s="806"/>
      <c r="B22" s="97">
        <v>3</v>
      </c>
      <c r="C22" s="103">
        <v>52</v>
      </c>
      <c r="D22" s="103">
        <v>43</v>
      </c>
      <c r="E22" s="103" t="s">
        <v>359</v>
      </c>
      <c r="F22" s="103" t="s">
        <v>365</v>
      </c>
      <c r="G22" s="104">
        <v>1329.98</v>
      </c>
      <c r="H22" s="103" t="s">
        <v>364</v>
      </c>
      <c r="I22" s="105">
        <v>0.4</v>
      </c>
      <c r="J22" s="106" t="s">
        <v>353</v>
      </c>
      <c r="K22" s="103" t="s">
        <v>367</v>
      </c>
    </row>
    <row r="23" spans="1:13" s="93" customFormat="1" ht="31.5">
      <c r="A23" s="806"/>
      <c r="B23" s="97">
        <v>4</v>
      </c>
      <c r="C23" s="103">
        <v>59</v>
      </c>
      <c r="D23" s="103">
        <v>44</v>
      </c>
      <c r="E23" s="103" t="s">
        <v>360</v>
      </c>
      <c r="F23" s="103" t="s">
        <v>366</v>
      </c>
      <c r="G23" s="104">
        <v>408.03</v>
      </c>
      <c r="H23" s="103" t="s">
        <v>352</v>
      </c>
      <c r="I23" s="105">
        <v>1</v>
      </c>
      <c r="J23" s="106" t="s">
        <v>353</v>
      </c>
      <c r="K23" s="103"/>
    </row>
    <row r="24" spans="1:13" s="93" customFormat="1" ht="31.5">
      <c r="A24" s="806"/>
      <c r="B24" s="97">
        <v>5</v>
      </c>
      <c r="C24" s="103">
        <v>60</v>
      </c>
      <c r="D24" s="103">
        <v>45</v>
      </c>
      <c r="E24" s="103" t="s">
        <v>361</v>
      </c>
      <c r="F24" s="103" t="s">
        <v>363</v>
      </c>
      <c r="G24" s="104">
        <v>408.57</v>
      </c>
      <c r="H24" s="103" t="s">
        <v>352</v>
      </c>
      <c r="I24" s="105">
        <v>1</v>
      </c>
      <c r="J24" s="106" t="s">
        <v>353</v>
      </c>
      <c r="K24" s="103"/>
    </row>
    <row r="25" spans="1:13" s="93" customFormat="1" ht="15.75" customHeight="1">
      <c r="A25" s="806"/>
      <c r="B25" s="98"/>
      <c r="C25" s="793" t="s">
        <v>29</v>
      </c>
      <c r="D25" s="793"/>
      <c r="E25" s="793"/>
      <c r="F25" s="793"/>
      <c r="G25" s="95">
        <f>+SUM(G20*I20,G21*I21,G22*I22,G23*I23,G24*I24)</f>
        <v>3123.1030000000005</v>
      </c>
      <c r="H25" s="798" t="str">
        <f>+IF(G26&gt;$C$6,"CUMPLE","NO CUMPLE")</f>
        <v>CUMPLE</v>
      </c>
      <c r="I25" s="799"/>
      <c r="J25" s="799"/>
      <c r="K25" s="800"/>
    </row>
    <row r="26" spans="1:13" s="93" customFormat="1" ht="16.5" customHeight="1">
      <c r="A26" s="807"/>
      <c r="B26" s="98"/>
      <c r="C26" s="793" t="s">
        <v>32</v>
      </c>
      <c r="D26" s="793"/>
      <c r="E26" s="793"/>
      <c r="F26" s="793"/>
      <c r="G26" s="96">
        <f>+G25/$K$6</f>
        <v>6.2337385229540931</v>
      </c>
      <c r="H26" s="801"/>
      <c r="I26" s="802"/>
      <c r="J26" s="802"/>
      <c r="K26" s="803"/>
    </row>
    <row r="27" spans="1:13" ht="15.75">
      <c r="A27" s="85"/>
      <c r="B27" s="85"/>
      <c r="C27" s="85"/>
      <c r="D27" s="85"/>
      <c r="E27" s="85"/>
      <c r="F27" s="85"/>
      <c r="G27" s="85"/>
      <c r="H27" s="85"/>
      <c r="I27" s="85"/>
    </row>
    <row r="28" spans="1:13" s="69" customFormat="1" ht="18.75">
      <c r="A28" s="797" t="s">
        <v>21</v>
      </c>
      <c r="B28" s="797"/>
      <c r="C28" s="794" t="s">
        <v>42</v>
      </c>
      <c r="D28" s="795"/>
      <c r="E28" s="795"/>
      <c r="F28" s="795"/>
      <c r="G28" s="795"/>
      <c r="H28" s="795"/>
      <c r="I28" s="795"/>
      <c r="J28" s="796"/>
      <c r="K28" s="804" t="s">
        <v>19</v>
      </c>
      <c r="L28" s="62"/>
      <c r="M28" s="62"/>
    </row>
    <row r="29" spans="1:13" s="69" customFormat="1" ht="70.5" customHeight="1">
      <c r="A29" s="797"/>
      <c r="B29" s="797"/>
      <c r="C29" s="90" t="s">
        <v>22</v>
      </c>
      <c r="D29" s="90" t="s">
        <v>23</v>
      </c>
      <c r="E29" s="90" t="s">
        <v>24</v>
      </c>
      <c r="F29" s="90" t="s">
        <v>25</v>
      </c>
      <c r="G29" s="90" t="s">
        <v>26</v>
      </c>
      <c r="H29" s="90" t="s">
        <v>27</v>
      </c>
      <c r="I29" s="90" t="s">
        <v>28</v>
      </c>
      <c r="J29" s="90" t="s">
        <v>91</v>
      </c>
      <c r="K29" s="805"/>
      <c r="L29" s="62"/>
      <c r="M29" s="62"/>
    </row>
    <row r="30" spans="1:13" s="93" customFormat="1" ht="31.5">
      <c r="A30" s="91">
        <f>+IF(ENTREGA!A9="","",ENTREGA!A9)</f>
        <v>3</v>
      </c>
      <c r="B30" s="97">
        <v>1</v>
      </c>
      <c r="C30" s="103">
        <v>11</v>
      </c>
      <c r="D30" s="103">
        <v>23</v>
      </c>
      <c r="E30" s="103" t="s">
        <v>368</v>
      </c>
      <c r="F30" s="103" t="s">
        <v>369</v>
      </c>
      <c r="G30" s="104">
        <v>8663.2099999999991</v>
      </c>
      <c r="H30" s="103" t="s">
        <v>364</v>
      </c>
      <c r="I30" s="105">
        <v>0.2</v>
      </c>
      <c r="J30" s="106" t="s">
        <v>353</v>
      </c>
      <c r="K30" s="103"/>
    </row>
    <row r="31" spans="1:13" s="93" customFormat="1" ht="31.5">
      <c r="A31" s="806" t="str">
        <f>IF(A30="","",VLOOKUP(A30,ENTREGA!$A$7:$B$16,2,FALSE))</f>
        <v>INGENIERIA DE ALTURA S.A.S</v>
      </c>
      <c r="B31" s="97">
        <v>2</v>
      </c>
      <c r="C31" s="103">
        <v>4</v>
      </c>
      <c r="D31" s="103">
        <v>49</v>
      </c>
      <c r="E31" s="103">
        <v>4600004631</v>
      </c>
      <c r="F31" s="103" t="s">
        <v>370</v>
      </c>
      <c r="G31" s="104">
        <v>1249.83</v>
      </c>
      <c r="H31" s="103" t="s">
        <v>364</v>
      </c>
      <c r="I31" s="105">
        <v>0.5</v>
      </c>
      <c r="J31" s="106" t="s">
        <v>353</v>
      </c>
      <c r="K31" s="103"/>
    </row>
    <row r="32" spans="1:13" s="93" customFormat="1" ht="31.5">
      <c r="A32" s="806"/>
      <c r="B32" s="97">
        <v>3</v>
      </c>
      <c r="C32" s="103">
        <v>2</v>
      </c>
      <c r="D32" s="103">
        <v>45</v>
      </c>
      <c r="E32" s="103">
        <v>4600004572</v>
      </c>
      <c r="F32" s="103" t="s">
        <v>370</v>
      </c>
      <c r="G32" s="104">
        <v>1279.96</v>
      </c>
      <c r="H32" s="103" t="s">
        <v>364</v>
      </c>
      <c r="I32" s="105">
        <v>0.5</v>
      </c>
      <c r="J32" s="106" t="s">
        <v>353</v>
      </c>
      <c r="K32" s="103"/>
    </row>
    <row r="33" spans="1:13" s="93" customFormat="1" ht="31.5">
      <c r="A33" s="806"/>
      <c r="B33" s="97">
        <v>4</v>
      </c>
      <c r="C33" s="103">
        <v>1</v>
      </c>
      <c r="D33" s="103">
        <v>11</v>
      </c>
      <c r="E33" s="103">
        <v>4600003247</v>
      </c>
      <c r="F33" s="103" t="s">
        <v>370</v>
      </c>
      <c r="G33" s="104">
        <v>528.9</v>
      </c>
      <c r="H33" s="103" t="s">
        <v>352</v>
      </c>
      <c r="I33" s="105">
        <v>1</v>
      </c>
      <c r="J33" s="106" t="s">
        <v>353</v>
      </c>
      <c r="K33" s="103"/>
    </row>
    <row r="34" spans="1:13" s="93" customFormat="1" ht="17.25" customHeight="1">
      <c r="A34" s="806"/>
      <c r="B34" s="97">
        <v>5</v>
      </c>
      <c r="C34" s="103"/>
      <c r="D34" s="103"/>
      <c r="E34" s="103"/>
      <c r="F34" s="103"/>
      <c r="G34" s="104"/>
      <c r="H34" s="103"/>
      <c r="I34" s="105"/>
      <c r="J34" s="106"/>
      <c r="K34" s="103"/>
    </row>
    <row r="35" spans="1:13" s="93" customFormat="1" ht="18" customHeight="1">
      <c r="A35" s="806"/>
      <c r="B35" s="98"/>
      <c r="C35" s="793" t="s">
        <v>29</v>
      </c>
      <c r="D35" s="793"/>
      <c r="E35" s="793"/>
      <c r="F35" s="793"/>
      <c r="G35" s="95">
        <f>+SUM(G30*I30,G31*I31,G32*I32,G33*I33,G34*I34)</f>
        <v>3526.4369999999999</v>
      </c>
      <c r="H35" s="798" t="str">
        <f>+IF(G36&gt;$C$6,"CUMPLE","NO CUMPLE")</f>
        <v>CUMPLE</v>
      </c>
      <c r="I35" s="799"/>
      <c r="J35" s="799"/>
      <c r="K35" s="800"/>
    </row>
    <row r="36" spans="1:13" s="93" customFormat="1" ht="16.5" customHeight="1">
      <c r="A36" s="807"/>
      <c r="B36" s="98"/>
      <c r="C36" s="793" t="s">
        <v>32</v>
      </c>
      <c r="D36" s="793"/>
      <c r="E36" s="793"/>
      <c r="F36" s="793"/>
      <c r="G36" s="96">
        <f>+G35/$K$6</f>
        <v>7.0387964071856288</v>
      </c>
      <c r="H36" s="801"/>
      <c r="I36" s="802"/>
      <c r="J36" s="802"/>
      <c r="K36" s="803"/>
    </row>
    <row r="37" spans="1:13" ht="15.75">
      <c r="A37" s="85"/>
      <c r="B37" s="85"/>
      <c r="C37" s="85"/>
      <c r="D37" s="85"/>
      <c r="E37" s="85"/>
      <c r="F37" s="85"/>
      <c r="G37" s="85"/>
      <c r="H37" s="85"/>
      <c r="I37" s="85"/>
    </row>
    <row r="38" spans="1:13" s="69" customFormat="1" ht="18.75">
      <c r="A38" s="797" t="s">
        <v>21</v>
      </c>
      <c r="B38" s="797"/>
      <c r="C38" s="794" t="s">
        <v>42</v>
      </c>
      <c r="D38" s="795"/>
      <c r="E38" s="795"/>
      <c r="F38" s="795"/>
      <c r="G38" s="795"/>
      <c r="H38" s="795"/>
      <c r="I38" s="795"/>
      <c r="J38" s="796"/>
      <c r="K38" s="804" t="s">
        <v>19</v>
      </c>
      <c r="L38" s="62"/>
      <c r="M38" s="62"/>
    </row>
    <row r="39" spans="1:13" s="69" customFormat="1" ht="70.5" customHeight="1">
      <c r="A39" s="797"/>
      <c r="B39" s="797"/>
      <c r="C39" s="90" t="s">
        <v>22</v>
      </c>
      <c r="D39" s="90" t="s">
        <v>23</v>
      </c>
      <c r="E39" s="90" t="s">
        <v>24</v>
      </c>
      <c r="F39" s="90" t="s">
        <v>25</v>
      </c>
      <c r="G39" s="90" t="s">
        <v>26</v>
      </c>
      <c r="H39" s="90" t="s">
        <v>27</v>
      </c>
      <c r="I39" s="90" t="s">
        <v>28</v>
      </c>
      <c r="J39" s="90" t="s">
        <v>91</v>
      </c>
      <c r="K39" s="805"/>
      <c r="L39" s="62"/>
      <c r="M39" s="62"/>
    </row>
    <row r="40" spans="1:13" s="93" customFormat="1" ht="57">
      <c r="A40" s="91">
        <f>+IF(ENTREGA!A10="","",ENTREGA!A10)</f>
        <v>4</v>
      </c>
      <c r="B40" s="97">
        <v>1</v>
      </c>
      <c r="C40" s="103">
        <v>33</v>
      </c>
      <c r="D40" s="103">
        <v>121</v>
      </c>
      <c r="E40" s="103" t="s">
        <v>371</v>
      </c>
      <c r="F40" s="103" t="s">
        <v>372</v>
      </c>
      <c r="G40" s="405"/>
      <c r="H40" s="103" t="s">
        <v>373</v>
      </c>
      <c r="I40" s="105">
        <v>0.3</v>
      </c>
      <c r="J40" s="106" t="s">
        <v>353</v>
      </c>
      <c r="K40" s="103" t="s">
        <v>388</v>
      </c>
    </row>
    <row r="41" spans="1:13" s="93" customFormat="1" ht="57">
      <c r="A41" s="806" t="str">
        <f>IF(A40="","",VLOOKUP(A40,ENTREGA!$A$7:$B$16,2,FALSE))</f>
        <v>URBANICO S.A.S</v>
      </c>
      <c r="B41" s="97">
        <v>2</v>
      </c>
      <c r="C41" s="103">
        <v>40</v>
      </c>
      <c r="D41" s="103">
        <v>148</v>
      </c>
      <c r="E41" s="103" t="s">
        <v>374</v>
      </c>
      <c r="F41" s="103" t="s">
        <v>375</v>
      </c>
      <c r="G41" s="405"/>
      <c r="H41" s="103" t="s">
        <v>352</v>
      </c>
      <c r="I41" s="105">
        <v>1</v>
      </c>
      <c r="J41" s="106" t="s">
        <v>353</v>
      </c>
      <c r="K41" s="103" t="s">
        <v>388</v>
      </c>
    </row>
    <row r="42" spans="1:13" s="93" customFormat="1" ht="31.5">
      <c r="A42" s="806"/>
      <c r="B42" s="97">
        <v>3</v>
      </c>
      <c r="C42" s="103">
        <v>46</v>
      </c>
      <c r="D42" s="103">
        <v>174</v>
      </c>
      <c r="E42" s="103">
        <v>4600055292</v>
      </c>
      <c r="F42" s="103" t="s">
        <v>349</v>
      </c>
      <c r="G42" s="104">
        <v>1455.78</v>
      </c>
      <c r="H42" s="103" t="s">
        <v>352</v>
      </c>
      <c r="I42" s="105">
        <v>1</v>
      </c>
      <c r="J42" s="106" t="s">
        <v>353</v>
      </c>
      <c r="K42" s="103"/>
    </row>
    <row r="43" spans="1:13" s="93" customFormat="1" ht="31.5">
      <c r="A43" s="806"/>
      <c r="B43" s="97">
        <v>4</v>
      </c>
      <c r="C43" s="103">
        <v>51</v>
      </c>
      <c r="D43" s="103">
        <v>185</v>
      </c>
      <c r="E43" s="103" t="s">
        <v>376</v>
      </c>
      <c r="F43" s="103" t="s">
        <v>370</v>
      </c>
      <c r="G43" s="104">
        <v>236.59</v>
      </c>
      <c r="H43" s="103" t="s">
        <v>352</v>
      </c>
      <c r="I43" s="105">
        <v>1</v>
      </c>
      <c r="J43" s="106" t="s">
        <v>353</v>
      </c>
      <c r="K43" s="103"/>
    </row>
    <row r="44" spans="1:13" s="93" customFormat="1" ht="31.5">
      <c r="A44" s="806"/>
      <c r="B44" s="97">
        <v>5</v>
      </c>
      <c r="C44" s="103">
        <v>56</v>
      </c>
      <c r="D44" s="103">
        <v>209</v>
      </c>
      <c r="E44" s="103">
        <v>4600061427</v>
      </c>
      <c r="F44" s="103" t="s">
        <v>377</v>
      </c>
      <c r="G44" s="104">
        <v>1686.4</v>
      </c>
      <c r="H44" s="103" t="s">
        <v>373</v>
      </c>
      <c r="I44" s="105">
        <v>0.5</v>
      </c>
      <c r="J44" s="106" t="s">
        <v>353</v>
      </c>
      <c r="K44" s="103"/>
    </row>
    <row r="45" spans="1:13" s="93" customFormat="1" ht="15.75" customHeight="1">
      <c r="A45" s="806"/>
      <c r="B45" s="98"/>
      <c r="C45" s="793" t="s">
        <v>29</v>
      </c>
      <c r="D45" s="793"/>
      <c r="E45" s="793"/>
      <c r="F45" s="793"/>
      <c r="G45" s="95">
        <f>+SUM(G40*I40,G41*I41,G42*I42,G43*I43,G44*I44)</f>
        <v>2535.5699999999997</v>
      </c>
      <c r="H45" s="798" t="str">
        <f>+IF(G46&gt;$C$6,"CUMPLE","NO CUMPLE")</f>
        <v>CUMPLE</v>
      </c>
      <c r="I45" s="799"/>
      <c r="J45" s="799"/>
      <c r="K45" s="800"/>
    </row>
    <row r="46" spans="1:13" s="93" customFormat="1" ht="15.75" customHeight="1">
      <c r="A46" s="807"/>
      <c r="B46" s="98"/>
      <c r="C46" s="793" t="s">
        <v>32</v>
      </c>
      <c r="D46" s="793"/>
      <c r="E46" s="793"/>
      <c r="F46" s="793"/>
      <c r="G46" s="96">
        <f>+G45/$K$6</f>
        <v>5.0610179640718558</v>
      </c>
      <c r="H46" s="801"/>
      <c r="I46" s="802"/>
      <c r="J46" s="802"/>
      <c r="K46" s="803"/>
    </row>
    <row r="47" spans="1:13" ht="15.75">
      <c r="A47" s="85"/>
      <c r="B47" s="85"/>
      <c r="C47" s="85"/>
      <c r="D47" s="85"/>
      <c r="E47" s="85"/>
      <c r="F47" s="85"/>
      <c r="G47" s="85"/>
      <c r="H47" s="85"/>
      <c r="I47" s="85"/>
    </row>
    <row r="48" spans="1:13" s="69" customFormat="1" ht="18.75">
      <c r="A48" s="797" t="s">
        <v>21</v>
      </c>
      <c r="B48" s="797"/>
      <c r="C48" s="794" t="s">
        <v>42</v>
      </c>
      <c r="D48" s="795"/>
      <c r="E48" s="795"/>
      <c r="F48" s="795"/>
      <c r="G48" s="795"/>
      <c r="H48" s="795"/>
      <c r="I48" s="795"/>
      <c r="J48" s="796"/>
      <c r="K48" s="804" t="s">
        <v>19</v>
      </c>
      <c r="L48" s="62"/>
      <c r="M48" s="62"/>
    </row>
    <row r="49" spans="1:13" s="69" customFormat="1" ht="70.5" customHeight="1">
      <c r="A49" s="797"/>
      <c r="B49" s="797"/>
      <c r="C49" s="90" t="s">
        <v>22</v>
      </c>
      <c r="D49" s="90" t="s">
        <v>23</v>
      </c>
      <c r="E49" s="90" t="s">
        <v>24</v>
      </c>
      <c r="F49" s="90" t="s">
        <v>25</v>
      </c>
      <c r="G49" s="90" t="s">
        <v>26</v>
      </c>
      <c r="H49" s="90" t="s">
        <v>27</v>
      </c>
      <c r="I49" s="90" t="s">
        <v>28</v>
      </c>
      <c r="J49" s="90" t="s">
        <v>91</v>
      </c>
      <c r="K49" s="805"/>
      <c r="L49" s="62"/>
      <c r="M49" s="62"/>
    </row>
    <row r="50" spans="1:13" s="93" customFormat="1" ht="31.5">
      <c r="A50" s="91">
        <f>+IF(ENTREGA!A11="","",ENTREGA!A11)</f>
        <v>5</v>
      </c>
      <c r="B50" s="97">
        <v>1</v>
      </c>
      <c r="C50" s="103">
        <v>23</v>
      </c>
      <c r="D50" s="103">
        <v>24</v>
      </c>
      <c r="E50" s="103" t="s">
        <v>643</v>
      </c>
      <c r="F50" s="103" t="s">
        <v>645</v>
      </c>
      <c r="G50" s="104">
        <v>2764.49</v>
      </c>
      <c r="H50" s="103" t="s">
        <v>364</v>
      </c>
      <c r="I50" s="105">
        <v>0.5</v>
      </c>
      <c r="J50" s="106" t="s">
        <v>380</v>
      </c>
      <c r="K50" s="103"/>
    </row>
    <row r="51" spans="1:13" s="93" customFormat="1" ht="31.5">
      <c r="A51" s="806" t="str">
        <f>IF(A50="","",VLOOKUP(A50,ENTREGA!$A$7:$B$16,2,FALSE))</f>
        <v>LUIS ENRIQUE OYOLA QUINTERO</v>
      </c>
      <c r="B51" s="97">
        <v>2</v>
      </c>
      <c r="C51" s="103">
        <v>45</v>
      </c>
      <c r="D51" s="103">
        <v>114</v>
      </c>
      <c r="E51" s="103" t="s">
        <v>378</v>
      </c>
      <c r="F51" s="103" t="s">
        <v>379</v>
      </c>
      <c r="G51" s="104">
        <v>770.15</v>
      </c>
      <c r="H51" s="103" t="s">
        <v>364</v>
      </c>
      <c r="I51" s="105">
        <v>0.95</v>
      </c>
      <c r="J51" s="106" t="s">
        <v>380</v>
      </c>
      <c r="K51" s="103"/>
    </row>
    <row r="52" spans="1:13" s="93" customFormat="1" ht="31.5">
      <c r="A52" s="806"/>
      <c r="B52" s="97">
        <v>3</v>
      </c>
      <c r="C52" s="103">
        <v>58</v>
      </c>
      <c r="D52" s="103">
        <v>58</v>
      </c>
      <c r="E52" s="103" t="s">
        <v>644</v>
      </c>
      <c r="F52" s="103" t="s">
        <v>646</v>
      </c>
      <c r="G52" s="104">
        <v>441.17</v>
      </c>
      <c r="H52" s="103" t="s">
        <v>364</v>
      </c>
      <c r="I52" s="105">
        <v>0.5</v>
      </c>
      <c r="J52" s="106" t="s">
        <v>380</v>
      </c>
      <c r="K52" s="103"/>
    </row>
    <row r="53" spans="1:13" s="93" customFormat="1" ht="17.25">
      <c r="A53" s="806"/>
      <c r="B53" s="97">
        <v>4</v>
      </c>
      <c r="C53" s="103"/>
      <c r="D53" s="103"/>
      <c r="E53" s="103"/>
      <c r="F53" s="103"/>
      <c r="G53" s="104"/>
      <c r="H53" s="103"/>
      <c r="I53" s="105"/>
      <c r="J53" s="106"/>
      <c r="K53" s="103"/>
    </row>
    <row r="54" spans="1:13" s="93" customFormat="1" ht="17.25">
      <c r="A54" s="806"/>
      <c r="B54" s="97">
        <v>5</v>
      </c>
      <c r="C54" s="103"/>
      <c r="D54" s="103"/>
      <c r="E54" s="103"/>
      <c r="F54" s="103"/>
      <c r="G54" s="104"/>
      <c r="H54" s="103"/>
      <c r="I54" s="105"/>
      <c r="J54" s="106"/>
      <c r="K54" s="103"/>
    </row>
    <row r="55" spans="1:13" s="93" customFormat="1" ht="15.75" customHeight="1">
      <c r="A55" s="806"/>
      <c r="B55" s="98"/>
      <c r="C55" s="793" t="s">
        <v>29</v>
      </c>
      <c r="D55" s="793"/>
      <c r="E55" s="793"/>
      <c r="F55" s="793"/>
      <c r="G55" s="95">
        <f>+SUM(G50*I50,G51*I51,G52*I52,G53*I53,G54*I54)</f>
        <v>2334.4724999999999</v>
      </c>
      <c r="H55" s="798" t="str">
        <f>+IF(G56&gt;$C$6,"CUMPLE","NO CUMPLE")</f>
        <v>CUMPLE</v>
      </c>
      <c r="I55" s="799"/>
      <c r="J55" s="799"/>
      <c r="K55" s="800"/>
    </row>
    <row r="56" spans="1:13" s="93" customFormat="1" ht="16.5" customHeight="1">
      <c r="A56" s="807"/>
      <c r="B56" s="98"/>
      <c r="C56" s="793" t="s">
        <v>32</v>
      </c>
      <c r="D56" s="793"/>
      <c r="E56" s="793"/>
      <c r="F56" s="793"/>
      <c r="G56" s="96">
        <f>+G55/$K$6</f>
        <v>4.6596257485029939</v>
      </c>
      <c r="H56" s="801"/>
      <c r="I56" s="802"/>
      <c r="J56" s="802"/>
      <c r="K56" s="803"/>
    </row>
    <row r="57" spans="1:13" ht="15.75">
      <c r="A57" s="85"/>
      <c r="B57" s="85"/>
      <c r="C57" s="85"/>
      <c r="D57" s="85"/>
      <c r="E57" s="85"/>
      <c r="F57" s="85"/>
      <c r="G57" s="85"/>
      <c r="H57" s="85"/>
      <c r="I57" s="85"/>
    </row>
    <row r="58" spans="1:13" s="69" customFormat="1" ht="18.75">
      <c r="A58" s="797" t="s">
        <v>21</v>
      </c>
      <c r="B58" s="797"/>
      <c r="C58" s="794" t="s">
        <v>42</v>
      </c>
      <c r="D58" s="795"/>
      <c r="E58" s="795"/>
      <c r="F58" s="795"/>
      <c r="G58" s="795"/>
      <c r="H58" s="795"/>
      <c r="I58" s="795"/>
      <c r="J58" s="796"/>
      <c r="K58" s="804" t="s">
        <v>19</v>
      </c>
      <c r="L58" s="62"/>
    </row>
    <row r="59" spans="1:13" s="69" customFormat="1" ht="70.5" customHeight="1">
      <c r="A59" s="797"/>
      <c r="B59" s="797"/>
      <c r="C59" s="90" t="s">
        <v>22</v>
      </c>
      <c r="D59" s="90" t="s">
        <v>23</v>
      </c>
      <c r="E59" s="90" t="s">
        <v>24</v>
      </c>
      <c r="F59" s="90" t="s">
        <v>25</v>
      </c>
      <c r="G59" s="90" t="s">
        <v>26</v>
      </c>
      <c r="H59" s="90" t="s">
        <v>27</v>
      </c>
      <c r="I59" s="90" t="s">
        <v>28</v>
      </c>
      <c r="J59" s="90" t="s">
        <v>91</v>
      </c>
      <c r="K59" s="805"/>
      <c r="L59" s="62"/>
    </row>
    <row r="60" spans="1:13" s="93" customFormat="1" ht="57">
      <c r="A60" s="91">
        <f>+IF(ENTREGA!A12="","",ENTREGA!A12)</f>
        <v>6</v>
      </c>
      <c r="B60" s="97">
        <v>1</v>
      </c>
      <c r="C60" s="103">
        <v>31</v>
      </c>
      <c r="D60" s="103">
        <v>33</v>
      </c>
      <c r="E60" s="103" t="s">
        <v>381</v>
      </c>
      <c r="F60" s="103" t="s">
        <v>370</v>
      </c>
      <c r="G60" s="405"/>
      <c r="H60" s="103" t="s">
        <v>364</v>
      </c>
      <c r="I60" s="105">
        <v>0.25</v>
      </c>
      <c r="J60" s="106" t="s">
        <v>353</v>
      </c>
      <c r="K60" s="103" t="s">
        <v>388</v>
      </c>
    </row>
    <row r="61" spans="1:13" s="93" customFormat="1" ht="57">
      <c r="A61" s="806" t="str">
        <f>IF(A60="","",VLOOKUP(A60,ENTREGA!$A$7:$B$16,2,FALSE))</f>
        <v>INGAP S.A.S</v>
      </c>
      <c r="B61" s="97">
        <v>2</v>
      </c>
      <c r="C61" s="103">
        <v>32</v>
      </c>
      <c r="D61" s="103">
        <v>34</v>
      </c>
      <c r="E61" s="103" t="s">
        <v>382</v>
      </c>
      <c r="F61" s="103" t="s">
        <v>370</v>
      </c>
      <c r="G61" s="405"/>
      <c r="H61" s="103" t="s">
        <v>364</v>
      </c>
      <c r="I61" s="105">
        <v>0.75</v>
      </c>
      <c r="J61" s="106" t="s">
        <v>353</v>
      </c>
      <c r="K61" s="103" t="s">
        <v>388</v>
      </c>
    </row>
    <row r="62" spans="1:13" s="93" customFormat="1" ht="31.5">
      <c r="A62" s="806"/>
      <c r="B62" s="97">
        <v>3</v>
      </c>
      <c r="C62" s="103">
        <v>85</v>
      </c>
      <c r="D62" s="103">
        <v>78</v>
      </c>
      <c r="E62" s="103" t="s">
        <v>383</v>
      </c>
      <c r="F62" s="103" t="s">
        <v>385</v>
      </c>
      <c r="G62" s="104">
        <v>2068.1799999999998</v>
      </c>
      <c r="H62" s="103" t="s">
        <v>373</v>
      </c>
      <c r="I62" s="406">
        <v>0.28299999999999997</v>
      </c>
      <c r="J62" s="106" t="s">
        <v>353</v>
      </c>
      <c r="K62" s="103"/>
    </row>
    <row r="63" spans="1:13" s="93" customFormat="1" ht="17.25">
      <c r="A63" s="806"/>
      <c r="B63" s="97">
        <v>4</v>
      </c>
      <c r="C63" s="103">
        <v>94</v>
      </c>
      <c r="D63" s="103">
        <v>84</v>
      </c>
      <c r="E63" s="103" t="s">
        <v>384</v>
      </c>
      <c r="F63" s="103" t="s">
        <v>386</v>
      </c>
      <c r="G63" s="104">
        <v>1448.96</v>
      </c>
      <c r="H63" s="103" t="s">
        <v>352</v>
      </c>
      <c r="I63" s="105">
        <v>1</v>
      </c>
      <c r="J63" s="106" t="s">
        <v>387</v>
      </c>
      <c r="K63" s="103"/>
    </row>
    <row r="64" spans="1:13" s="93" customFormat="1" ht="17.25">
      <c r="A64" s="806"/>
      <c r="B64" s="97">
        <v>5</v>
      </c>
      <c r="C64" s="103"/>
      <c r="D64" s="103"/>
      <c r="E64" s="103"/>
      <c r="F64" s="103"/>
      <c r="G64" s="104"/>
      <c r="H64" s="103"/>
      <c r="I64" s="105"/>
      <c r="J64" s="106"/>
      <c r="K64" s="103"/>
    </row>
    <row r="65" spans="1:13" s="93" customFormat="1" ht="15.75" customHeight="1">
      <c r="A65" s="806"/>
      <c r="B65" s="98"/>
      <c r="C65" s="793" t="s">
        <v>29</v>
      </c>
      <c r="D65" s="793"/>
      <c r="E65" s="793"/>
      <c r="F65" s="793"/>
      <c r="G65" s="95">
        <f>+SUM(G60*I60,G61*I61,G62*I62,G63*I63,G64*I64)</f>
        <v>2034.2549399999998</v>
      </c>
      <c r="H65" s="798" t="str">
        <f>+IF(G66&gt;$C$6,"CUMPLE","NO CUMPLE")</f>
        <v>CUMPLE</v>
      </c>
      <c r="I65" s="799"/>
      <c r="J65" s="799"/>
      <c r="K65" s="800"/>
    </row>
    <row r="66" spans="1:13" s="93" customFormat="1" ht="16.5" customHeight="1">
      <c r="A66" s="807"/>
      <c r="B66" s="98"/>
      <c r="C66" s="793" t="s">
        <v>32</v>
      </c>
      <c r="D66" s="793"/>
      <c r="E66" s="793"/>
      <c r="F66" s="793"/>
      <c r="G66" s="96">
        <f>+G65/$K$6</f>
        <v>4.0603891017964067</v>
      </c>
      <c r="H66" s="801"/>
      <c r="I66" s="802"/>
      <c r="J66" s="802"/>
      <c r="K66" s="803"/>
    </row>
    <row r="67" spans="1:13" ht="15.75">
      <c r="A67" s="85"/>
      <c r="B67" s="85"/>
      <c r="C67" s="85"/>
      <c r="D67" s="85"/>
      <c r="E67" s="85"/>
      <c r="F67" s="85"/>
      <c r="G67" s="85"/>
      <c r="H67" s="85"/>
      <c r="I67" s="85"/>
    </row>
    <row r="68" spans="1:13" s="69" customFormat="1" ht="18.75">
      <c r="A68" s="797" t="s">
        <v>21</v>
      </c>
      <c r="B68" s="797"/>
      <c r="C68" s="794" t="s">
        <v>42</v>
      </c>
      <c r="D68" s="795"/>
      <c r="E68" s="795"/>
      <c r="F68" s="795"/>
      <c r="G68" s="795"/>
      <c r="H68" s="795"/>
      <c r="I68" s="795"/>
      <c r="J68" s="796"/>
      <c r="K68" s="804" t="s">
        <v>19</v>
      </c>
      <c r="L68" s="62"/>
      <c r="M68" s="62"/>
    </row>
    <row r="69" spans="1:13" s="69" customFormat="1" ht="70.5" customHeight="1">
      <c r="A69" s="797"/>
      <c r="B69" s="797"/>
      <c r="C69" s="90" t="s">
        <v>22</v>
      </c>
      <c r="D69" s="90" t="s">
        <v>23</v>
      </c>
      <c r="E69" s="90" t="s">
        <v>24</v>
      </c>
      <c r="F69" s="90" t="s">
        <v>25</v>
      </c>
      <c r="G69" s="90" t="s">
        <v>26</v>
      </c>
      <c r="H69" s="90" t="s">
        <v>27</v>
      </c>
      <c r="I69" s="90" t="s">
        <v>28</v>
      </c>
      <c r="J69" s="90" t="s">
        <v>91</v>
      </c>
      <c r="K69" s="805"/>
      <c r="L69" s="62"/>
      <c r="M69" s="62"/>
    </row>
    <row r="70" spans="1:13" s="93" customFormat="1" ht="57">
      <c r="A70" s="91">
        <f>+IF(ENTREGA!A13="","",ENTREGA!A13)</f>
        <v>7</v>
      </c>
      <c r="B70" s="97">
        <v>1</v>
      </c>
      <c r="C70" s="103">
        <v>2</v>
      </c>
      <c r="D70" s="103">
        <v>43</v>
      </c>
      <c r="E70" s="103" t="s">
        <v>389</v>
      </c>
      <c r="F70" s="103" t="s">
        <v>395</v>
      </c>
      <c r="G70" s="405"/>
      <c r="H70" s="103" t="s">
        <v>352</v>
      </c>
      <c r="I70" s="105">
        <v>1</v>
      </c>
      <c r="J70" s="106" t="s">
        <v>353</v>
      </c>
      <c r="K70" s="103" t="s">
        <v>388</v>
      </c>
    </row>
    <row r="71" spans="1:13" s="93" customFormat="1" ht="27.75" customHeight="1">
      <c r="A71" s="806" t="str">
        <f>IF(A70="","",VLOOKUP(A70,ENTREGA!$A$7:$B$16,2,FALSE))</f>
        <v>GUSTAVO ENRIQUE CARDONA VERGARA</v>
      </c>
      <c r="B71" s="97">
        <v>2</v>
      </c>
      <c r="C71" s="103">
        <v>42</v>
      </c>
      <c r="D71" s="103">
        <v>169</v>
      </c>
      <c r="E71" s="103" t="s">
        <v>390</v>
      </c>
      <c r="F71" s="103" t="s">
        <v>393</v>
      </c>
      <c r="G71" s="104">
        <v>4860.49</v>
      </c>
      <c r="H71" s="103" t="s">
        <v>364</v>
      </c>
      <c r="I71" s="105">
        <v>0.9</v>
      </c>
      <c r="J71" s="106" t="s">
        <v>353</v>
      </c>
      <c r="K71" s="103"/>
    </row>
    <row r="72" spans="1:13" s="93" customFormat="1" ht="37.5" customHeight="1">
      <c r="A72" s="806"/>
      <c r="B72" s="97">
        <v>3</v>
      </c>
      <c r="C72" s="103">
        <v>43</v>
      </c>
      <c r="D72" s="103">
        <v>176</v>
      </c>
      <c r="E72" s="103" t="s">
        <v>391</v>
      </c>
      <c r="F72" s="103" t="s">
        <v>393</v>
      </c>
      <c r="G72" s="104">
        <v>1164.7</v>
      </c>
      <c r="H72" s="103" t="s">
        <v>352</v>
      </c>
      <c r="I72" s="105">
        <v>1</v>
      </c>
      <c r="J72" s="106" t="s">
        <v>353</v>
      </c>
      <c r="K72" s="103"/>
    </row>
    <row r="73" spans="1:13" s="93" customFormat="1" ht="31.5">
      <c r="A73" s="806"/>
      <c r="B73" s="97">
        <v>4</v>
      </c>
      <c r="C73" s="103">
        <v>50</v>
      </c>
      <c r="D73" s="103">
        <v>229</v>
      </c>
      <c r="E73" s="103" t="s">
        <v>392</v>
      </c>
      <c r="F73" s="103" t="s">
        <v>394</v>
      </c>
      <c r="G73" s="104">
        <v>1813.05</v>
      </c>
      <c r="H73" s="103" t="s">
        <v>364</v>
      </c>
      <c r="I73" s="105">
        <v>0.05</v>
      </c>
      <c r="J73" s="106" t="s">
        <v>353</v>
      </c>
      <c r="K73" s="103"/>
    </row>
    <row r="74" spans="1:13" s="93" customFormat="1" ht="17.25">
      <c r="A74" s="806"/>
      <c r="B74" s="97">
        <v>5</v>
      </c>
      <c r="C74" s="103"/>
      <c r="D74" s="103"/>
      <c r="E74" s="103"/>
      <c r="F74" s="103"/>
      <c r="G74" s="104"/>
      <c r="H74" s="103"/>
      <c r="I74" s="105"/>
      <c r="J74" s="106"/>
      <c r="K74" s="103"/>
    </row>
    <row r="75" spans="1:13" s="93" customFormat="1" ht="15.75" customHeight="1">
      <c r="A75" s="806"/>
      <c r="B75" s="98"/>
      <c r="C75" s="793" t="s">
        <v>29</v>
      </c>
      <c r="D75" s="793"/>
      <c r="E75" s="793"/>
      <c r="F75" s="793"/>
      <c r="G75" s="95">
        <f>+SUM(G70*I70,G71*I71,G72*I72,G73*I73,G74*I74)</f>
        <v>5629.7934999999998</v>
      </c>
      <c r="H75" s="798" t="str">
        <f>+IF(G76&gt;$C$6,"CUMPLE","NO CUMPLE")</f>
        <v>CUMPLE</v>
      </c>
      <c r="I75" s="799"/>
      <c r="J75" s="799"/>
      <c r="K75" s="800"/>
    </row>
    <row r="76" spans="1:13" s="93" customFormat="1" ht="16.5" customHeight="1">
      <c r="A76" s="807"/>
      <c r="B76" s="98"/>
      <c r="C76" s="793" t="s">
        <v>32</v>
      </c>
      <c r="D76" s="793"/>
      <c r="E76" s="793"/>
      <c r="F76" s="793"/>
      <c r="G76" s="96">
        <f>+G75/$K$6</f>
        <v>11.237112774451097</v>
      </c>
      <c r="H76" s="801"/>
      <c r="I76" s="802"/>
      <c r="J76" s="802"/>
      <c r="K76" s="803"/>
    </row>
    <row r="77" spans="1:13" ht="15.75">
      <c r="A77" s="85"/>
      <c r="B77" s="85"/>
      <c r="C77" s="85"/>
      <c r="D77" s="85"/>
      <c r="E77" s="85"/>
      <c r="F77" s="85"/>
      <c r="G77" s="85"/>
      <c r="H77" s="85"/>
      <c r="I77" s="85"/>
    </row>
    <row r="78" spans="1:13" s="69" customFormat="1" ht="18.75">
      <c r="A78" s="797" t="s">
        <v>21</v>
      </c>
      <c r="B78" s="797"/>
      <c r="C78" s="794" t="s">
        <v>42</v>
      </c>
      <c r="D78" s="795"/>
      <c r="E78" s="795"/>
      <c r="F78" s="795"/>
      <c r="G78" s="795"/>
      <c r="H78" s="795"/>
      <c r="I78" s="795"/>
      <c r="J78" s="796"/>
      <c r="K78" s="804" t="s">
        <v>19</v>
      </c>
      <c r="L78" s="62"/>
      <c r="M78" s="62"/>
    </row>
    <row r="79" spans="1:13" s="69" customFormat="1" ht="70.5" customHeight="1">
      <c r="A79" s="797"/>
      <c r="B79" s="797"/>
      <c r="C79" s="90" t="s">
        <v>22</v>
      </c>
      <c r="D79" s="90" t="s">
        <v>23</v>
      </c>
      <c r="E79" s="90" t="s">
        <v>24</v>
      </c>
      <c r="F79" s="90" t="s">
        <v>25</v>
      </c>
      <c r="G79" s="90" t="s">
        <v>26</v>
      </c>
      <c r="H79" s="90" t="s">
        <v>27</v>
      </c>
      <c r="I79" s="90" t="s">
        <v>28</v>
      </c>
      <c r="J79" s="90" t="s">
        <v>91</v>
      </c>
      <c r="K79" s="805"/>
      <c r="L79" s="62"/>
      <c r="M79" s="62"/>
    </row>
    <row r="80" spans="1:13" s="93" customFormat="1" ht="31.5">
      <c r="A80" s="91">
        <f>+IF(ENTREGA!A14="","",ENTREGA!A14)</f>
        <v>8</v>
      </c>
      <c r="B80" s="97">
        <v>1</v>
      </c>
      <c r="C80" s="103">
        <v>2</v>
      </c>
      <c r="D80" s="103">
        <v>10</v>
      </c>
      <c r="E80" s="103" t="s">
        <v>396</v>
      </c>
      <c r="F80" s="103" t="s">
        <v>399</v>
      </c>
      <c r="G80" s="104">
        <v>7837.1</v>
      </c>
      <c r="H80" s="103" t="s">
        <v>364</v>
      </c>
      <c r="I80" s="105">
        <v>0.8</v>
      </c>
      <c r="J80" s="106" t="s">
        <v>380</v>
      </c>
      <c r="K80" s="103"/>
    </row>
    <row r="81" spans="1:13" s="93" customFormat="1" ht="17.25">
      <c r="A81" s="806" t="str">
        <f>IF(A80="","",VLOOKUP(A80,ENTREGA!$A$7:$B$16,2,FALSE))</f>
        <v>ASESORES EMPRESARIALES Y CONSTRUCTORES S.A.S</v>
      </c>
      <c r="B81" s="97">
        <v>2</v>
      </c>
      <c r="C81" s="103">
        <v>3</v>
      </c>
      <c r="D81" s="103">
        <v>12</v>
      </c>
      <c r="E81" s="103">
        <v>641</v>
      </c>
      <c r="F81" s="103" t="s">
        <v>400</v>
      </c>
      <c r="G81" s="104">
        <v>223.18</v>
      </c>
      <c r="H81" s="103" t="s">
        <v>352</v>
      </c>
      <c r="I81" s="105">
        <v>1</v>
      </c>
      <c r="J81" s="106" t="s">
        <v>401</v>
      </c>
      <c r="K81" s="103"/>
    </row>
    <row r="82" spans="1:13" s="93" customFormat="1" ht="17.25">
      <c r="A82" s="806"/>
      <c r="B82" s="97">
        <v>3</v>
      </c>
      <c r="C82" s="103">
        <v>7</v>
      </c>
      <c r="D82" s="103">
        <v>14</v>
      </c>
      <c r="E82" s="103" t="s">
        <v>397</v>
      </c>
      <c r="F82" s="103" t="s">
        <v>399</v>
      </c>
      <c r="G82" s="104">
        <v>1668.29</v>
      </c>
      <c r="H82" s="103" t="s">
        <v>352</v>
      </c>
      <c r="I82" s="105">
        <v>1</v>
      </c>
      <c r="J82" s="106" t="s">
        <v>401</v>
      </c>
      <c r="K82" s="103"/>
    </row>
    <row r="83" spans="1:13" s="93" customFormat="1" ht="18.75" customHeight="1">
      <c r="A83" s="806"/>
      <c r="B83" s="97">
        <v>4</v>
      </c>
      <c r="C83" s="103">
        <v>8</v>
      </c>
      <c r="D83" s="103">
        <v>16</v>
      </c>
      <c r="E83" s="103" t="s">
        <v>398</v>
      </c>
      <c r="F83" s="103" t="s">
        <v>399</v>
      </c>
      <c r="G83" s="104">
        <v>8910.93</v>
      </c>
      <c r="H83" s="103" t="s">
        <v>352</v>
      </c>
      <c r="I83" s="105">
        <v>1</v>
      </c>
      <c r="J83" s="106" t="s">
        <v>402</v>
      </c>
      <c r="K83" s="103"/>
    </row>
    <row r="84" spans="1:13" s="93" customFormat="1" ht="17.25">
      <c r="A84" s="806"/>
      <c r="B84" s="97">
        <v>5</v>
      </c>
      <c r="C84" s="103"/>
      <c r="D84" s="103"/>
      <c r="E84" s="103"/>
      <c r="F84" s="103"/>
      <c r="G84" s="104"/>
      <c r="H84" s="103"/>
      <c r="I84" s="105"/>
      <c r="J84" s="106"/>
      <c r="K84" s="103"/>
    </row>
    <row r="85" spans="1:13" s="93" customFormat="1" ht="15.75" customHeight="1">
      <c r="A85" s="806"/>
      <c r="B85" s="98"/>
      <c r="C85" s="793" t="s">
        <v>29</v>
      </c>
      <c r="D85" s="793"/>
      <c r="E85" s="793"/>
      <c r="F85" s="793"/>
      <c r="G85" s="95">
        <f>+SUM(G80*I80,G81*I81,G82*I82,G83*I83,G84*I84)</f>
        <v>17072.080000000002</v>
      </c>
      <c r="H85" s="798" t="str">
        <f>+IF(G86&gt;$C$6,"CUMPLE","NO CUMPLE")</f>
        <v>CUMPLE</v>
      </c>
      <c r="I85" s="799"/>
      <c r="J85" s="799"/>
      <c r="K85" s="800"/>
    </row>
    <row r="86" spans="1:13" s="93" customFormat="1" ht="16.5" customHeight="1">
      <c r="A86" s="807"/>
      <c r="B86" s="98"/>
      <c r="C86" s="793" t="s">
        <v>32</v>
      </c>
      <c r="D86" s="793"/>
      <c r="E86" s="793"/>
      <c r="F86" s="793"/>
      <c r="G86" s="96">
        <f>+G85/$K$6</f>
        <v>34.076007984031939</v>
      </c>
      <c r="H86" s="801"/>
      <c r="I86" s="802"/>
      <c r="J86" s="802"/>
      <c r="K86" s="803"/>
    </row>
    <row r="87" spans="1:13" ht="15.75">
      <c r="A87" s="85"/>
      <c r="B87" s="85"/>
      <c r="C87" s="85"/>
      <c r="D87" s="85"/>
      <c r="E87" s="85"/>
      <c r="F87" s="85"/>
      <c r="G87" s="85"/>
      <c r="H87" s="85"/>
      <c r="I87" s="85"/>
    </row>
    <row r="88" spans="1:13" s="69" customFormat="1" ht="18.75">
      <c r="A88" s="797" t="s">
        <v>21</v>
      </c>
      <c r="B88" s="797"/>
      <c r="C88" s="794" t="s">
        <v>42</v>
      </c>
      <c r="D88" s="795"/>
      <c r="E88" s="795"/>
      <c r="F88" s="795"/>
      <c r="G88" s="795"/>
      <c r="H88" s="795"/>
      <c r="I88" s="795"/>
      <c r="J88" s="796"/>
      <c r="K88" s="804" t="s">
        <v>19</v>
      </c>
      <c r="L88" s="62"/>
      <c r="M88" s="62"/>
    </row>
    <row r="89" spans="1:13" s="69" customFormat="1" ht="70.5" customHeight="1">
      <c r="A89" s="797"/>
      <c r="B89" s="797"/>
      <c r="C89" s="90" t="s">
        <v>22</v>
      </c>
      <c r="D89" s="90" t="s">
        <v>23</v>
      </c>
      <c r="E89" s="90" t="s">
        <v>24</v>
      </c>
      <c r="F89" s="90" t="s">
        <v>25</v>
      </c>
      <c r="G89" s="90" t="s">
        <v>26</v>
      </c>
      <c r="H89" s="90" t="s">
        <v>27</v>
      </c>
      <c r="I89" s="90" t="s">
        <v>28</v>
      </c>
      <c r="J89" s="90" t="s">
        <v>91</v>
      </c>
      <c r="K89" s="805"/>
      <c r="L89" s="62"/>
      <c r="M89" s="62"/>
    </row>
    <row r="90" spans="1:13" s="93" customFormat="1" ht="57">
      <c r="A90" s="91">
        <f>+IF(ENTREGA!A15="","",ENTREGA!A15)</f>
        <v>9</v>
      </c>
      <c r="B90" s="97">
        <v>1</v>
      </c>
      <c r="C90" s="103">
        <v>5</v>
      </c>
      <c r="D90" s="103">
        <v>14</v>
      </c>
      <c r="E90" s="103" t="s">
        <v>404</v>
      </c>
      <c r="F90" s="103" t="s">
        <v>407</v>
      </c>
      <c r="G90" s="405"/>
      <c r="H90" s="103" t="s">
        <v>364</v>
      </c>
      <c r="I90" s="105">
        <v>0.05</v>
      </c>
      <c r="J90" s="106" t="s">
        <v>401</v>
      </c>
      <c r="K90" s="103" t="s">
        <v>388</v>
      </c>
    </row>
    <row r="91" spans="1:13" s="93" customFormat="1" ht="17.25">
      <c r="A91" s="806" t="str">
        <f>IF(A90="","",VLOOKUP(A90,ENTREGA!$A$7:$B$16,2,FALSE))</f>
        <v>DANIEL JOSE NIEVES VERGARA</v>
      </c>
      <c r="B91" s="97">
        <v>2</v>
      </c>
      <c r="C91" s="103">
        <v>8</v>
      </c>
      <c r="D91" s="103">
        <v>18</v>
      </c>
      <c r="E91" s="103" t="s">
        <v>403</v>
      </c>
      <c r="F91" s="103" t="s">
        <v>408</v>
      </c>
      <c r="G91" s="104">
        <v>1476.36</v>
      </c>
      <c r="H91" s="103" t="s">
        <v>364</v>
      </c>
      <c r="I91" s="105">
        <v>0.85</v>
      </c>
      <c r="J91" s="106" t="s">
        <v>401</v>
      </c>
      <c r="K91" s="103"/>
    </row>
    <row r="92" spans="1:13" s="93" customFormat="1" ht="17.25">
      <c r="A92" s="806"/>
      <c r="B92" s="97">
        <v>3</v>
      </c>
      <c r="C92" s="103">
        <v>24</v>
      </c>
      <c r="D92" s="103">
        <v>35</v>
      </c>
      <c r="E92" s="103" t="s">
        <v>405</v>
      </c>
      <c r="F92" s="103" t="s">
        <v>407</v>
      </c>
      <c r="G92" s="104">
        <v>6035.57</v>
      </c>
      <c r="H92" s="103" t="s">
        <v>364</v>
      </c>
      <c r="I92" s="105">
        <v>0.85</v>
      </c>
      <c r="J92" s="106" t="s">
        <v>401</v>
      </c>
      <c r="K92" s="103"/>
    </row>
    <row r="93" spans="1:13" s="93" customFormat="1" ht="31.5">
      <c r="A93" s="806"/>
      <c r="B93" s="97">
        <v>4</v>
      </c>
      <c r="C93" s="103">
        <v>31</v>
      </c>
      <c r="D93" s="103">
        <v>46</v>
      </c>
      <c r="E93" s="103" t="s">
        <v>406</v>
      </c>
      <c r="F93" s="103" t="s">
        <v>409</v>
      </c>
      <c r="G93" s="104">
        <v>1166.4000000000001</v>
      </c>
      <c r="H93" s="103" t="s">
        <v>364</v>
      </c>
      <c r="I93" s="105">
        <v>0.5</v>
      </c>
      <c r="J93" s="106" t="s">
        <v>410</v>
      </c>
      <c r="K93" s="103"/>
    </row>
    <row r="94" spans="1:13" s="93" customFormat="1" ht="17.25">
      <c r="A94" s="806"/>
      <c r="B94" s="97">
        <v>5</v>
      </c>
      <c r="C94" s="103"/>
      <c r="D94" s="103"/>
      <c r="E94" s="103"/>
      <c r="F94" s="103"/>
      <c r="G94" s="104"/>
      <c r="H94" s="103"/>
      <c r="I94" s="105"/>
      <c r="J94" s="106"/>
      <c r="K94" s="103"/>
    </row>
    <row r="95" spans="1:13" s="93" customFormat="1" ht="15.75" customHeight="1">
      <c r="A95" s="806"/>
      <c r="B95" s="98"/>
      <c r="C95" s="793" t="s">
        <v>29</v>
      </c>
      <c r="D95" s="793"/>
      <c r="E95" s="793"/>
      <c r="F95" s="793"/>
      <c r="G95" s="95">
        <f>+SUM(G90*I90,G91*I91,G92*I92,G93*I93,G94*I94)</f>
        <v>6968.3404999999993</v>
      </c>
      <c r="H95" s="798" t="str">
        <f>+IF(G96&gt;$C$6,"CUMPLE","NO CUMPLE")</f>
        <v>CUMPLE</v>
      </c>
      <c r="I95" s="799"/>
      <c r="J95" s="799"/>
      <c r="K95" s="800"/>
    </row>
    <row r="96" spans="1:13" s="93" customFormat="1" ht="16.5" customHeight="1">
      <c r="A96" s="807"/>
      <c r="B96" s="98"/>
      <c r="C96" s="793" t="s">
        <v>32</v>
      </c>
      <c r="D96" s="793"/>
      <c r="E96" s="793"/>
      <c r="F96" s="793"/>
      <c r="G96" s="96">
        <f>+G95/$K$6</f>
        <v>13.908863273453093</v>
      </c>
      <c r="H96" s="801"/>
      <c r="I96" s="802"/>
      <c r="J96" s="802"/>
      <c r="K96" s="803"/>
    </row>
    <row r="97" spans="1:12" ht="15.75">
      <c r="A97" s="85"/>
      <c r="B97" s="85"/>
      <c r="C97" s="85"/>
      <c r="D97" s="85"/>
      <c r="E97" s="85"/>
      <c r="F97" s="85"/>
      <c r="G97" s="85"/>
      <c r="H97" s="85"/>
      <c r="I97" s="85"/>
    </row>
    <row r="98" spans="1:12" s="69" customFormat="1" ht="18.75">
      <c r="A98" s="797" t="s">
        <v>21</v>
      </c>
      <c r="B98" s="797"/>
      <c r="C98" s="794" t="s">
        <v>42</v>
      </c>
      <c r="D98" s="795"/>
      <c r="E98" s="795"/>
      <c r="F98" s="795"/>
      <c r="G98" s="795"/>
      <c r="H98" s="795"/>
      <c r="I98" s="795"/>
      <c r="J98" s="796"/>
      <c r="K98" s="804" t="s">
        <v>19</v>
      </c>
      <c r="L98" s="62"/>
    </row>
    <row r="99" spans="1:12" s="69" customFormat="1" ht="70.5" customHeight="1">
      <c r="A99" s="797"/>
      <c r="B99" s="797"/>
      <c r="C99" s="90" t="s">
        <v>22</v>
      </c>
      <c r="D99" s="90" t="s">
        <v>23</v>
      </c>
      <c r="E99" s="90" t="s">
        <v>24</v>
      </c>
      <c r="F99" s="90" t="s">
        <v>25</v>
      </c>
      <c r="G99" s="90" t="s">
        <v>26</v>
      </c>
      <c r="H99" s="90" t="s">
        <v>27</v>
      </c>
      <c r="I99" s="90" t="s">
        <v>28</v>
      </c>
      <c r="J99" s="90" t="s">
        <v>91</v>
      </c>
      <c r="K99" s="805"/>
      <c r="L99" s="62"/>
    </row>
    <row r="100" spans="1:12" s="93" customFormat="1" ht="17.25">
      <c r="A100" s="91">
        <f>+IF(ENTREGA!A16="","",ENTREGA!A16)</f>
        <v>10</v>
      </c>
      <c r="B100" s="97">
        <v>1</v>
      </c>
      <c r="C100" s="103">
        <v>107</v>
      </c>
      <c r="D100" s="103">
        <v>133</v>
      </c>
      <c r="E100" s="103">
        <v>251016</v>
      </c>
      <c r="F100" s="103" t="s">
        <v>411</v>
      </c>
      <c r="G100" s="104">
        <v>3001.99</v>
      </c>
      <c r="H100" s="103" t="s">
        <v>352</v>
      </c>
      <c r="I100" s="105">
        <v>1</v>
      </c>
      <c r="J100" s="106" t="s">
        <v>412</v>
      </c>
      <c r="K100" s="103"/>
    </row>
    <row r="101" spans="1:12" s="93" customFormat="1" ht="31.5">
      <c r="A101" s="806" t="str">
        <f>IF(A100="","",VLOOKUP(A100,ENTREGA!$A$7:$B$16,2,FALSE))</f>
        <v>BETEL INGENIEROS S.A.S</v>
      </c>
      <c r="B101" s="97">
        <v>2</v>
      </c>
      <c r="C101" s="103">
        <v>105</v>
      </c>
      <c r="D101" s="103">
        <v>132</v>
      </c>
      <c r="E101" s="103">
        <v>1</v>
      </c>
      <c r="F101" s="103" t="s">
        <v>413</v>
      </c>
      <c r="G101" s="104">
        <v>340.16</v>
      </c>
      <c r="H101" s="103" t="s">
        <v>352</v>
      </c>
      <c r="I101" s="105">
        <v>1</v>
      </c>
      <c r="J101" s="106" t="s">
        <v>353</v>
      </c>
      <c r="K101" s="103"/>
    </row>
    <row r="102" spans="1:12" s="93" customFormat="1" ht="31.5">
      <c r="A102" s="806"/>
      <c r="B102" s="97">
        <v>3</v>
      </c>
      <c r="C102" s="103">
        <v>102</v>
      </c>
      <c r="D102" s="103">
        <v>130</v>
      </c>
      <c r="E102" s="103">
        <v>93</v>
      </c>
      <c r="F102" s="103" t="s">
        <v>414</v>
      </c>
      <c r="G102" s="104">
        <v>703.96</v>
      </c>
      <c r="H102" s="103" t="s">
        <v>352</v>
      </c>
      <c r="I102" s="105">
        <v>1</v>
      </c>
      <c r="J102" s="106" t="s">
        <v>415</v>
      </c>
      <c r="K102" s="103"/>
    </row>
    <row r="103" spans="1:12" s="93" customFormat="1" ht="31.5">
      <c r="A103" s="806"/>
      <c r="B103" s="97">
        <v>4</v>
      </c>
      <c r="C103" s="103">
        <v>40</v>
      </c>
      <c r="D103" s="103">
        <v>95</v>
      </c>
      <c r="E103" s="103">
        <v>374</v>
      </c>
      <c r="F103" s="103" t="s">
        <v>414</v>
      </c>
      <c r="G103" s="104">
        <v>1237.51</v>
      </c>
      <c r="H103" s="103" t="s">
        <v>352</v>
      </c>
      <c r="I103" s="105">
        <v>1</v>
      </c>
      <c r="J103" s="106" t="s">
        <v>380</v>
      </c>
      <c r="K103" s="103"/>
    </row>
    <row r="104" spans="1:12" s="93" customFormat="1" ht="31.5">
      <c r="A104" s="806"/>
      <c r="B104" s="97">
        <v>5</v>
      </c>
      <c r="C104" s="103">
        <v>41</v>
      </c>
      <c r="D104" s="103">
        <v>95</v>
      </c>
      <c r="E104" s="103">
        <v>229</v>
      </c>
      <c r="F104" s="103" t="s">
        <v>414</v>
      </c>
      <c r="G104" s="104">
        <v>1458.2</v>
      </c>
      <c r="H104" s="103" t="s">
        <v>352</v>
      </c>
      <c r="I104" s="105">
        <v>1</v>
      </c>
      <c r="J104" s="106" t="s">
        <v>380</v>
      </c>
      <c r="K104" s="103"/>
    </row>
    <row r="105" spans="1:12" s="93" customFormat="1" ht="15.75" customHeight="1">
      <c r="A105" s="806"/>
      <c r="B105" s="98"/>
      <c r="C105" s="793" t="s">
        <v>29</v>
      </c>
      <c r="D105" s="793"/>
      <c r="E105" s="793"/>
      <c r="F105" s="793"/>
      <c r="G105" s="95">
        <f>+SUM(G100*I100,G101*I101,G102*I102,G103*I103,G104*I104)</f>
        <v>6741.82</v>
      </c>
      <c r="H105" s="798" t="str">
        <f>+IF(G106&gt;$C$6,"CUMPLE","NO CUMPLE")</f>
        <v>CUMPLE</v>
      </c>
      <c r="I105" s="799"/>
      <c r="J105" s="799"/>
      <c r="K105" s="800"/>
    </row>
    <row r="106" spans="1:12" s="93" customFormat="1" ht="16.5" customHeight="1">
      <c r="A106" s="807"/>
      <c r="B106" s="98"/>
      <c r="C106" s="793" t="s">
        <v>32</v>
      </c>
      <c r="D106" s="793"/>
      <c r="E106" s="793"/>
      <c r="F106" s="793"/>
      <c r="G106" s="96">
        <f>+G105/$K$6</f>
        <v>13.456726546906188</v>
      </c>
      <c r="H106" s="801"/>
      <c r="I106" s="802"/>
      <c r="J106" s="802"/>
      <c r="K106" s="803"/>
    </row>
    <row r="107" spans="1:12" ht="15.75">
      <c r="A107" s="85"/>
      <c r="B107" s="85"/>
      <c r="C107" s="85"/>
      <c r="D107" s="85"/>
      <c r="E107" s="85"/>
      <c r="F107" s="85"/>
      <c r="G107" s="85"/>
      <c r="H107" s="85"/>
      <c r="I107" s="85"/>
    </row>
  </sheetData>
  <sheetProtection password="A658" sheet="1" objects="1" scenarios="1" selectLockedCells="1" selectUnlockedCells="1"/>
  <mergeCells count="78">
    <mergeCell ref="H15:K16"/>
    <mergeCell ref="H25:K26"/>
    <mergeCell ref="C25:F25"/>
    <mergeCell ref="C15:F15"/>
    <mergeCell ref="A4:I4"/>
    <mergeCell ref="A8:B9"/>
    <mergeCell ref="A18:B19"/>
    <mergeCell ref="A11:A16"/>
    <mergeCell ref="A21:A26"/>
    <mergeCell ref="C18:J18"/>
    <mergeCell ref="C26:F26"/>
    <mergeCell ref="C16:F16"/>
    <mergeCell ref="C8:J8"/>
    <mergeCell ref="K8:K9"/>
    <mergeCell ref="K18:K19"/>
    <mergeCell ref="A1:K1"/>
    <mergeCell ref="G5:H6"/>
    <mergeCell ref="I5:J5"/>
    <mergeCell ref="I6:J6"/>
    <mergeCell ref="A5:B5"/>
    <mergeCell ref="A6:B6"/>
    <mergeCell ref="A3:K3"/>
    <mergeCell ref="A51:A56"/>
    <mergeCell ref="A61:A66"/>
    <mergeCell ref="C66:F66"/>
    <mergeCell ref="K98:K99"/>
    <mergeCell ref="C78:J78"/>
    <mergeCell ref="A88:B89"/>
    <mergeCell ref="A28:B29"/>
    <mergeCell ref="C36:F36"/>
    <mergeCell ref="C35:F35"/>
    <mergeCell ref="C105:F105"/>
    <mergeCell ref="C106:F106"/>
    <mergeCell ref="C98:J98"/>
    <mergeCell ref="C28:J28"/>
    <mergeCell ref="A31:A36"/>
    <mergeCell ref="A38:B39"/>
    <mergeCell ref="A48:B49"/>
    <mergeCell ref="A58:B59"/>
    <mergeCell ref="A68:B69"/>
    <mergeCell ref="A41:A46"/>
    <mergeCell ref="A71:A76"/>
    <mergeCell ref="A81:A86"/>
    <mergeCell ref="A91:A96"/>
    <mergeCell ref="H75:K76"/>
    <mergeCell ref="H85:K86"/>
    <mergeCell ref="C75:F75"/>
    <mergeCell ref="C76:F76"/>
    <mergeCell ref="C58:J58"/>
    <mergeCell ref="C68:J68"/>
    <mergeCell ref="C46:F46"/>
    <mergeCell ref="C65:F65"/>
    <mergeCell ref="C55:F55"/>
    <mergeCell ref="C56:F56"/>
    <mergeCell ref="C45:F45"/>
    <mergeCell ref="C48:J48"/>
    <mergeCell ref="H55:K56"/>
    <mergeCell ref="H65:K66"/>
    <mergeCell ref="K28:K29"/>
    <mergeCell ref="K38:K39"/>
    <mergeCell ref="K48:K49"/>
    <mergeCell ref="K58:K59"/>
    <mergeCell ref="K68:K69"/>
    <mergeCell ref="H35:K36"/>
    <mergeCell ref="C38:J38"/>
    <mergeCell ref="H45:K46"/>
    <mergeCell ref="C95:F95"/>
    <mergeCell ref="C96:F96"/>
    <mergeCell ref="C88:J88"/>
    <mergeCell ref="A78:B79"/>
    <mergeCell ref="H105:K106"/>
    <mergeCell ref="C85:F85"/>
    <mergeCell ref="C86:F86"/>
    <mergeCell ref="A98:B99"/>
    <mergeCell ref="K78:K79"/>
    <mergeCell ref="K88:K89"/>
    <mergeCell ref="A101:A106"/>
    <mergeCell ref="H95:K96"/>
  </mergeCells>
  <conditionalFormatting sqref="H15">
    <cfRule type="cellIs" dxfId="53" priority="95" stopIfTrue="1" operator="equal">
      <formula>"no cumple"</formula>
    </cfRule>
  </conditionalFormatting>
  <conditionalFormatting sqref="H25">
    <cfRule type="cellIs" dxfId="52" priority="14" stopIfTrue="1" operator="equal">
      <formula>"no cumple"</formula>
    </cfRule>
  </conditionalFormatting>
  <conditionalFormatting sqref="H35">
    <cfRule type="cellIs" dxfId="51" priority="13" stopIfTrue="1" operator="equal">
      <formula>"no cumple"</formula>
    </cfRule>
  </conditionalFormatting>
  <conditionalFormatting sqref="H45">
    <cfRule type="cellIs" dxfId="50" priority="12" stopIfTrue="1" operator="equal">
      <formula>"no cumple"</formula>
    </cfRule>
  </conditionalFormatting>
  <conditionalFormatting sqref="H55">
    <cfRule type="cellIs" dxfId="49" priority="11" stopIfTrue="1" operator="equal">
      <formula>"no cumple"</formula>
    </cfRule>
  </conditionalFormatting>
  <conditionalFormatting sqref="H65">
    <cfRule type="cellIs" dxfId="48" priority="10" stopIfTrue="1" operator="equal">
      <formula>"no cumple"</formula>
    </cfRule>
  </conditionalFormatting>
  <conditionalFormatting sqref="H75">
    <cfRule type="cellIs" dxfId="47" priority="9" stopIfTrue="1" operator="equal">
      <formula>"no cumple"</formula>
    </cfRule>
  </conditionalFormatting>
  <conditionalFormatting sqref="H85">
    <cfRule type="cellIs" dxfId="46" priority="8" stopIfTrue="1" operator="equal">
      <formula>"no cumple"</formula>
    </cfRule>
  </conditionalFormatting>
  <conditionalFormatting sqref="H95">
    <cfRule type="cellIs" dxfId="45" priority="7" stopIfTrue="1" operator="equal">
      <formula>"no cumple"</formula>
    </cfRule>
  </conditionalFormatting>
  <conditionalFormatting sqref="H105">
    <cfRule type="cellIs" dxfId="44" priority="6" stopIfTrue="1" operator="equal">
      <formula>"no cumple"</formula>
    </cfRule>
  </conditionalFormatting>
  <printOptions horizontalCentered="1"/>
  <pageMargins left="0.59055118110236227" right="0.39370078740157483" top="0.59055118110236227" bottom="0.39370078740157483" header="0.31496062992125984" footer="0.31496062992125984"/>
  <pageSetup scale="68" orientation="landscape" horizontalDpi="300" verticalDpi="300" r:id="rId1"/>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Q15"/>
  <sheetViews>
    <sheetView zoomScale="85" zoomScaleNormal="85" zoomScaleSheetLayoutView="70" workbookViewId="0">
      <selection activeCell="K23" sqref="K23"/>
    </sheetView>
  </sheetViews>
  <sheetFormatPr baseColWidth="10" defaultColWidth="11.42578125" defaultRowHeight="15"/>
  <cols>
    <col min="1" max="1" width="8.140625" style="62" customWidth="1"/>
    <col min="2" max="2" width="40.5703125" style="62" customWidth="1"/>
    <col min="3" max="4" width="19.5703125" style="74" bestFit="1" customWidth="1"/>
    <col min="5" max="5" width="7.7109375" style="74" bestFit="1" customWidth="1"/>
    <col min="6" max="6" width="16.140625" style="74" bestFit="1" customWidth="1"/>
    <col min="7" max="7" width="17.28515625" style="62" bestFit="1" customWidth="1"/>
    <col min="8" max="8" width="16.28515625" style="62" bestFit="1" customWidth="1"/>
    <col min="9" max="9" width="7.7109375" style="74" bestFit="1" customWidth="1"/>
    <col min="10" max="10" width="14.28515625" style="74" customWidth="1"/>
    <col min="11" max="11" width="16.28515625" style="74" customWidth="1"/>
    <col min="12" max="12" width="17.85546875" style="74" customWidth="1"/>
    <col min="13" max="13" width="16.28515625" style="74" bestFit="1" customWidth="1"/>
    <col min="14" max="14" width="13.28515625" style="74" customWidth="1"/>
    <col min="15" max="16384" width="11.42578125" style="62"/>
  </cols>
  <sheetData>
    <row r="1" spans="1:17" ht="24" customHeight="1">
      <c r="A1" s="822" t="s">
        <v>64</v>
      </c>
      <c r="B1" s="823"/>
      <c r="C1" s="823"/>
      <c r="D1" s="823"/>
      <c r="E1" s="823"/>
      <c r="F1" s="823"/>
      <c r="G1" s="823"/>
      <c r="H1" s="823"/>
      <c r="I1" s="823"/>
      <c r="J1" s="823"/>
      <c r="K1" s="823"/>
      <c r="L1" s="823"/>
      <c r="M1" s="823"/>
      <c r="N1" s="823"/>
    </row>
    <row r="2" spans="1:17" s="64" customFormat="1" ht="15.75" customHeight="1">
      <c r="A2" s="63"/>
      <c r="B2" s="63"/>
      <c r="C2" s="63"/>
      <c r="D2" s="63"/>
      <c r="E2" s="63"/>
      <c r="F2" s="63"/>
      <c r="G2" s="63"/>
      <c r="H2" s="63"/>
      <c r="I2" s="63"/>
      <c r="J2" s="63"/>
      <c r="K2" s="63"/>
      <c r="L2" s="63"/>
      <c r="M2" s="63"/>
      <c r="N2" s="63"/>
    </row>
    <row r="3" spans="1:17" ht="15.75" customHeight="1">
      <c r="A3" s="826" t="s">
        <v>33</v>
      </c>
      <c r="B3" s="826" t="s">
        <v>17</v>
      </c>
      <c r="C3" s="827" t="s">
        <v>11</v>
      </c>
      <c r="D3" s="827"/>
      <c r="E3" s="827"/>
      <c r="F3" s="827"/>
      <c r="G3" s="824" t="s">
        <v>12</v>
      </c>
      <c r="H3" s="824"/>
      <c r="I3" s="824"/>
      <c r="J3" s="824"/>
      <c r="K3" s="825" t="s">
        <v>16</v>
      </c>
      <c r="L3" s="825"/>
      <c r="M3" s="825"/>
      <c r="N3" s="825"/>
    </row>
    <row r="4" spans="1:17" ht="35.25" customHeight="1">
      <c r="A4" s="826"/>
      <c r="B4" s="826"/>
      <c r="C4" s="65" t="s">
        <v>15</v>
      </c>
      <c r="D4" s="828" t="s">
        <v>114</v>
      </c>
      <c r="E4" s="829"/>
      <c r="F4" s="77">
        <v>2</v>
      </c>
      <c r="G4" s="66" t="s">
        <v>54</v>
      </c>
      <c r="H4" s="830" t="s">
        <v>116</v>
      </c>
      <c r="I4" s="831"/>
      <c r="J4" s="78">
        <v>0.6</v>
      </c>
      <c r="K4" s="67" t="s">
        <v>70</v>
      </c>
      <c r="L4" s="832" t="s">
        <v>117</v>
      </c>
      <c r="M4" s="833"/>
      <c r="N4" s="79">
        <v>2.5</v>
      </c>
    </row>
    <row r="5" spans="1:17" s="69" customFormat="1" ht="27.75" customHeight="1">
      <c r="A5" s="826"/>
      <c r="B5" s="826"/>
      <c r="C5" s="65" t="s">
        <v>9</v>
      </c>
      <c r="D5" s="65" t="s">
        <v>10</v>
      </c>
      <c r="E5" s="65" t="s">
        <v>2</v>
      </c>
      <c r="F5" s="65" t="s">
        <v>115</v>
      </c>
      <c r="G5" s="66" t="s">
        <v>13</v>
      </c>
      <c r="H5" s="66" t="s">
        <v>14</v>
      </c>
      <c r="I5" s="66" t="s">
        <v>2</v>
      </c>
      <c r="J5" s="66" t="s">
        <v>115</v>
      </c>
      <c r="K5" s="68" t="s">
        <v>9</v>
      </c>
      <c r="L5" s="68" t="s">
        <v>10</v>
      </c>
      <c r="M5" s="68" t="s">
        <v>2</v>
      </c>
      <c r="N5" s="68" t="s">
        <v>115</v>
      </c>
    </row>
    <row r="6" spans="1:17" s="69" customFormat="1" ht="25.5" customHeight="1">
      <c r="A6" s="33">
        <f>IF(ENTREGA!A7="","",ENTREGA!A7)</f>
        <v>1</v>
      </c>
      <c r="B6" s="70" t="str">
        <f>IF(A6="","",VLOOKUP(A6,ENTREGA!$A$7:$B$16,2,FALSE))</f>
        <v>GUSTAVO ADOLFO CARMONA ALARCON</v>
      </c>
      <c r="C6" s="75">
        <v>3732417315</v>
      </c>
      <c r="D6" s="75">
        <v>72886105</v>
      </c>
      <c r="E6" s="71">
        <f>IF(B6="","",IF(D6="",0,C6/D6))</f>
        <v>51.208900722572565</v>
      </c>
      <c r="F6" s="72" t="str">
        <f t="shared" ref="F6:F15" si="0">IF(B6="","",IF(E6="","NO CUMPLE",IF(E6&gt;=$F$4,"CUMPLE","NO CUMPLE")))</f>
        <v>CUMPLE</v>
      </c>
      <c r="G6" s="76">
        <v>1310286875</v>
      </c>
      <c r="H6" s="76">
        <v>4472938294</v>
      </c>
      <c r="I6" s="73">
        <f>IF(B6="","",IF(H6="","",G6/H6))</f>
        <v>0.29293649696836171</v>
      </c>
      <c r="J6" s="72" t="str">
        <f t="shared" ref="J6:J15" si="1">IF(B6="","",IF(I6&lt;=$J$4,"CUMPLE","NO CUMPLE"))</f>
        <v>CUMPLE</v>
      </c>
      <c r="K6" s="71">
        <f t="shared" ref="K6:K14" si="2">IF(B6="","",C6)</f>
        <v>3732417315</v>
      </c>
      <c r="L6" s="71">
        <f t="shared" ref="L6:L14" si="3">IF(B6="","",D6)</f>
        <v>72886105</v>
      </c>
      <c r="M6" s="71">
        <f>IF(B6="","",IF(K6="","",K6-L6))</f>
        <v>3659531210</v>
      </c>
      <c r="N6" s="72" t="str">
        <f>IF(B6="","",IF(M6="","NO CUMPLE",IF(M6&gt;$N$4*'3.2.1 EXPERIENCIA GRAL'!$I$6,"CUMPLE","NO CUMPLE")))</f>
        <v>CUMPLE</v>
      </c>
    </row>
    <row r="7" spans="1:17" s="69" customFormat="1" ht="25.5" customHeight="1">
      <c r="A7" s="33">
        <f>IF(ENTREGA!A8="","",ENTREGA!A8)</f>
        <v>2</v>
      </c>
      <c r="B7" s="70" t="str">
        <f>IF(A7="","",VLOOKUP(A7,ENTREGA!$A$7:$B$16,2,FALSE))</f>
        <v>VERTICES INGENIERIA</v>
      </c>
      <c r="C7" s="75">
        <v>2053770810</v>
      </c>
      <c r="D7" s="75">
        <v>157424576</v>
      </c>
      <c r="E7" s="71">
        <f t="shared" ref="E7:E14" si="4">IF(B7="","",IF(D7="",0,C7/D7))</f>
        <v>13.046062198064933</v>
      </c>
      <c r="F7" s="72" t="str">
        <f t="shared" si="0"/>
        <v>CUMPLE</v>
      </c>
      <c r="G7" s="76">
        <v>3534845811</v>
      </c>
      <c r="H7" s="76">
        <v>7256476852</v>
      </c>
      <c r="I7" s="73">
        <f t="shared" ref="I7:I15" si="5">IF(B7="","",IF(H7="","",G7/H7))</f>
        <v>0.48712975774541889</v>
      </c>
      <c r="J7" s="72" t="str">
        <f t="shared" si="1"/>
        <v>CUMPLE</v>
      </c>
      <c r="K7" s="71">
        <f t="shared" si="2"/>
        <v>2053770810</v>
      </c>
      <c r="L7" s="71">
        <f t="shared" si="3"/>
        <v>157424576</v>
      </c>
      <c r="M7" s="71">
        <f t="shared" ref="M7:M14" si="6">IF(B7="","",IF(K7="","",K7-L7))</f>
        <v>1896346234</v>
      </c>
      <c r="N7" s="72" t="str">
        <f>IF(B7="","",IF(M7="","NO CUMPLE",IF(M7&gt;$N$4*'3.2.1 EXPERIENCIA GRAL'!$I$6,"CUMPLE","NO CUMPLE")))</f>
        <v>CUMPLE</v>
      </c>
    </row>
    <row r="8" spans="1:17" s="69" customFormat="1" ht="25.5" customHeight="1">
      <c r="A8" s="33">
        <f>IF(ENTREGA!A9="","",ENTREGA!A9)</f>
        <v>3</v>
      </c>
      <c r="B8" s="70" t="str">
        <f>IF(A8="","",VLOOKUP(A8,ENTREGA!$A$7:$B$16,2,FALSE))</f>
        <v>INGENIERIA DE ALTURA S.A.S</v>
      </c>
      <c r="C8" s="75">
        <v>2228600000</v>
      </c>
      <c r="D8" s="75">
        <v>31900000</v>
      </c>
      <c r="E8" s="71">
        <f t="shared" si="4"/>
        <v>69.862068965517238</v>
      </c>
      <c r="F8" s="72" t="str">
        <f t="shared" si="0"/>
        <v>CUMPLE</v>
      </c>
      <c r="G8" s="76">
        <v>46410000</v>
      </c>
      <c r="H8" s="76">
        <v>2346420000</v>
      </c>
      <c r="I8" s="73">
        <f t="shared" si="5"/>
        <v>1.9779067686092004E-2</v>
      </c>
      <c r="J8" s="72" t="str">
        <f t="shared" si="1"/>
        <v>CUMPLE</v>
      </c>
      <c r="K8" s="71">
        <f t="shared" si="2"/>
        <v>2228600000</v>
      </c>
      <c r="L8" s="71">
        <f t="shared" si="3"/>
        <v>31900000</v>
      </c>
      <c r="M8" s="71">
        <f t="shared" si="6"/>
        <v>2196700000</v>
      </c>
      <c r="N8" s="72" t="str">
        <f>IF(B8="","",IF(M8="","NO CUMPLE",IF(M8&gt;$N$4*'3.2.1 EXPERIENCIA GRAL'!$I$6,"CUMPLE","NO CUMPLE")))</f>
        <v>CUMPLE</v>
      </c>
    </row>
    <row r="9" spans="1:17" s="69" customFormat="1" ht="25.5" customHeight="1">
      <c r="A9" s="33">
        <f>IF(ENTREGA!A10="","",ENTREGA!A10)</f>
        <v>4</v>
      </c>
      <c r="B9" s="70" t="str">
        <f>IF(A9="","",VLOOKUP(A9,ENTREGA!$A$7:$B$16,2,FALSE))</f>
        <v>URBANICO S.A.S</v>
      </c>
      <c r="C9" s="75">
        <v>2008528473</v>
      </c>
      <c r="D9" s="75">
        <v>20384377</v>
      </c>
      <c r="E9" s="71">
        <f t="shared" si="4"/>
        <v>98.532737743223649</v>
      </c>
      <c r="F9" s="72" t="str">
        <f t="shared" si="0"/>
        <v>CUMPLE</v>
      </c>
      <c r="G9" s="76">
        <v>177360084</v>
      </c>
      <c r="H9" s="76">
        <v>2211023530</v>
      </c>
      <c r="I9" s="73">
        <f t="shared" si="5"/>
        <v>8.0216280647180629E-2</v>
      </c>
      <c r="J9" s="72" t="str">
        <f t="shared" si="1"/>
        <v>CUMPLE</v>
      </c>
      <c r="K9" s="71">
        <f t="shared" si="2"/>
        <v>2008528473</v>
      </c>
      <c r="L9" s="71">
        <f t="shared" si="3"/>
        <v>20384377</v>
      </c>
      <c r="M9" s="71">
        <f t="shared" si="6"/>
        <v>1988144096</v>
      </c>
      <c r="N9" s="72" t="str">
        <f>IF(B9="","",IF(M9="","NO CUMPLE",IF(M9&gt;$N$4*'3.2.1 EXPERIENCIA GRAL'!$I$6,"CUMPLE","NO CUMPLE")))</f>
        <v>CUMPLE</v>
      </c>
    </row>
    <row r="10" spans="1:17" s="69" customFormat="1" ht="25.5" customHeight="1">
      <c r="A10" s="33">
        <f>IF(ENTREGA!A11="","",ENTREGA!A11)</f>
        <v>5</v>
      </c>
      <c r="B10" s="70" t="str">
        <f>IF(A10="","",VLOOKUP(A10,ENTREGA!$A$7:$B$16,2,FALSE))</f>
        <v>LUIS ENRIQUE OYOLA QUINTERO</v>
      </c>
      <c r="C10" s="75">
        <v>1446185055</v>
      </c>
      <c r="D10" s="75">
        <v>104081714</v>
      </c>
      <c r="E10" s="71">
        <f t="shared" si="4"/>
        <v>13.894708296214262</v>
      </c>
      <c r="F10" s="72" t="str">
        <f t="shared" si="0"/>
        <v>CUMPLE</v>
      </c>
      <c r="G10" s="76">
        <v>189285274</v>
      </c>
      <c r="H10" s="76">
        <v>2007052055</v>
      </c>
      <c r="I10" s="73">
        <f t="shared" si="5"/>
        <v>9.4310097004434698E-2</v>
      </c>
      <c r="J10" s="72" t="str">
        <f t="shared" si="1"/>
        <v>CUMPLE</v>
      </c>
      <c r="K10" s="71">
        <f t="shared" si="2"/>
        <v>1446185055</v>
      </c>
      <c r="L10" s="71">
        <f t="shared" si="3"/>
        <v>104081714</v>
      </c>
      <c r="M10" s="71">
        <f t="shared" si="6"/>
        <v>1342103341</v>
      </c>
      <c r="N10" s="72" t="str">
        <f>IF(B10="","",IF(M10="","NO CUMPLE",IF(M10&gt;$N$4*'3.2.1 EXPERIENCIA GRAL'!$I$6,"CUMPLE","NO CUMPLE")))</f>
        <v>CUMPLE</v>
      </c>
    </row>
    <row r="11" spans="1:17" ht="25.5" customHeight="1">
      <c r="A11" s="33">
        <f>IF(ENTREGA!A12="","",ENTREGA!A12)</f>
        <v>6</v>
      </c>
      <c r="B11" s="70" t="str">
        <f>IF(A11="","",VLOOKUP(A11,ENTREGA!$A$7:$B$16,2,FALSE))</f>
        <v>INGAP S.A.S</v>
      </c>
      <c r="C11" s="75">
        <v>7785554080</v>
      </c>
      <c r="D11" s="75">
        <v>649615075</v>
      </c>
      <c r="E11" s="71">
        <f t="shared" si="4"/>
        <v>11.984872857207016</v>
      </c>
      <c r="F11" s="72" t="str">
        <f t="shared" si="0"/>
        <v>CUMPLE</v>
      </c>
      <c r="G11" s="76">
        <v>3402184604</v>
      </c>
      <c r="H11" s="76">
        <v>7935725701</v>
      </c>
      <c r="I11" s="73">
        <f t="shared" si="5"/>
        <v>0.4287175152199732</v>
      </c>
      <c r="J11" s="72" t="str">
        <f t="shared" si="1"/>
        <v>CUMPLE</v>
      </c>
      <c r="K11" s="71">
        <f t="shared" si="2"/>
        <v>7785554080</v>
      </c>
      <c r="L11" s="71">
        <f t="shared" si="3"/>
        <v>649615075</v>
      </c>
      <c r="M11" s="71">
        <f t="shared" si="6"/>
        <v>7135939005</v>
      </c>
      <c r="N11" s="72" t="str">
        <f>IF(B11="","",IF(M11="","NO CUMPLE",IF(M11&gt;$N$4*'3.2.1 EXPERIENCIA GRAL'!$I$6,"CUMPLE","NO CUMPLE")))</f>
        <v>CUMPLE</v>
      </c>
    </row>
    <row r="12" spans="1:17" ht="25.5" customHeight="1">
      <c r="A12" s="33">
        <f>IF(ENTREGA!A13="","",ENTREGA!A13)</f>
        <v>7</v>
      </c>
      <c r="B12" s="70" t="str">
        <f>IF(A12="","",VLOOKUP(A12,ENTREGA!$A$7:$B$16,2,FALSE))</f>
        <v>GUSTAVO ENRIQUE CARDONA VERGARA</v>
      </c>
      <c r="C12" s="75">
        <v>4039806306</v>
      </c>
      <c r="D12" s="75">
        <v>32471688</v>
      </c>
      <c r="E12" s="71">
        <f t="shared" si="4"/>
        <v>124.41011092493868</v>
      </c>
      <c r="F12" s="72" t="str">
        <f t="shared" si="0"/>
        <v>CUMPLE</v>
      </c>
      <c r="G12" s="76">
        <v>15977148</v>
      </c>
      <c r="H12" s="76">
        <v>4821565806</v>
      </c>
      <c r="I12" s="73">
        <f t="shared" si="5"/>
        <v>3.3136845254954092E-3</v>
      </c>
      <c r="J12" s="72" t="str">
        <f t="shared" si="1"/>
        <v>CUMPLE</v>
      </c>
      <c r="K12" s="71">
        <f t="shared" si="2"/>
        <v>4039806306</v>
      </c>
      <c r="L12" s="71">
        <f t="shared" si="3"/>
        <v>32471688</v>
      </c>
      <c r="M12" s="71">
        <f t="shared" si="6"/>
        <v>4007334618</v>
      </c>
      <c r="N12" s="72" t="str">
        <f>IF(B12="","",IF(M12="","NO CUMPLE",IF(M12&gt;$N$4*'3.2.1 EXPERIENCIA GRAL'!$I$6,"CUMPLE","NO CUMPLE")))</f>
        <v>CUMPLE</v>
      </c>
    </row>
    <row r="13" spans="1:17" ht="36.75" customHeight="1">
      <c r="A13" s="33">
        <f>IF(ENTREGA!A14="","",ENTREGA!A14)</f>
        <v>8</v>
      </c>
      <c r="B13" s="70" t="str">
        <f>IF(A13="","",VLOOKUP(A13,ENTREGA!$A$7:$B$16,2,FALSE))</f>
        <v>ASESORES EMPRESARIALES Y CONSTRUCTORES S.A.S</v>
      </c>
      <c r="C13" s="75">
        <v>2123882476</v>
      </c>
      <c r="D13" s="75">
        <v>538483017</v>
      </c>
      <c r="E13" s="71">
        <f t="shared" si="4"/>
        <v>3.9441958408133044</v>
      </c>
      <c r="F13" s="72" t="str">
        <f t="shared" si="0"/>
        <v>CUMPLE</v>
      </c>
      <c r="G13" s="76">
        <v>642805273</v>
      </c>
      <c r="H13" s="76">
        <v>3075598124</v>
      </c>
      <c r="I13" s="73">
        <f t="shared" si="5"/>
        <v>0.20900171188945621</v>
      </c>
      <c r="J13" s="72" t="str">
        <f t="shared" si="1"/>
        <v>CUMPLE</v>
      </c>
      <c r="K13" s="71">
        <f t="shared" si="2"/>
        <v>2123882476</v>
      </c>
      <c r="L13" s="71">
        <f t="shared" si="3"/>
        <v>538483017</v>
      </c>
      <c r="M13" s="71">
        <f t="shared" si="6"/>
        <v>1585399459</v>
      </c>
      <c r="N13" s="72" t="str">
        <f>IF(B13="","",IF(M13="","NO CUMPLE",IF(M13&gt;$N$4*'3.2.1 EXPERIENCIA GRAL'!$I$6,"CUMPLE","NO CUMPLE")))</f>
        <v>CUMPLE</v>
      </c>
    </row>
    <row r="14" spans="1:17" ht="25.5" customHeight="1">
      <c r="A14" s="33">
        <f>IF(ENTREGA!A15="","",ENTREGA!A15)</f>
        <v>9</v>
      </c>
      <c r="B14" s="70" t="str">
        <f>IF(A14="","",VLOOKUP(A14,ENTREGA!$A$7:$B$16,2,FALSE))</f>
        <v>DANIEL JOSE NIEVES VERGARA</v>
      </c>
      <c r="C14" s="75">
        <v>1345564910</v>
      </c>
      <c r="D14" s="75">
        <v>98366456</v>
      </c>
      <c r="E14" s="71">
        <f t="shared" si="4"/>
        <v>13.67910327073286</v>
      </c>
      <c r="F14" s="72" t="str">
        <f t="shared" si="0"/>
        <v>CUMPLE</v>
      </c>
      <c r="G14" s="76">
        <v>98366456</v>
      </c>
      <c r="H14" s="76">
        <v>1633173638</v>
      </c>
      <c r="I14" s="73">
        <f t="shared" si="5"/>
        <v>6.0230249687633033E-2</v>
      </c>
      <c r="J14" s="72" t="str">
        <f t="shared" si="1"/>
        <v>CUMPLE</v>
      </c>
      <c r="K14" s="71">
        <f t="shared" si="2"/>
        <v>1345564910</v>
      </c>
      <c r="L14" s="71">
        <f t="shared" si="3"/>
        <v>98366456</v>
      </c>
      <c r="M14" s="71">
        <f t="shared" si="6"/>
        <v>1247198454</v>
      </c>
      <c r="N14" s="72" t="str">
        <f>IF(B14="","",IF(M14="","NO CUMPLE",IF(M14&gt;$N$4*'3.2.1 EXPERIENCIA GRAL'!$I$6,"CUMPLE","NO CUMPLE")))</f>
        <v>CUMPLE</v>
      </c>
    </row>
    <row r="15" spans="1:17" ht="25.5" customHeight="1">
      <c r="A15" s="33">
        <f>IF(ENTREGA!A16="","",ENTREGA!A16)</f>
        <v>10</v>
      </c>
      <c r="B15" s="70" t="str">
        <f>IF(A15="","",VLOOKUP(A15,ENTREGA!$A$7:$B$16,2,FALSE))</f>
        <v>BETEL INGENIEROS S.A.S</v>
      </c>
      <c r="C15" s="75">
        <v>969702737</v>
      </c>
      <c r="D15" s="75">
        <v>131818027</v>
      </c>
      <c r="E15" s="71">
        <f>IF(B15="","",IF(D15="","",C15/D15))</f>
        <v>7.3563742309691831</v>
      </c>
      <c r="F15" s="72" t="str">
        <f t="shared" si="0"/>
        <v>CUMPLE</v>
      </c>
      <c r="G15" s="76">
        <v>216978203</v>
      </c>
      <c r="H15" s="76">
        <v>1019148144</v>
      </c>
      <c r="I15" s="73">
        <f t="shared" si="5"/>
        <v>0.21290153377348445</v>
      </c>
      <c r="J15" s="72" t="str">
        <f t="shared" si="1"/>
        <v>CUMPLE</v>
      </c>
      <c r="K15" s="71">
        <f t="shared" ref="K15" si="7">IF(B15="","",C15)</f>
        <v>969702737</v>
      </c>
      <c r="L15" s="71">
        <f t="shared" ref="L15" si="8">IF(B15="","",D15)</f>
        <v>131818027</v>
      </c>
      <c r="M15" s="71">
        <f>IF(B15="","",IF(K15="","",K15-L15))</f>
        <v>837884710</v>
      </c>
      <c r="N15" s="72" t="str">
        <f>IF(B15="","",IF(M15="","NO CUMPLE",IF(M15&gt;$N$4*'3.2.1 EXPERIENCIA GRAL'!$I$6,"CUMPLE","NO CUMPLE")))</f>
        <v>NO CUMPLE</v>
      </c>
      <c r="O15" s="820"/>
      <c r="P15" s="821"/>
      <c r="Q15" s="821"/>
    </row>
  </sheetData>
  <sheetProtection password="A658" sheet="1" objects="1" scenarios="1" selectLockedCells="1" selectUnlockedCells="1"/>
  <mergeCells count="10">
    <mergeCell ref="O15:Q15"/>
    <mergeCell ref="A1:N1"/>
    <mergeCell ref="G3:J3"/>
    <mergeCell ref="K3:N3"/>
    <mergeCell ref="A3:A5"/>
    <mergeCell ref="B3:B5"/>
    <mergeCell ref="C3:F3"/>
    <mergeCell ref="D4:E4"/>
    <mergeCell ref="H4:I4"/>
    <mergeCell ref="L4:M4"/>
  </mergeCells>
  <conditionalFormatting sqref="J6:J15">
    <cfRule type="cellIs" dxfId="43" priority="6" operator="equal">
      <formula>"NO CUMPLE"</formula>
    </cfRule>
  </conditionalFormatting>
  <conditionalFormatting sqref="F6:F15">
    <cfRule type="cellIs" dxfId="42" priority="2" operator="equal">
      <formula>"NO CUMPLE"</formula>
    </cfRule>
  </conditionalFormatting>
  <conditionalFormatting sqref="N6:N15">
    <cfRule type="cellIs" dxfId="41" priority="1" operator="equal">
      <formula>"NO CUMPLE"</formula>
    </cfRule>
  </conditionalFormatting>
  <printOptions horizontalCentered="1"/>
  <pageMargins left="0.59055118110236227" right="0.39370078740157483" top="0.39370078740157483" bottom="0.19685039370078741" header="0.31496062992125984" footer="0.31496062992125984"/>
  <pageSetup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8"/>
  <sheetViews>
    <sheetView zoomScale="85" zoomScaleNormal="85" zoomScaleSheetLayoutView="85" workbookViewId="0">
      <selection activeCell="D11" sqref="D11"/>
    </sheetView>
  </sheetViews>
  <sheetFormatPr baseColWidth="10" defaultColWidth="11.42578125" defaultRowHeight="12.75"/>
  <cols>
    <col min="1" max="1" width="8" style="1" customWidth="1"/>
    <col min="2" max="2" width="41" style="1" customWidth="1"/>
    <col min="3" max="5" width="42.28515625" style="1" customWidth="1"/>
    <col min="6" max="16384" width="11.42578125" style="1"/>
  </cols>
  <sheetData>
    <row r="1" spans="1:5" ht="28.5" customHeight="1">
      <c r="A1" s="822" t="s">
        <v>111</v>
      </c>
      <c r="B1" s="823"/>
      <c r="C1" s="823"/>
      <c r="D1" s="823"/>
      <c r="E1" s="823"/>
    </row>
    <row r="3" spans="1:5" ht="51">
      <c r="A3" s="3"/>
      <c r="B3" s="4" t="s">
        <v>40</v>
      </c>
      <c r="C3" s="2" t="s">
        <v>135</v>
      </c>
      <c r="D3" s="2" t="s">
        <v>136</v>
      </c>
      <c r="E3" s="2" t="s">
        <v>137</v>
      </c>
    </row>
    <row r="4" spans="1:5" ht="38.25" customHeight="1">
      <c r="A4" s="37">
        <f>+IF(ENTREGA!A7="","",ENTREGA!A7)</f>
        <v>1</v>
      </c>
      <c r="B4" s="13" t="str">
        <f>IF(A4="","",VLOOKUP(A4,ENTREGA!$A$7:$B$16,2,FALSE))</f>
        <v>GUSTAVO ADOLFO CARMONA ALARCON</v>
      </c>
      <c r="C4" s="202" t="s">
        <v>653</v>
      </c>
      <c r="D4" s="202" t="s">
        <v>653</v>
      </c>
      <c r="E4" s="202" t="s">
        <v>653</v>
      </c>
    </row>
    <row r="5" spans="1:5" ht="38.25" customHeight="1">
      <c r="A5" s="37">
        <f>+IF(ENTREGA!A8="","",ENTREGA!A8)</f>
        <v>2</v>
      </c>
      <c r="B5" s="13" t="str">
        <f>IF(A5="","",VLOOKUP(A5,ENTREGA!$A$7:$B$16,2,FALSE))</f>
        <v>VERTICES INGENIERIA</v>
      </c>
      <c r="C5" s="202" t="s">
        <v>653</v>
      </c>
      <c r="D5" s="202" t="s">
        <v>653</v>
      </c>
      <c r="E5" s="202" t="s">
        <v>653</v>
      </c>
    </row>
    <row r="6" spans="1:5" ht="38.25" customHeight="1">
      <c r="A6" s="37">
        <f>+IF(ENTREGA!A9="","",ENTREGA!A9)</f>
        <v>3</v>
      </c>
      <c r="B6" s="13" t="str">
        <f>IF(A6="","",VLOOKUP(A6,ENTREGA!$A$7:$B$16,2,FALSE))</f>
        <v>INGENIERIA DE ALTURA S.A.S</v>
      </c>
      <c r="C6" s="202" t="s">
        <v>653</v>
      </c>
      <c r="D6" s="202" t="s">
        <v>653</v>
      </c>
      <c r="E6" s="202" t="s">
        <v>653</v>
      </c>
    </row>
    <row r="7" spans="1:5" ht="38.25" customHeight="1">
      <c r="A7" s="37">
        <f>+IF(ENTREGA!A10="","",ENTREGA!A10)</f>
        <v>4</v>
      </c>
      <c r="B7" s="13" t="str">
        <f>IF(A7="","",VLOOKUP(A7,ENTREGA!$A$7:$B$16,2,FALSE))</f>
        <v>URBANICO S.A.S</v>
      </c>
      <c r="C7" s="202" t="s">
        <v>653</v>
      </c>
      <c r="D7" s="202" t="s">
        <v>653</v>
      </c>
      <c r="E7" s="202" t="s">
        <v>653</v>
      </c>
    </row>
    <row r="8" spans="1:5" ht="38.25" customHeight="1">
      <c r="A8" s="37">
        <f>+IF(ENTREGA!A11="","",ENTREGA!A11)</f>
        <v>5</v>
      </c>
      <c r="B8" s="13" t="str">
        <f>IF(A8="","",VLOOKUP(A8,ENTREGA!$A$7:$B$16,2,FALSE))</f>
        <v>LUIS ENRIQUE OYOLA QUINTERO</v>
      </c>
      <c r="C8" s="202" t="s">
        <v>653</v>
      </c>
      <c r="D8" s="202" t="s">
        <v>653</v>
      </c>
      <c r="E8" s="202" t="s">
        <v>653</v>
      </c>
    </row>
    <row r="9" spans="1:5" ht="38.25" customHeight="1">
      <c r="A9" s="37">
        <f>+IF(ENTREGA!A12="","",ENTREGA!A12)</f>
        <v>6</v>
      </c>
      <c r="B9" s="13" t="str">
        <f>IF(A9="","",VLOOKUP(A9,ENTREGA!$A$7:$B$16,2,FALSE))</f>
        <v>INGAP S.A.S</v>
      </c>
      <c r="C9" s="202" t="s">
        <v>653</v>
      </c>
      <c r="D9" s="202" t="s">
        <v>653</v>
      </c>
      <c r="E9" s="202" t="s">
        <v>653</v>
      </c>
    </row>
    <row r="10" spans="1:5" ht="38.25" customHeight="1">
      <c r="A10" s="37">
        <f>+IF(ENTREGA!A13="","",ENTREGA!A13)</f>
        <v>7</v>
      </c>
      <c r="B10" s="13" t="str">
        <f>IF(A10="","",VLOOKUP(A10,ENTREGA!$A$7:$B$16,2,FALSE))</f>
        <v>GUSTAVO ENRIQUE CARDONA VERGARA</v>
      </c>
      <c r="C10" s="202" t="s">
        <v>653</v>
      </c>
      <c r="D10" s="202" t="s">
        <v>653</v>
      </c>
      <c r="E10" s="202" t="s">
        <v>653</v>
      </c>
    </row>
    <row r="11" spans="1:5" ht="38.25" customHeight="1">
      <c r="A11" s="37">
        <f>+IF(ENTREGA!A14="","",ENTREGA!A14)</f>
        <v>8</v>
      </c>
      <c r="B11" s="13" t="str">
        <f>IF(A11="","",VLOOKUP(A11,ENTREGA!$A$7:$B$16,2,FALSE))</f>
        <v>ASESORES EMPRESARIALES Y CONSTRUCTORES S.A.S</v>
      </c>
      <c r="C11" s="202" t="s">
        <v>653</v>
      </c>
      <c r="D11" s="202" t="s">
        <v>653</v>
      </c>
      <c r="E11" s="202" t="s">
        <v>653</v>
      </c>
    </row>
    <row r="12" spans="1:5" ht="38.25" customHeight="1">
      <c r="A12" s="37">
        <f>+IF(ENTREGA!A15="","",ENTREGA!A15)</f>
        <v>9</v>
      </c>
      <c r="B12" s="13" t="str">
        <f>IF(A12="","",VLOOKUP(A12,ENTREGA!$A$7:$B$16,2,FALSE))</f>
        <v>DANIEL JOSE NIEVES VERGARA</v>
      </c>
      <c r="C12" s="202" t="s">
        <v>653</v>
      </c>
      <c r="D12" s="202" t="s">
        <v>653</v>
      </c>
      <c r="E12" s="202" t="s">
        <v>653</v>
      </c>
    </row>
    <row r="13" spans="1:5" ht="38.25" customHeight="1">
      <c r="A13" s="37">
        <f>+IF(ENTREGA!A16="","",ENTREGA!A16)</f>
        <v>10</v>
      </c>
      <c r="B13" s="13" t="str">
        <f>IF(A13="","",VLOOKUP(A13,ENTREGA!$A$7:$B$16,2,FALSE))</f>
        <v>BETEL INGENIEROS S.A.S</v>
      </c>
      <c r="C13" s="202" t="s">
        <v>653</v>
      </c>
      <c r="D13" s="202" t="s">
        <v>653</v>
      </c>
      <c r="E13" s="202" t="s">
        <v>653</v>
      </c>
    </row>
    <row r="14" spans="1:5" ht="38.25" hidden="1" customHeight="1">
      <c r="A14" s="37" t="e">
        <f>+IF(ENTREGA!#REF!="","",ENTREGA!#REF!)</f>
        <v>#REF!</v>
      </c>
      <c r="B14" s="13" t="e">
        <f>IF(A14="","",VLOOKUP(A14,ENTREGA!$A$7:$B$16,2,FALSE))</f>
        <v>#REF!</v>
      </c>
      <c r="C14" s="202"/>
      <c r="D14" s="202"/>
      <c r="E14" s="202"/>
    </row>
    <row r="15" spans="1:5" ht="38.25" hidden="1" customHeight="1">
      <c r="A15" s="37" t="e">
        <f>+IF(ENTREGA!#REF!="","",ENTREGA!#REF!)</f>
        <v>#REF!</v>
      </c>
      <c r="B15" s="13" t="e">
        <f>IF(A15="","",VLOOKUP(A15,ENTREGA!$A$7:$B$16,2,FALSE))</f>
        <v>#REF!</v>
      </c>
      <c r="C15" s="202"/>
      <c r="D15" s="202"/>
      <c r="E15" s="202"/>
    </row>
    <row r="16" spans="1:5" ht="38.25" hidden="1" customHeight="1">
      <c r="A16" s="37" t="e">
        <f>+IF(ENTREGA!#REF!="","",ENTREGA!#REF!)</f>
        <v>#REF!</v>
      </c>
      <c r="B16" s="13" t="e">
        <f>IF(A16="","",VLOOKUP(A16,ENTREGA!$A$7:$B$16,2,FALSE))</f>
        <v>#REF!</v>
      </c>
      <c r="C16" s="202"/>
      <c r="D16" s="202"/>
      <c r="E16" s="202"/>
    </row>
    <row r="17" spans="1:5" ht="38.25" hidden="1" customHeight="1">
      <c r="A17" s="37" t="e">
        <f>+IF(ENTREGA!#REF!="","",ENTREGA!#REF!)</f>
        <v>#REF!</v>
      </c>
      <c r="B17" s="13" t="e">
        <f>IF(A17="","",VLOOKUP(A17,ENTREGA!$A$7:$B$16,2,FALSE))</f>
        <v>#REF!</v>
      </c>
      <c r="C17" s="202"/>
      <c r="D17" s="202"/>
      <c r="E17" s="202"/>
    </row>
    <row r="18" spans="1:5" ht="38.25" hidden="1" customHeight="1">
      <c r="A18" s="37" t="e">
        <f>+IF(ENTREGA!#REF!="","",ENTREGA!#REF!)</f>
        <v>#REF!</v>
      </c>
      <c r="B18" s="13" t="e">
        <f>IF(A18="","",VLOOKUP(A18,ENTREGA!$A$7:$B$16,2,FALSE))</f>
        <v>#REF!</v>
      </c>
      <c r="C18" s="202"/>
      <c r="D18" s="202"/>
      <c r="E18" s="202"/>
    </row>
  </sheetData>
  <sheetProtection password="A658" sheet="1" objects="1" scenarios="1" selectLockedCells="1" selectUnlockedCells="1"/>
  <mergeCells count="1">
    <mergeCell ref="A1:E1"/>
  </mergeCells>
  <printOptions horizontalCentered="1"/>
  <pageMargins left="0.39370078740157483" right="0.39370078740157483" top="0.59055118110236227" bottom="0.39370078740157483" header="0.31496062992125984" footer="0.31496062992125984"/>
  <pageSetup scale="75"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F22"/>
  <sheetViews>
    <sheetView tabSelected="1" zoomScaleNormal="100" workbookViewId="0">
      <selection activeCell="G12" sqref="G12"/>
    </sheetView>
  </sheetViews>
  <sheetFormatPr baseColWidth="10" defaultColWidth="11.42578125" defaultRowHeight="15"/>
  <cols>
    <col min="1" max="1" width="6.140625" style="47" customWidth="1"/>
    <col min="2" max="2" width="13.7109375" style="47" customWidth="1"/>
    <col min="3" max="3" width="14.140625" style="47" bestFit="1" customWidth="1"/>
    <col min="4" max="4" width="11.140625" style="47" customWidth="1"/>
    <col min="5" max="5" width="10" style="47" customWidth="1"/>
    <col min="6" max="6" width="16.140625" style="47" customWidth="1"/>
    <col min="7" max="7" width="15.85546875" style="47" customWidth="1"/>
    <col min="8" max="9" width="11.140625" style="47" customWidth="1"/>
    <col min="10" max="10" width="11.7109375" style="47" bestFit="1" customWidth="1"/>
    <col min="11" max="11" width="11.140625" style="47" customWidth="1"/>
    <col min="12" max="13" width="9.42578125" style="47" customWidth="1"/>
    <col min="14" max="14" width="18.85546875" style="47" customWidth="1"/>
    <col min="15" max="15" width="11.7109375" style="47" customWidth="1"/>
    <col min="16" max="16" width="11.42578125" style="47"/>
    <col min="17" max="29" width="6.140625" style="47" hidden="1" customWidth="1"/>
    <col min="30" max="30" width="8.28515625" style="47" hidden="1" customWidth="1"/>
    <col min="31" max="32" width="11.7109375" style="47" bestFit="1" customWidth="1"/>
    <col min="33" max="16384" width="11.42578125" style="47"/>
  </cols>
  <sheetData>
    <row r="1" spans="1:32" ht="49.5" customHeight="1">
      <c r="A1" s="837" t="str">
        <f>+ENTREGA!A1</f>
        <v>UNIVERSIDAD DE ANTIOQUIA</v>
      </c>
      <c r="B1" s="838"/>
      <c r="C1" s="838"/>
      <c r="D1" s="838"/>
      <c r="E1" s="838"/>
      <c r="F1" s="838"/>
      <c r="G1" s="838"/>
      <c r="H1" s="838"/>
      <c r="I1" s="838"/>
      <c r="J1" s="839"/>
      <c r="K1" s="838"/>
      <c r="L1" s="838"/>
      <c r="M1" s="838"/>
      <c r="N1" s="838"/>
      <c r="O1" s="840"/>
    </row>
    <row r="2" spans="1:32" ht="34.5" customHeight="1">
      <c r="A2" s="841" t="str">
        <f>+ENTREGA!A2</f>
        <v>Invitación Pública N° VA-012-2019</v>
      </c>
      <c r="B2" s="842"/>
      <c r="C2" s="842"/>
      <c r="D2" s="842"/>
      <c r="E2" s="842"/>
      <c r="F2" s="842"/>
      <c r="G2" s="842"/>
      <c r="H2" s="842"/>
      <c r="I2" s="842"/>
      <c r="J2" s="842"/>
      <c r="K2" s="842"/>
      <c r="L2" s="842"/>
      <c r="M2" s="842"/>
      <c r="N2" s="842"/>
      <c r="O2" s="843"/>
    </row>
    <row r="3" spans="1:32" ht="47.25" customHeight="1">
      <c r="A3" s="844" t="str">
        <f>+ENTREGA!A3</f>
        <v>OBJETO: “Realizar las obras civiles, hidráulicas, eléctricas, de mantenimiento, adecuaciones, reparaciones y obras complementarias para la infraestructura de la sede Carmen de Viboral. Seccional Oriente, por la modalidad de precios unitarios fijos no reajustables, conforma con las especificaciones técnicas de construcción (ver anexo 1)”</v>
      </c>
      <c r="B3" s="845"/>
      <c r="C3" s="845"/>
      <c r="D3" s="845"/>
      <c r="E3" s="845"/>
      <c r="F3" s="845"/>
      <c r="G3" s="845"/>
      <c r="H3" s="845"/>
      <c r="I3" s="845"/>
      <c r="J3" s="845"/>
      <c r="K3" s="845"/>
      <c r="L3" s="845"/>
      <c r="M3" s="845"/>
      <c r="N3" s="845"/>
      <c r="O3" s="846"/>
    </row>
    <row r="4" spans="1:32" ht="26.25" customHeight="1">
      <c r="A4" s="847" t="s">
        <v>66</v>
      </c>
      <c r="B4" s="848"/>
      <c r="C4" s="848"/>
      <c r="D4" s="848"/>
      <c r="E4" s="848"/>
      <c r="F4" s="848"/>
      <c r="G4" s="848"/>
      <c r="H4" s="848"/>
      <c r="I4" s="848"/>
      <c r="J4" s="848"/>
      <c r="K4" s="848"/>
      <c r="L4" s="848"/>
      <c r="M4" s="848"/>
      <c r="N4" s="848"/>
      <c r="O4" s="849"/>
    </row>
    <row r="5" spans="1:32" ht="15.75" thickBot="1">
      <c r="A5" s="48"/>
      <c r="B5" s="48"/>
      <c r="C5" s="48"/>
      <c r="D5" s="48"/>
      <c r="E5" s="48"/>
      <c r="F5" s="48"/>
      <c r="G5" s="48"/>
      <c r="H5" s="48"/>
      <c r="I5" s="48"/>
      <c r="J5" s="48"/>
      <c r="K5" s="48"/>
      <c r="L5" s="48"/>
      <c r="M5" s="48"/>
      <c r="N5" s="48"/>
      <c r="O5" s="48"/>
    </row>
    <row r="6" spans="1:32" ht="15" customHeight="1">
      <c r="A6" s="858" t="s">
        <v>35</v>
      </c>
      <c r="B6" s="859"/>
      <c r="C6" s="218">
        <v>3344.45</v>
      </c>
      <c r="D6" s="853" t="s">
        <v>99</v>
      </c>
      <c r="E6" s="854"/>
      <c r="F6" s="855"/>
      <c r="G6" s="869" t="s">
        <v>69</v>
      </c>
      <c r="H6" s="870"/>
      <c r="I6" s="870"/>
      <c r="J6" s="870"/>
      <c r="K6" s="871"/>
      <c r="L6" s="48"/>
      <c r="M6" s="48"/>
      <c r="N6" s="49" t="s">
        <v>34</v>
      </c>
      <c r="O6" s="50">
        <f>+'3.2.1 EXPERIENCIA GRAL'!I6</f>
        <v>414562766</v>
      </c>
    </row>
    <row r="7" spans="1:32" ht="20.25" customHeight="1" thickBot="1">
      <c r="A7" s="856" t="s">
        <v>67</v>
      </c>
      <c r="B7" s="857"/>
      <c r="C7" s="219">
        <v>43607</v>
      </c>
      <c r="D7" s="44">
        <v>1</v>
      </c>
      <c r="E7" s="865" t="s">
        <v>97</v>
      </c>
      <c r="F7" s="866"/>
      <c r="G7" s="130">
        <f>IF(($C$6-TRUNC($C$6))&lt;=0.5,1,2)</f>
        <v>1</v>
      </c>
      <c r="H7" s="867" t="str">
        <f>IF(G7=3,VLOOKUP(G7,$D$7:$E$8,2,FALSE),IF(G7=2,VLOOKUP(G7,$D$7:$E$8,2,FALSE),IF(G7=1,VLOOKUP(G7,$D$7:$E$8,2,FALSE),"NINGUNO")))</f>
        <v>Media aritmética</v>
      </c>
      <c r="I7" s="868"/>
      <c r="J7" s="131">
        <f>IF($H$7="Media aritmética",ROUND(SUM(F13:F22)/O7,2),ROUND(_xlfn.STDEV.P(F13:F22),2))</f>
        <v>368541753.25</v>
      </c>
      <c r="K7" s="132">
        <f>IF($H$7="Media aritmética",ROUND(SUM(G13:G22)/O7,4),ROUND(_xlfn.STDEV.P(G13:G22),4))</f>
        <v>0.1022</v>
      </c>
      <c r="L7" s="48"/>
      <c r="M7" s="48"/>
      <c r="N7" s="51" t="s">
        <v>98</v>
      </c>
      <c r="O7" s="52">
        <f>COUNT(F13:F22)</f>
        <v>8</v>
      </c>
    </row>
    <row r="8" spans="1:32" ht="21" customHeight="1" thickBot="1">
      <c r="A8" s="863" t="s">
        <v>173</v>
      </c>
      <c r="B8" s="864"/>
      <c r="C8" s="735">
        <v>1220000000</v>
      </c>
      <c r="D8" s="45">
        <v>2</v>
      </c>
      <c r="E8" s="872" t="s">
        <v>129</v>
      </c>
      <c r="F8" s="873"/>
      <c r="G8" s="48"/>
      <c r="H8" s="48"/>
      <c r="I8" s="48"/>
      <c r="J8" s="48"/>
      <c r="K8" s="48"/>
      <c r="L8" s="48"/>
      <c r="M8" s="53"/>
      <c r="N8" s="48"/>
      <c r="O8" s="48"/>
    </row>
    <row r="9" spans="1:32" ht="21" customHeight="1" thickBot="1">
      <c r="A9" s="863" t="s">
        <v>123</v>
      </c>
      <c r="B9" s="864"/>
      <c r="C9" s="224">
        <v>0.1134</v>
      </c>
      <c r="D9" s="48"/>
      <c r="E9" s="48"/>
      <c r="F9" s="48"/>
      <c r="G9" s="48"/>
      <c r="H9" s="48"/>
      <c r="I9" s="48"/>
      <c r="J9" s="48"/>
      <c r="K9" s="48"/>
      <c r="L9" s="48"/>
      <c r="M9" s="48"/>
      <c r="N9" s="48"/>
      <c r="O9" s="48"/>
    </row>
    <row r="10" spans="1:32" ht="18" customHeight="1">
      <c r="A10" s="48"/>
      <c r="B10" s="48"/>
      <c r="C10" s="48"/>
      <c r="D10" s="48"/>
      <c r="E10" s="48"/>
      <c r="F10" s="48"/>
      <c r="G10" s="48"/>
      <c r="H10" s="860" t="s">
        <v>122</v>
      </c>
      <c r="I10" s="860"/>
      <c r="J10" s="860"/>
      <c r="K10" s="860"/>
      <c r="L10" s="134" t="s">
        <v>2</v>
      </c>
      <c r="M10" s="48"/>
      <c r="N10" s="48"/>
      <c r="O10" s="48"/>
    </row>
    <row r="11" spans="1:32" ht="18" customHeight="1">
      <c r="A11" s="54"/>
      <c r="B11" s="53"/>
      <c r="C11" s="54"/>
      <c r="D11" s="53"/>
      <c r="E11" s="55" t="s">
        <v>83</v>
      </c>
      <c r="F11" s="53"/>
      <c r="G11" s="53"/>
      <c r="H11" s="135">
        <v>100</v>
      </c>
      <c r="I11" s="135">
        <v>120</v>
      </c>
      <c r="J11" s="135">
        <f>200-I11</f>
        <v>80</v>
      </c>
      <c r="K11" s="135">
        <v>100</v>
      </c>
      <c r="L11" s="134">
        <f>+SUM(H11:K11)</f>
        <v>400</v>
      </c>
      <c r="M11" s="53"/>
      <c r="N11" s="48"/>
      <c r="O11" s="48"/>
    </row>
    <row r="12" spans="1:32" ht="47.25" customHeight="1">
      <c r="A12" s="56" t="s">
        <v>37</v>
      </c>
      <c r="B12" s="850" t="s">
        <v>39</v>
      </c>
      <c r="C12" s="851"/>
      <c r="D12" s="852"/>
      <c r="E12" s="57" t="s">
        <v>84</v>
      </c>
      <c r="F12" s="56" t="s">
        <v>302</v>
      </c>
      <c r="G12" s="58" t="s">
        <v>130</v>
      </c>
      <c r="H12" s="133" t="s">
        <v>68</v>
      </c>
      <c r="I12" s="133" t="s">
        <v>124</v>
      </c>
      <c r="J12" s="133" t="s">
        <v>125</v>
      </c>
      <c r="K12" s="133" t="s">
        <v>80</v>
      </c>
      <c r="L12" s="58" t="s">
        <v>79</v>
      </c>
      <c r="M12" s="58" t="s">
        <v>36</v>
      </c>
      <c r="N12" s="862" t="s">
        <v>43</v>
      </c>
      <c r="O12" s="862"/>
      <c r="AE12" s="220"/>
    </row>
    <row r="13" spans="1:32" s="60" customFormat="1" ht="33" customHeight="1">
      <c r="A13" s="59">
        <f>+IF(ENTREGA!A7="","",ENTREGA!A7)</f>
        <v>1</v>
      </c>
      <c r="B13" s="834" t="str">
        <f>IF(A13="","",VLOOKUP(A13,ENTREGA!$A$7:$B$16,2,FALSE))</f>
        <v>GUSTAVO ADOLFO CARMONA ALARCON</v>
      </c>
      <c r="C13" s="835"/>
      <c r="D13" s="836"/>
      <c r="E13" s="46" t="s">
        <v>416</v>
      </c>
      <c r="F13" s="38">
        <f>IF(OR(E13="NH",E13=""),"",IF('Presupuesto Consolidado'!I81&gt;$C$8,"REVISAR",ROUND('Presupuesto Consolidado'!I81,0)))</f>
        <v>364626485</v>
      </c>
      <c r="G13" s="39">
        <f>IF(OR(E13="NH",E13=""),"",IF('Analisis A.U.'!I27&gt;$C$9,"REVISAR",ROUND('Analisis A.U.'!I27,4)))</f>
        <v>0.1096</v>
      </c>
      <c r="H13" s="40">
        <f t="shared" ref="H13:H22" si="0">IF(F13="","",IF($H$7="Media aritmética",(F13&lt;=$J$7)*100+(F13&gt;$J$7)*0,IF(AND((AVERAGE($F$13:$F$22)-$J$7/2&lt;=F13),(F13&lt;=(AVERAGE($F$13:$F$22)+$J$7/2))),100,0)))</f>
        <v>100</v>
      </c>
      <c r="I13" s="41">
        <f>+IF(E13="H",HLOOKUP(A13,'Cálculo Pt2'!$C$7:$V$11,3,FALSE),"")</f>
        <v>49.411764705882362</v>
      </c>
      <c r="J13" s="41">
        <f>+IF(E13="H",HLOOKUP(A13,'Cálculo Pt2'!$C$7:$V$11,4,FALSE),"")</f>
        <v>44.651162790697697</v>
      </c>
      <c r="K13" s="40">
        <f t="shared" ref="K13:K22" si="1">IF(G13="","",ROUND($K$11*MIN($G$13:$G$22)/$G13,2))</f>
        <v>84.03</v>
      </c>
      <c r="L13" s="42">
        <f t="shared" ref="L13:L22" si="2">IF(OR(E13="",E13="NH"),"",SUM(H13:K13))</f>
        <v>278.09292749658005</v>
      </c>
      <c r="M13" s="43">
        <f t="shared" ref="M13:M22" si="3">IF(OR(E13="",E13="NH"),"",(L13=MAX($L$13:$L$22))*1+(L13=MAX($Q$13:$Q$22))*2+(L13=MAX($R$13:$R$22))*3+(L13=MAX($S$13:$S$22))*4+(L13=MAX($T$13:$T$22))*5+(L13=MAX($U$13:$U$22))*6+(L13=MAX($V$13:$V$22))*7+(L13=MAX($W$13:$W$22))*8+(L13=MAX($X$13:$X$22))*9+(L13=MAX($Y$13:$Y$22))*10+(L13=MAX($Z$13:$Z$22))*11+(L13=MAX($AA$13:$AA$22))*12+(L13=MAX($AB$13:$AB$22))*13+(L13=MAX($AC$13:$AC$22))*14+(L13=MAX($AD$13:$AD$22))*15)</f>
        <v>3</v>
      </c>
      <c r="N13" s="861"/>
      <c r="O13" s="861"/>
      <c r="Q13" s="61">
        <f t="shared" ref="Q13:Q22" si="4">+IF(L13=MAX($L$13:$L$22),"",L13)</f>
        <v>278.09292749658005</v>
      </c>
      <c r="R13" s="61">
        <f t="shared" ref="R13:R22" si="5">+IF(Q13=MAX($Q$13:$Q$22),"",Q13)</f>
        <v>278.09292749658005</v>
      </c>
      <c r="S13" s="61" t="str">
        <f t="shared" ref="S13:S22" si="6">+IF(R13=MAX($R$13:$R$22),"",R13)</f>
        <v/>
      </c>
      <c r="T13" s="61" t="str">
        <f t="shared" ref="T13:T22" si="7">+IF(S13=MAX($S$13:$S$22),"",S13)</f>
        <v/>
      </c>
      <c r="U13" s="61" t="str">
        <f t="shared" ref="U13:U22" si="8">+IF(T13=MAX($T$13:$T$22),"",T13)</f>
        <v/>
      </c>
      <c r="V13" s="61" t="str">
        <f t="shared" ref="V13:V22" si="9">+IF(U13=MAX($U$13:$U$22),"",U13)</f>
        <v/>
      </c>
      <c r="W13" s="61" t="str">
        <f t="shared" ref="W13:W22" si="10">+IF(V13=MAX($V$13:$V$22),"",V13)</f>
        <v/>
      </c>
      <c r="X13" s="61" t="str">
        <f t="shared" ref="X13:X22" si="11">+IF(W13=MAX($W$13:$W$22),"",W13)</f>
        <v/>
      </c>
      <c r="Y13" s="61" t="str">
        <f t="shared" ref="Y13:Y22" si="12">+IF(X13=MAX($X$13:$X$22),"",X13)</f>
        <v/>
      </c>
      <c r="Z13" s="61" t="str">
        <f t="shared" ref="Z13:Z22" si="13">+IF(Y13=MAX($Y$13:$Y$22),"",Y13)</f>
        <v/>
      </c>
      <c r="AA13" s="61" t="str">
        <f t="shared" ref="AA13:AA22" si="14">+IF(Z13=MAX($Z$13:$Z$22),"",Z13)</f>
        <v/>
      </c>
      <c r="AB13" s="61" t="str">
        <f t="shared" ref="AB13:AB22" si="15">+IF(AA13=MAX($AA$13:$AA$22),"",AA13)</f>
        <v/>
      </c>
      <c r="AC13" s="61" t="str">
        <f t="shared" ref="AC13:AC22" si="16">+IF(AB13=MAX($AB$13:$AB$22),"",AB13)</f>
        <v/>
      </c>
      <c r="AD13" s="61" t="str">
        <f t="shared" ref="AD13:AD22" si="17">+IF(AC13=MAX($AC$13:$AC$22),"",AC13)</f>
        <v/>
      </c>
      <c r="AE13" s="220"/>
      <c r="AF13" s="220"/>
    </row>
    <row r="14" spans="1:32" s="60" customFormat="1" ht="33" customHeight="1">
      <c r="A14" s="59">
        <f>+IF(ENTREGA!A8="","",ENTREGA!A8)</f>
        <v>2</v>
      </c>
      <c r="B14" s="834" t="str">
        <f>IF(A14="","",VLOOKUP(A14,ENTREGA!$A$7:$B$16,2,FALSE))</f>
        <v>VERTICES INGENIERIA</v>
      </c>
      <c r="C14" s="835"/>
      <c r="D14" s="836"/>
      <c r="E14" s="46" t="s">
        <v>416</v>
      </c>
      <c r="F14" s="38">
        <f>IF(OR(E14="NH",E14=""),"",IF('Presupuesto Consolidado'!S81&gt;$C$8,"REVISAR",ROUND('Presupuesto Consolidado'!S81,0)))</f>
        <v>366770952</v>
      </c>
      <c r="G14" s="39">
        <f>IF(OR(E14="NH",E14=""),"",IF('Analisis A.U.'!T27&gt;$C$9,"REVISAR",ROUND('Analisis A.U.'!T27,4)))</f>
        <v>0.11269999999999999</v>
      </c>
      <c r="H14" s="40">
        <f t="shared" si="0"/>
        <v>100</v>
      </c>
      <c r="I14" s="41">
        <f>+IF(E14="H",HLOOKUP(A14,'Cálculo Pt2'!$C$7:$V$11,3,FALSE),"")</f>
        <v>63.529411764705898</v>
      </c>
      <c r="J14" s="41">
        <f>+IF(E14="H",HLOOKUP(A14,'Cálculo Pt2'!$C$7:$V$11,4,FALSE),"")</f>
        <v>40.930232558139551</v>
      </c>
      <c r="K14" s="40">
        <f t="shared" si="1"/>
        <v>81.72</v>
      </c>
      <c r="L14" s="42">
        <f t="shared" si="2"/>
        <v>286.17964432284543</v>
      </c>
      <c r="M14" s="43">
        <f t="shared" si="3"/>
        <v>1</v>
      </c>
      <c r="N14" s="861"/>
      <c r="O14" s="861"/>
      <c r="Q14" s="61" t="str">
        <f t="shared" si="4"/>
        <v/>
      </c>
      <c r="R14" s="61" t="str">
        <f t="shared" si="5"/>
        <v/>
      </c>
      <c r="S14" s="61" t="str">
        <f t="shared" si="6"/>
        <v/>
      </c>
      <c r="T14" s="61" t="str">
        <f t="shared" si="7"/>
        <v/>
      </c>
      <c r="U14" s="61" t="str">
        <f t="shared" si="8"/>
        <v/>
      </c>
      <c r="V14" s="61" t="str">
        <f t="shared" si="9"/>
        <v/>
      </c>
      <c r="W14" s="61" t="str">
        <f t="shared" si="10"/>
        <v/>
      </c>
      <c r="X14" s="61" t="str">
        <f t="shared" si="11"/>
        <v/>
      </c>
      <c r="Y14" s="61" t="str">
        <f t="shared" si="12"/>
        <v/>
      </c>
      <c r="Z14" s="61" t="str">
        <f t="shared" si="13"/>
        <v/>
      </c>
      <c r="AA14" s="61" t="str">
        <f t="shared" si="14"/>
        <v/>
      </c>
      <c r="AB14" s="61" t="str">
        <f t="shared" si="15"/>
        <v/>
      </c>
      <c r="AC14" s="61" t="str">
        <f t="shared" si="16"/>
        <v/>
      </c>
      <c r="AD14" s="61" t="str">
        <f t="shared" si="17"/>
        <v/>
      </c>
      <c r="AE14" s="220"/>
      <c r="AF14" s="220"/>
    </row>
    <row r="15" spans="1:32" s="60" customFormat="1" ht="33" customHeight="1">
      <c r="A15" s="59">
        <f>+IF(ENTREGA!A9="","",ENTREGA!A9)</f>
        <v>3</v>
      </c>
      <c r="B15" s="834" t="str">
        <f>IF(A15="","",VLOOKUP(A15,ENTREGA!$A$7:$B$16,2,FALSE))</f>
        <v>INGENIERIA DE ALTURA S.A.S</v>
      </c>
      <c r="C15" s="835"/>
      <c r="D15" s="836"/>
      <c r="E15" s="46" t="s">
        <v>416</v>
      </c>
      <c r="F15" s="38">
        <f>IF(OR(E15="NH",E15=""),"",IF('Presupuesto Consolidado'!AC81&gt;$C$8,"REVISAR",ROUND('Presupuesto Consolidado'!AC81,0)))</f>
        <v>361844287</v>
      </c>
      <c r="G15" s="39">
        <f>IF(OR(E15="NH",E15=""),"",IF('Analisis A.U.'!AE27&gt;$C$9,"REVISAR",ROUND('Analisis A.U.'!AE27,4)))</f>
        <v>0.10920000000000001</v>
      </c>
      <c r="H15" s="40">
        <f t="shared" si="0"/>
        <v>100</v>
      </c>
      <c r="I15" s="41">
        <f>+IF(E15="H",HLOOKUP(A15,'Cálculo Pt2'!$C$7:$V$11,3,FALSE),"")</f>
        <v>63.529411764705898</v>
      </c>
      <c r="J15" s="41">
        <f>+IF(E15="H",HLOOKUP(A15,'Cálculo Pt2'!$C$7:$V$11,4,FALSE),"")</f>
        <v>37.209302325581405</v>
      </c>
      <c r="K15" s="40">
        <f t="shared" si="1"/>
        <v>84.34</v>
      </c>
      <c r="L15" s="42">
        <f t="shared" si="2"/>
        <v>285.07871409028735</v>
      </c>
      <c r="M15" s="43">
        <f t="shared" si="3"/>
        <v>2</v>
      </c>
      <c r="N15" s="861"/>
      <c r="O15" s="861"/>
      <c r="Q15" s="61">
        <f t="shared" si="4"/>
        <v>285.07871409028735</v>
      </c>
      <c r="R15" s="61" t="str">
        <f t="shared" si="5"/>
        <v/>
      </c>
      <c r="S15" s="61" t="str">
        <f t="shared" si="6"/>
        <v/>
      </c>
      <c r="T15" s="61" t="str">
        <f t="shared" si="7"/>
        <v/>
      </c>
      <c r="U15" s="61" t="str">
        <f t="shared" si="8"/>
        <v/>
      </c>
      <c r="V15" s="61" t="str">
        <f t="shared" si="9"/>
        <v/>
      </c>
      <c r="W15" s="61" t="str">
        <f t="shared" si="10"/>
        <v/>
      </c>
      <c r="X15" s="61" t="str">
        <f t="shared" si="11"/>
        <v/>
      </c>
      <c r="Y15" s="61" t="str">
        <f t="shared" si="12"/>
        <v/>
      </c>
      <c r="Z15" s="61" t="str">
        <f t="shared" si="13"/>
        <v/>
      </c>
      <c r="AA15" s="61" t="str">
        <f t="shared" si="14"/>
        <v/>
      </c>
      <c r="AB15" s="61" t="str">
        <f t="shared" si="15"/>
        <v/>
      </c>
      <c r="AC15" s="61" t="str">
        <f t="shared" si="16"/>
        <v/>
      </c>
      <c r="AD15" s="61" t="str">
        <f t="shared" si="17"/>
        <v/>
      </c>
      <c r="AE15" s="220"/>
      <c r="AF15" s="220"/>
    </row>
    <row r="16" spans="1:32" s="60" customFormat="1" ht="33" customHeight="1">
      <c r="A16" s="59">
        <f>+IF(ENTREGA!A10="","",ENTREGA!A10)</f>
        <v>4</v>
      </c>
      <c r="B16" s="834" t="str">
        <f>IF(A16="","",VLOOKUP(A16,ENTREGA!$A$7:$B$16,2,FALSE))</f>
        <v>URBANICO S.A.S</v>
      </c>
      <c r="C16" s="835"/>
      <c r="D16" s="836"/>
      <c r="E16" s="46" t="s">
        <v>416</v>
      </c>
      <c r="F16" s="38">
        <f>IF(OR(E16="NH",E16=""),"",IF('Presupuesto Consolidado'!AM81&gt;$C$8,"REVISAR",ROUND('Presupuesto Consolidado'!AM81,0)))</f>
        <v>365069934</v>
      </c>
      <c r="G16" s="39">
        <f>IF(OR(E16="NH",E16=""),"",IF('Analisis A.U.'!AP27&gt;$C$9,"REVISAR",ROUND('Analisis A.U.'!AP27,4)))</f>
        <v>0.11</v>
      </c>
      <c r="H16" s="40">
        <f t="shared" si="0"/>
        <v>100</v>
      </c>
      <c r="I16" s="41">
        <f>+IF(E16="H",HLOOKUP(A16,'Cálculo Pt2'!$C$7:$V$11,3,FALSE),"")</f>
        <v>42.352941176470594</v>
      </c>
      <c r="J16" s="41">
        <f>+IF(E16="H",HLOOKUP(A16,'Cálculo Pt2'!$C$7:$V$11,4,FALSE),"")</f>
        <v>35.348837209302332</v>
      </c>
      <c r="K16" s="40">
        <f t="shared" si="1"/>
        <v>83.73</v>
      </c>
      <c r="L16" s="42">
        <f t="shared" si="2"/>
        <v>261.43177838577293</v>
      </c>
      <c r="M16" s="43">
        <f t="shared" si="3"/>
        <v>4</v>
      </c>
      <c r="N16" s="861"/>
      <c r="O16" s="861"/>
      <c r="Q16" s="61">
        <f t="shared" si="4"/>
        <v>261.43177838577293</v>
      </c>
      <c r="R16" s="61">
        <f t="shared" si="5"/>
        <v>261.43177838577293</v>
      </c>
      <c r="S16" s="61">
        <f t="shared" si="6"/>
        <v>261.43177838577293</v>
      </c>
      <c r="T16" s="61" t="str">
        <f t="shared" si="7"/>
        <v/>
      </c>
      <c r="U16" s="61" t="str">
        <f t="shared" si="8"/>
        <v/>
      </c>
      <c r="V16" s="61" t="str">
        <f t="shared" si="9"/>
        <v/>
      </c>
      <c r="W16" s="61" t="str">
        <f t="shared" si="10"/>
        <v/>
      </c>
      <c r="X16" s="61" t="str">
        <f t="shared" si="11"/>
        <v/>
      </c>
      <c r="Y16" s="61" t="str">
        <f t="shared" si="12"/>
        <v/>
      </c>
      <c r="Z16" s="61" t="str">
        <f t="shared" si="13"/>
        <v/>
      </c>
      <c r="AA16" s="61" t="str">
        <f t="shared" si="14"/>
        <v/>
      </c>
      <c r="AB16" s="61" t="str">
        <f t="shared" si="15"/>
        <v/>
      </c>
      <c r="AC16" s="61" t="str">
        <f t="shared" si="16"/>
        <v/>
      </c>
      <c r="AD16" s="61" t="str">
        <f t="shared" si="17"/>
        <v/>
      </c>
      <c r="AE16" s="220"/>
      <c r="AF16" s="220"/>
    </row>
    <row r="17" spans="1:32" s="60" customFormat="1" ht="33" customHeight="1">
      <c r="A17" s="59">
        <f>+IF(ENTREGA!A11="","",ENTREGA!A11)</f>
        <v>5</v>
      </c>
      <c r="B17" s="834" t="str">
        <f>IF(A17="","",VLOOKUP(A17,ENTREGA!$A$7:$B$16,2,FALSE))</f>
        <v>LUIS ENRIQUE OYOLA QUINTERO</v>
      </c>
      <c r="C17" s="835"/>
      <c r="D17" s="836"/>
      <c r="E17" s="46" t="s">
        <v>416</v>
      </c>
      <c r="F17" s="38">
        <f>IF(OR(E17="NH",E17=""),"",IF('Presupuesto Consolidado'!AW81&gt;$C$8,"REVISAR",ROUND('Presupuesto Consolidado'!AW81,0)))</f>
        <v>371473205</v>
      </c>
      <c r="G17" s="39">
        <f>IF(OR(E17="NH",E17=""),"",IF('Analisis A.U.'!BA27&gt;$C$9,"REVISAR",ROUND('Analisis A.U.'!BA27,4)))</f>
        <v>9.2100000000000001E-2</v>
      </c>
      <c r="H17" s="40">
        <f t="shared" si="0"/>
        <v>0</v>
      </c>
      <c r="I17" s="41">
        <f>+IF(E17="H",HLOOKUP(A17,'Cálculo Pt2'!$C$7:$V$11,3,FALSE),"")</f>
        <v>70.588235294117666</v>
      </c>
      <c r="J17" s="41">
        <f>+IF(E17="H",HLOOKUP(A17,'Cálculo Pt2'!$C$7:$V$11,4,FALSE),"")</f>
        <v>53.953488372093062</v>
      </c>
      <c r="K17" s="40">
        <f t="shared" si="1"/>
        <v>100</v>
      </c>
      <c r="L17" s="42">
        <f t="shared" si="2"/>
        <v>224.54172366621071</v>
      </c>
      <c r="M17" s="43">
        <f t="shared" si="3"/>
        <v>5</v>
      </c>
      <c r="N17" s="861"/>
      <c r="O17" s="861"/>
      <c r="Q17" s="61">
        <f t="shared" si="4"/>
        <v>224.54172366621071</v>
      </c>
      <c r="R17" s="61">
        <f t="shared" si="5"/>
        <v>224.54172366621071</v>
      </c>
      <c r="S17" s="61">
        <f t="shared" si="6"/>
        <v>224.54172366621071</v>
      </c>
      <c r="T17" s="61">
        <f t="shared" si="7"/>
        <v>224.54172366621071</v>
      </c>
      <c r="U17" s="61" t="str">
        <f t="shared" si="8"/>
        <v/>
      </c>
      <c r="V17" s="61" t="str">
        <f t="shared" si="9"/>
        <v/>
      </c>
      <c r="W17" s="61" t="str">
        <f t="shared" si="10"/>
        <v/>
      </c>
      <c r="X17" s="61" t="str">
        <f t="shared" si="11"/>
        <v/>
      </c>
      <c r="Y17" s="61" t="str">
        <f t="shared" si="12"/>
        <v/>
      </c>
      <c r="Z17" s="61" t="str">
        <f t="shared" si="13"/>
        <v/>
      </c>
      <c r="AA17" s="61" t="str">
        <f t="shared" si="14"/>
        <v/>
      </c>
      <c r="AB17" s="61" t="str">
        <f t="shared" si="15"/>
        <v/>
      </c>
      <c r="AC17" s="61" t="str">
        <f t="shared" si="16"/>
        <v/>
      </c>
      <c r="AD17" s="61" t="str">
        <f t="shared" si="17"/>
        <v/>
      </c>
      <c r="AE17" s="220"/>
      <c r="AF17" s="220"/>
    </row>
    <row r="18" spans="1:32" s="60" customFormat="1" ht="33" customHeight="1">
      <c r="A18" s="59">
        <f>+IF(ENTREGA!A12="","",ENTREGA!A12)</f>
        <v>6</v>
      </c>
      <c r="B18" s="834" t="str">
        <f>IF(A18="","",VLOOKUP(A18,ENTREGA!$A$7:$B$16,2,FALSE))</f>
        <v>INGAP S.A.S</v>
      </c>
      <c r="C18" s="835"/>
      <c r="D18" s="836"/>
      <c r="E18" s="46" t="s">
        <v>417</v>
      </c>
      <c r="F18" s="38" t="str">
        <f>IF(OR(E18="NH",E18=""),"",IF('Presupuesto Consolidado'!BG81&gt;$C$8,"REVISAR",ROUND('Presupuesto Consolidado'!BG81,0)))</f>
        <v/>
      </c>
      <c r="G18" s="39" t="str">
        <f>IF(OR(E18="NH",E18=""),"",IF('Analisis A.U.'!BL27&gt;$C$9,"REVISAR",ROUND('Analisis A.U.'!BL27,4)))</f>
        <v/>
      </c>
      <c r="H18" s="40" t="str">
        <f t="shared" si="0"/>
        <v/>
      </c>
      <c r="I18" s="41" t="str">
        <f>+IF(E18="H",HLOOKUP(A18,'Cálculo Pt2'!$C$7:$V$11,3,FALSE),"")</f>
        <v/>
      </c>
      <c r="J18" s="41" t="str">
        <f>+IF(E18="H",HLOOKUP(A18,'Cálculo Pt2'!$C$7:$V$11,4,FALSE),"")</f>
        <v/>
      </c>
      <c r="K18" s="40" t="str">
        <f t="shared" si="1"/>
        <v/>
      </c>
      <c r="L18" s="42" t="str">
        <f t="shared" si="2"/>
        <v/>
      </c>
      <c r="M18" s="43" t="str">
        <f t="shared" si="3"/>
        <v/>
      </c>
      <c r="N18" s="861"/>
      <c r="O18" s="861"/>
      <c r="Q18" s="61" t="str">
        <f t="shared" si="4"/>
        <v/>
      </c>
      <c r="R18" s="61" t="str">
        <f t="shared" si="5"/>
        <v/>
      </c>
      <c r="S18" s="61" t="str">
        <f t="shared" si="6"/>
        <v/>
      </c>
      <c r="T18" s="61" t="str">
        <f t="shared" si="7"/>
        <v/>
      </c>
      <c r="U18" s="61" t="str">
        <f t="shared" si="8"/>
        <v/>
      </c>
      <c r="V18" s="61" t="str">
        <f t="shared" si="9"/>
        <v/>
      </c>
      <c r="W18" s="61" t="str">
        <f t="shared" si="10"/>
        <v/>
      </c>
      <c r="X18" s="61" t="str">
        <f t="shared" si="11"/>
        <v/>
      </c>
      <c r="Y18" s="61" t="str">
        <f t="shared" si="12"/>
        <v/>
      </c>
      <c r="Z18" s="61" t="str">
        <f t="shared" si="13"/>
        <v/>
      </c>
      <c r="AA18" s="61" t="str">
        <f t="shared" si="14"/>
        <v/>
      </c>
      <c r="AB18" s="61" t="str">
        <f t="shared" si="15"/>
        <v/>
      </c>
      <c r="AC18" s="61" t="str">
        <f t="shared" si="16"/>
        <v/>
      </c>
      <c r="AD18" s="61" t="str">
        <f t="shared" si="17"/>
        <v/>
      </c>
      <c r="AE18" s="220"/>
      <c r="AF18" s="220"/>
    </row>
    <row r="19" spans="1:32" s="60" customFormat="1" ht="33" customHeight="1">
      <c r="A19" s="59">
        <f>+IF(ENTREGA!A13="","",ENTREGA!A13)</f>
        <v>7</v>
      </c>
      <c r="B19" s="834" t="str">
        <f>IF(A19="","",VLOOKUP(A19,ENTREGA!$A$7:$B$16,2,FALSE))</f>
        <v>GUSTAVO ENRIQUE CARDONA VERGARA</v>
      </c>
      <c r="C19" s="835"/>
      <c r="D19" s="836"/>
      <c r="E19" s="46" t="s">
        <v>416</v>
      </c>
      <c r="F19" s="38">
        <f>IF(OR(E19="NH",E19=""),"",IF('Presupuesto Consolidado'!BQ81&gt;$C$8,"REVISAR",ROUND('Presupuesto Consolidado'!BQ81,0)))</f>
        <v>371283068</v>
      </c>
      <c r="G19" s="39">
        <f>IF(OR(E19="NH",E19=""),"",IF('Analisis A.U.'!BW27&gt;$C$9,"REVISAR",ROUND('Analisis A.U.'!BW27,4)))</f>
        <v>9.4799999999999995E-2</v>
      </c>
      <c r="H19" s="40">
        <f t="shared" si="0"/>
        <v>0</v>
      </c>
      <c r="I19" s="41">
        <f>+IF(E19="H",HLOOKUP(A19,'Cálculo Pt2'!$C$7:$V$11,3,FALSE),"")</f>
        <v>70.588235294117666</v>
      </c>
      <c r="J19" s="41">
        <f>+IF(E19="H",HLOOKUP(A19,'Cálculo Pt2'!$C$7:$V$11,4,FALSE),"")</f>
        <v>53.953488372093062</v>
      </c>
      <c r="K19" s="40">
        <f t="shared" si="1"/>
        <v>97.15</v>
      </c>
      <c r="L19" s="42">
        <f t="shared" si="2"/>
        <v>221.69172366621075</v>
      </c>
      <c r="M19" s="43">
        <f t="shared" si="3"/>
        <v>6</v>
      </c>
      <c r="N19" s="861"/>
      <c r="O19" s="861"/>
      <c r="Q19" s="61">
        <f t="shared" si="4"/>
        <v>221.69172366621075</v>
      </c>
      <c r="R19" s="61">
        <f t="shared" si="5"/>
        <v>221.69172366621075</v>
      </c>
      <c r="S19" s="61">
        <f t="shared" si="6"/>
        <v>221.69172366621075</v>
      </c>
      <c r="T19" s="61">
        <f t="shared" si="7"/>
        <v>221.69172366621075</v>
      </c>
      <c r="U19" s="61">
        <f t="shared" si="8"/>
        <v>221.69172366621075</v>
      </c>
      <c r="V19" s="61" t="str">
        <f t="shared" si="9"/>
        <v/>
      </c>
      <c r="W19" s="61" t="str">
        <f t="shared" si="10"/>
        <v/>
      </c>
      <c r="X19" s="61" t="str">
        <f t="shared" si="11"/>
        <v/>
      </c>
      <c r="Y19" s="61" t="str">
        <f t="shared" si="12"/>
        <v/>
      </c>
      <c r="Z19" s="61" t="str">
        <f t="shared" si="13"/>
        <v/>
      </c>
      <c r="AA19" s="61" t="str">
        <f t="shared" si="14"/>
        <v/>
      </c>
      <c r="AB19" s="61" t="str">
        <f t="shared" si="15"/>
        <v/>
      </c>
      <c r="AC19" s="61" t="str">
        <f t="shared" si="16"/>
        <v/>
      </c>
      <c r="AD19" s="61" t="str">
        <f t="shared" si="17"/>
        <v/>
      </c>
      <c r="AE19" s="220"/>
      <c r="AF19" s="220"/>
    </row>
    <row r="20" spans="1:32" s="60" customFormat="1" ht="33" customHeight="1">
      <c r="A20" s="59">
        <f>+IF(ENTREGA!A14="","",ENTREGA!A14)</f>
        <v>8</v>
      </c>
      <c r="B20" s="834" t="str">
        <f>IF(A20="","",VLOOKUP(A20,ENTREGA!$A$7:$B$16,2,FALSE))</f>
        <v>ASESORES EMPRESARIALES Y CONSTRUCTORES S.A.S</v>
      </c>
      <c r="C20" s="835"/>
      <c r="D20" s="836"/>
      <c r="E20" s="46" t="s">
        <v>416</v>
      </c>
      <c r="F20" s="38">
        <f>IF(OR(E20="NH",E20=""),"",IF('Presupuesto Consolidado'!CA81&gt;$C$8,"REVISAR",ROUND('Presupuesto Consolidado'!CA81,0)))</f>
        <v>374632499</v>
      </c>
      <c r="G20" s="39">
        <f>IF(OR(E20="NH",E20=""),"",IF('Analisis A.U.'!CH27&gt;$C$9,"REVISAR",ROUND('Analisis A.U.'!CH27,4)))</f>
        <v>9.5600000000000004E-2</v>
      </c>
      <c r="H20" s="40">
        <f t="shared" si="0"/>
        <v>0</v>
      </c>
      <c r="I20" s="41">
        <f>+IF(E20="H",HLOOKUP(A20,'Cálculo Pt2'!$C$7:$V$11,3,FALSE),"")</f>
        <v>70.588235294117666</v>
      </c>
      <c r="J20" s="41">
        <f>+IF(E20="H",HLOOKUP(A20,'Cálculo Pt2'!$C$7:$V$11,4,FALSE),"")</f>
        <v>50.232558139534916</v>
      </c>
      <c r="K20" s="40">
        <f t="shared" si="1"/>
        <v>96.34</v>
      </c>
      <c r="L20" s="42">
        <f t="shared" si="2"/>
        <v>217.1607934336526</v>
      </c>
      <c r="M20" s="43">
        <f t="shared" si="3"/>
        <v>8</v>
      </c>
      <c r="N20" s="861"/>
      <c r="O20" s="861"/>
      <c r="Q20" s="61">
        <f t="shared" si="4"/>
        <v>217.1607934336526</v>
      </c>
      <c r="R20" s="61">
        <f t="shared" si="5"/>
        <v>217.1607934336526</v>
      </c>
      <c r="S20" s="61">
        <f t="shared" si="6"/>
        <v>217.1607934336526</v>
      </c>
      <c r="T20" s="61">
        <f t="shared" si="7"/>
        <v>217.1607934336526</v>
      </c>
      <c r="U20" s="61">
        <f t="shared" si="8"/>
        <v>217.1607934336526</v>
      </c>
      <c r="V20" s="61">
        <f t="shared" si="9"/>
        <v>217.1607934336526</v>
      </c>
      <c r="W20" s="61">
        <f t="shared" si="10"/>
        <v>217.1607934336526</v>
      </c>
      <c r="X20" s="61" t="str">
        <f t="shared" si="11"/>
        <v/>
      </c>
      <c r="Y20" s="61" t="str">
        <f t="shared" si="12"/>
        <v/>
      </c>
      <c r="Z20" s="61" t="str">
        <f t="shared" si="13"/>
        <v/>
      </c>
      <c r="AA20" s="61" t="str">
        <f t="shared" si="14"/>
        <v/>
      </c>
      <c r="AB20" s="61" t="str">
        <f t="shared" si="15"/>
        <v/>
      </c>
      <c r="AC20" s="61" t="str">
        <f t="shared" si="16"/>
        <v/>
      </c>
      <c r="AD20" s="61" t="str">
        <f t="shared" si="17"/>
        <v/>
      </c>
      <c r="AE20" s="220"/>
      <c r="AF20" s="220"/>
    </row>
    <row r="21" spans="1:32" s="60" customFormat="1" ht="33" customHeight="1">
      <c r="A21" s="59">
        <f>+IF(ENTREGA!A15="","",ENTREGA!A15)</f>
        <v>9</v>
      </c>
      <c r="B21" s="834" t="str">
        <f>IF(A21="","",VLOOKUP(A21,ENTREGA!$A$7:$B$16,2,FALSE))</f>
        <v>DANIEL JOSE NIEVES VERGARA</v>
      </c>
      <c r="C21" s="835"/>
      <c r="D21" s="836"/>
      <c r="E21" s="46" t="s">
        <v>416</v>
      </c>
      <c r="F21" s="38">
        <f>IF(OR(E21="NH",E21=""),"",IF('Presupuesto Consolidado'!CK81&gt;$C$8,"REVISAR",ROUND('Presupuesto Consolidado'!CK81,0)))</f>
        <v>372633596</v>
      </c>
      <c r="G21" s="39">
        <f>IF(OR(E21="NH",E21=""),"",IF('Analisis A.U.'!CS27&gt;$C$9,"REVISAR",ROUND('Analisis A.U.'!CS27,4)))</f>
        <v>9.3200000000000005E-2</v>
      </c>
      <c r="H21" s="40">
        <f t="shared" si="0"/>
        <v>0</v>
      </c>
      <c r="I21" s="41">
        <f>+IF(E21="H",HLOOKUP(A21,'Cálculo Pt2'!$C$7:$V$11,3,FALSE),"")</f>
        <v>70.588235294117666</v>
      </c>
      <c r="J21" s="41">
        <f>+IF(E21="H",HLOOKUP(A21,'Cálculo Pt2'!$C$7:$V$11,4,FALSE),"")</f>
        <v>50.232558139534916</v>
      </c>
      <c r="K21" s="40">
        <f t="shared" si="1"/>
        <v>98.82</v>
      </c>
      <c r="L21" s="42">
        <f t="shared" si="2"/>
        <v>219.64079343365256</v>
      </c>
      <c r="M21" s="43">
        <f t="shared" si="3"/>
        <v>7</v>
      </c>
      <c r="N21" s="861"/>
      <c r="O21" s="861"/>
      <c r="Q21" s="61">
        <f t="shared" si="4"/>
        <v>219.64079343365256</v>
      </c>
      <c r="R21" s="61">
        <f t="shared" si="5"/>
        <v>219.64079343365256</v>
      </c>
      <c r="S21" s="61">
        <f t="shared" si="6"/>
        <v>219.64079343365256</v>
      </c>
      <c r="T21" s="61">
        <f t="shared" si="7"/>
        <v>219.64079343365256</v>
      </c>
      <c r="U21" s="61">
        <f t="shared" si="8"/>
        <v>219.64079343365256</v>
      </c>
      <c r="V21" s="61">
        <f t="shared" si="9"/>
        <v>219.64079343365256</v>
      </c>
      <c r="W21" s="61" t="str">
        <f t="shared" si="10"/>
        <v/>
      </c>
      <c r="X21" s="61" t="str">
        <f t="shared" si="11"/>
        <v/>
      </c>
      <c r="Y21" s="61" t="str">
        <f t="shared" si="12"/>
        <v/>
      </c>
      <c r="Z21" s="61" t="str">
        <f t="shared" si="13"/>
        <v/>
      </c>
      <c r="AA21" s="61" t="str">
        <f t="shared" si="14"/>
        <v/>
      </c>
      <c r="AB21" s="61" t="str">
        <f t="shared" si="15"/>
        <v/>
      </c>
      <c r="AC21" s="61" t="str">
        <f t="shared" si="16"/>
        <v/>
      </c>
      <c r="AD21" s="61" t="str">
        <f t="shared" si="17"/>
        <v/>
      </c>
      <c r="AE21" s="220"/>
      <c r="AF21" s="220"/>
    </row>
    <row r="22" spans="1:32" s="60" customFormat="1" ht="33" customHeight="1">
      <c r="A22" s="59">
        <f>+IF(ENTREGA!A16="","",ENTREGA!A16)</f>
        <v>10</v>
      </c>
      <c r="B22" s="834" t="str">
        <f>IF(A22="","",VLOOKUP(A22,ENTREGA!$A$7:$B$16,2,FALSE))</f>
        <v>BETEL INGENIEROS S.A.S</v>
      </c>
      <c r="C22" s="835"/>
      <c r="D22" s="836"/>
      <c r="E22" s="46" t="s">
        <v>417</v>
      </c>
      <c r="F22" s="38" t="str">
        <f>IF(OR(E22="NH",E22=""),"",IF('Presupuesto Consolidado'!CU81&gt;$C$8,"REVISAR",ROUND('Presupuesto Consolidado'!CU81,0)))</f>
        <v/>
      </c>
      <c r="G22" s="39" t="str">
        <f>IF(OR(E22="NH",E22=""),"",IF('Analisis A.U.'!DD27&gt;$C$9,"REVISAR",ROUND('Analisis A.U.'!DD27,4)))</f>
        <v/>
      </c>
      <c r="H22" s="40" t="str">
        <f t="shared" si="0"/>
        <v/>
      </c>
      <c r="I22" s="41" t="str">
        <f>+IF(E22="H",HLOOKUP(A22,'Cálculo Pt2'!$C$7:$V$11,3,FALSE),"")</f>
        <v/>
      </c>
      <c r="J22" s="41" t="str">
        <f>+IF(E22="H",HLOOKUP(A22,'Cálculo Pt2'!$C$7:$V$11,4,FALSE),"")</f>
        <v/>
      </c>
      <c r="K22" s="40" t="str">
        <f t="shared" si="1"/>
        <v/>
      </c>
      <c r="L22" s="42" t="str">
        <f t="shared" si="2"/>
        <v/>
      </c>
      <c r="M22" s="43" t="str">
        <f t="shared" si="3"/>
        <v/>
      </c>
      <c r="N22" s="861"/>
      <c r="O22" s="861"/>
      <c r="Q22" s="61" t="str">
        <f t="shared" si="4"/>
        <v/>
      </c>
      <c r="R22" s="61" t="str">
        <f t="shared" si="5"/>
        <v/>
      </c>
      <c r="S22" s="61" t="str">
        <f t="shared" si="6"/>
        <v/>
      </c>
      <c r="T22" s="61" t="str">
        <f t="shared" si="7"/>
        <v/>
      </c>
      <c r="U22" s="61" t="str">
        <f t="shared" si="8"/>
        <v/>
      </c>
      <c r="V22" s="61" t="str">
        <f t="shared" si="9"/>
        <v/>
      </c>
      <c r="W22" s="61" t="str">
        <f t="shared" si="10"/>
        <v/>
      </c>
      <c r="X22" s="61" t="str">
        <f t="shared" si="11"/>
        <v/>
      </c>
      <c r="Y22" s="61" t="str">
        <f t="shared" si="12"/>
        <v/>
      </c>
      <c r="Z22" s="61" t="str">
        <f t="shared" si="13"/>
        <v/>
      </c>
      <c r="AA22" s="61" t="str">
        <f t="shared" si="14"/>
        <v/>
      </c>
      <c r="AB22" s="61" t="str">
        <f t="shared" si="15"/>
        <v/>
      </c>
      <c r="AC22" s="61" t="str">
        <f t="shared" si="16"/>
        <v/>
      </c>
      <c r="AD22" s="61" t="str">
        <f t="shared" si="17"/>
        <v/>
      </c>
      <c r="AE22" s="220"/>
      <c r="AF22" s="220"/>
    </row>
  </sheetData>
  <sheetProtection password="A658" sheet="1" objects="1" scenarios="1" selectLockedCells="1" selectUnlockedCells="1"/>
  <mergeCells count="36">
    <mergeCell ref="E7:F7"/>
    <mergeCell ref="H7:I7"/>
    <mergeCell ref="G6:K6"/>
    <mergeCell ref="E8:F8"/>
    <mergeCell ref="B20:D20"/>
    <mergeCell ref="B21:D21"/>
    <mergeCell ref="B22:D22"/>
    <mergeCell ref="A8:B8"/>
    <mergeCell ref="A9:B9"/>
    <mergeCell ref="N22:O22"/>
    <mergeCell ref="N12:O12"/>
    <mergeCell ref="N13:O13"/>
    <mergeCell ref="N14:O14"/>
    <mergeCell ref="N15:O15"/>
    <mergeCell ref="N21:O21"/>
    <mergeCell ref="N16:O16"/>
    <mergeCell ref="N17:O17"/>
    <mergeCell ref="N18:O18"/>
    <mergeCell ref="N19:O19"/>
    <mergeCell ref="N20:O20"/>
    <mergeCell ref="B19:D19"/>
    <mergeCell ref="A1:O1"/>
    <mergeCell ref="A2:O2"/>
    <mergeCell ref="A3:O3"/>
    <mergeCell ref="A4:O4"/>
    <mergeCell ref="B14:D14"/>
    <mergeCell ref="B15:D15"/>
    <mergeCell ref="B16:D16"/>
    <mergeCell ref="B17:D17"/>
    <mergeCell ref="B18:D18"/>
    <mergeCell ref="B12:D12"/>
    <mergeCell ref="D6:F6"/>
    <mergeCell ref="A7:B7"/>
    <mergeCell ref="B13:D13"/>
    <mergeCell ref="A6:B6"/>
    <mergeCell ref="H10:K10"/>
  </mergeCells>
  <conditionalFormatting sqref="M13:M22">
    <cfRule type="cellIs" dxfId="40" priority="1" operator="equal">
      <formula>1</formula>
    </cfRule>
  </conditionalFormatting>
  <printOptions horizontalCentered="1"/>
  <pageMargins left="0.39370078740157483" right="0.19685039370078741" top="0.59055118110236227" bottom="0.39370078740157483" header="0.31496062992125984" footer="0.31496062992125984"/>
  <pageSetup scale="76" fitToHeight="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Z85"/>
  <sheetViews>
    <sheetView zoomScale="70" zoomScaleNormal="70" workbookViewId="0">
      <selection activeCell="A14" sqref="A14"/>
    </sheetView>
  </sheetViews>
  <sheetFormatPr baseColWidth="10" defaultColWidth="11.42578125" defaultRowHeight="12.75"/>
  <cols>
    <col min="1" max="1" width="6.140625" style="119" customWidth="1"/>
    <col min="2" max="2" width="18.140625" style="119" customWidth="1"/>
    <col min="3" max="3" width="16.28515625" style="119" customWidth="1"/>
    <col min="4" max="4" width="6.7109375" style="119" customWidth="1"/>
    <col min="5" max="5" width="14.85546875" style="119" customWidth="1"/>
    <col min="6" max="6" width="6.7109375" style="119" customWidth="1"/>
    <col min="7" max="7" width="14.85546875" style="119" customWidth="1"/>
    <col min="8" max="8" width="6.7109375" style="119" customWidth="1"/>
    <col min="9" max="9" width="16" style="119" customWidth="1"/>
    <col min="10" max="10" width="6.7109375" style="119" customWidth="1"/>
    <col min="11" max="11" width="16.7109375" style="119" customWidth="1"/>
    <col min="12" max="12" width="6.7109375" style="119" customWidth="1"/>
    <col min="13" max="13" width="12.5703125" style="119" customWidth="1"/>
    <col min="14" max="14" width="6.7109375" style="119" customWidth="1"/>
    <col min="15" max="15" width="16.42578125" style="119" customWidth="1"/>
    <col min="16" max="16" width="6.7109375" style="119" customWidth="1"/>
    <col min="17" max="17" width="14" style="119" customWidth="1"/>
    <col min="18" max="18" width="6.7109375" style="119" customWidth="1"/>
    <col min="19" max="19" width="14.85546875" style="119" customWidth="1"/>
    <col min="20" max="20" width="6.7109375" style="119" customWidth="1"/>
    <col min="21" max="21" width="12.5703125" style="119" customWidth="1"/>
    <col min="22" max="22" width="6.7109375" style="119" customWidth="1"/>
    <col min="23" max="23" width="2" style="119" customWidth="1"/>
    <col min="24" max="16384" width="11.42578125" style="119"/>
  </cols>
  <sheetData>
    <row r="1" spans="1:26" s="47" customFormat="1" ht="24.75" customHeight="1">
      <c r="A1" s="880" t="s">
        <v>132</v>
      </c>
      <c r="B1" s="881"/>
      <c r="C1" s="881"/>
      <c r="D1" s="881"/>
      <c r="E1" s="881"/>
      <c r="F1" s="881"/>
      <c r="G1" s="881"/>
      <c r="H1" s="881"/>
      <c r="I1" s="881"/>
      <c r="J1" s="881"/>
      <c r="K1" s="881"/>
      <c r="L1" s="881"/>
      <c r="M1" s="881"/>
      <c r="N1" s="881"/>
      <c r="O1" s="881"/>
      <c r="P1" s="881"/>
      <c r="Q1" s="881"/>
      <c r="R1" s="881"/>
      <c r="S1" s="881"/>
      <c r="T1" s="881"/>
      <c r="U1" s="881"/>
      <c r="V1" s="881"/>
    </row>
    <row r="3" spans="1:26" ht="15">
      <c r="A3" s="879" t="s">
        <v>81</v>
      </c>
      <c r="B3" s="879"/>
      <c r="E3" s="883" t="s">
        <v>101</v>
      </c>
      <c r="F3" s="883"/>
      <c r="G3" s="883"/>
      <c r="H3" s="883"/>
      <c r="K3" s="884" t="s">
        <v>131</v>
      </c>
      <c r="L3" s="884"/>
      <c r="M3" s="884"/>
    </row>
    <row r="4" spans="1:26" s="122" customFormat="1" ht="30.75" customHeight="1">
      <c r="A4" s="120" t="s">
        <v>102</v>
      </c>
      <c r="B4" s="121">
        <f>COUNT(B14:B33)</f>
        <v>17</v>
      </c>
      <c r="E4" s="879" t="s">
        <v>103</v>
      </c>
      <c r="F4" s="879"/>
      <c r="G4" s="879" t="s">
        <v>104</v>
      </c>
      <c r="H4" s="879"/>
      <c r="K4" s="885" t="str">
        <f>+'10. EVALUACIÓN'!H7</f>
        <v>Media aritmética</v>
      </c>
      <c r="L4" s="886"/>
      <c r="M4" s="887"/>
    </row>
    <row r="5" spans="1:26" ht="30.75" customHeight="1">
      <c r="A5" s="121" t="s">
        <v>105</v>
      </c>
      <c r="B5" s="121">
        <f>COUNT(B36:B85)</f>
        <v>43</v>
      </c>
      <c r="E5" s="882">
        <f>+'10. EVALUACIÓN'!I11</f>
        <v>120</v>
      </c>
      <c r="F5" s="882"/>
      <c r="G5" s="882">
        <f>+'10. EVALUACIÓN'!J11</f>
        <v>80</v>
      </c>
      <c r="H5" s="882"/>
      <c r="K5" s="888"/>
      <c r="L5" s="889"/>
      <c r="M5" s="890"/>
    </row>
    <row r="6" spans="1:26">
      <c r="A6" s="123"/>
      <c r="B6" s="123"/>
      <c r="D6" s="124"/>
    </row>
    <row r="7" spans="1:26" s="125" customFormat="1" ht="21" customHeight="1">
      <c r="A7" s="891" t="s">
        <v>21</v>
      </c>
      <c r="B7" s="120" t="s">
        <v>82</v>
      </c>
      <c r="C7" s="874">
        <f>IF(ENTREGA!A7="","",ENTREGA!A7)</f>
        <v>1</v>
      </c>
      <c r="D7" s="874"/>
      <c r="E7" s="874">
        <f>IF(ENTREGA!A8="","",ENTREGA!A8)</f>
        <v>2</v>
      </c>
      <c r="F7" s="874"/>
      <c r="G7" s="874">
        <f>IF(ENTREGA!A9="","",ENTREGA!A9)</f>
        <v>3</v>
      </c>
      <c r="H7" s="874"/>
      <c r="I7" s="874">
        <f>IF(ENTREGA!A10="","",ENTREGA!A10)</f>
        <v>4</v>
      </c>
      <c r="J7" s="874"/>
      <c r="K7" s="874">
        <f>IF(ENTREGA!A11="","",ENTREGA!A11)</f>
        <v>5</v>
      </c>
      <c r="L7" s="874"/>
      <c r="M7" s="874">
        <f>IF(ENTREGA!A12="","",ENTREGA!A12)</f>
        <v>6</v>
      </c>
      <c r="N7" s="874"/>
      <c r="O7" s="874">
        <f>IF(ENTREGA!A13="","",ENTREGA!A13)</f>
        <v>7</v>
      </c>
      <c r="P7" s="874"/>
      <c r="Q7" s="874">
        <f>IF(ENTREGA!A14="","",ENTREGA!A14)</f>
        <v>8</v>
      </c>
      <c r="R7" s="874"/>
      <c r="S7" s="874">
        <f>IF(ENTREGA!A15="","",ENTREGA!A15)</f>
        <v>9</v>
      </c>
      <c r="T7" s="874"/>
      <c r="U7" s="874">
        <f>IF(ENTREGA!A16="","",ENTREGA!A16)</f>
        <v>10</v>
      </c>
      <c r="V7" s="874"/>
    </row>
    <row r="8" spans="1:26" s="122" customFormat="1" ht="35.25" customHeight="1">
      <c r="A8" s="891"/>
      <c r="B8" s="126" t="s">
        <v>108</v>
      </c>
      <c r="C8" s="877" t="str">
        <f>IF(C7="","",IF('10. EVALUACIÓN'!E13="H","Habilitado","No habilitado"))</f>
        <v>Habilitado</v>
      </c>
      <c r="D8" s="878"/>
      <c r="E8" s="875" t="str">
        <f>IF(E7="","",IF('10. EVALUACIÓN'!E14="H","Habilitado","No habilitado"))</f>
        <v>Habilitado</v>
      </c>
      <c r="F8" s="876"/>
      <c r="G8" s="875" t="str">
        <f>IF(G7="","",IF('10. EVALUACIÓN'!E15="H","Habilitado","No habilitado"))</f>
        <v>Habilitado</v>
      </c>
      <c r="H8" s="876"/>
      <c r="I8" s="875" t="str">
        <f>IF(I7="","",IF('10. EVALUACIÓN'!E16="H","Habilitado","No habilitado"))</f>
        <v>Habilitado</v>
      </c>
      <c r="J8" s="876"/>
      <c r="K8" s="875" t="str">
        <f>IF(K7="","",IF('10. EVALUACIÓN'!E17="H","Habilitado","No habilitado"))</f>
        <v>Habilitado</v>
      </c>
      <c r="L8" s="876"/>
      <c r="M8" s="875" t="str">
        <f>IF(M7="","",IF('10. EVALUACIÓN'!E18="H","Habilitado","No habilitado"))</f>
        <v>No habilitado</v>
      </c>
      <c r="N8" s="876"/>
      <c r="O8" s="875" t="str">
        <f>IF(O7="","",IF('10. EVALUACIÓN'!E19="H","Habilitado","No habilitado"))</f>
        <v>Habilitado</v>
      </c>
      <c r="P8" s="876"/>
      <c r="Q8" s="875" t="str">
        <f>IF(Q7="","",IF('10. EVALUACIÓN'!E20="H","Habilitado","No habilitado"))</f>
        <v>Habilitado</v>
      </c>
      <c r="R8" s="876"/>
      <c r="S8" s="875" t="str">
        <f>IF(S7="","",IF('10. EVALUACIÓN'!E21="H","Habilitado","No habilitado"))</f>
        <v>Habilitado</v>
      </c>
      <c r="T8" s="876"/>
      <c r="U8" s="875" t="str">
        <f>IF(U7="","",IF('10. EVALUACIÓN'!E22="H","Habilitado","No habilitado"))</f>
        <v>No habilitado</v>
      </c>
      <c r="V8" s="876"/>
    </row>
    <row r="9" spans="1:26" s="122" customFormat="1" ht="23.25" customHeight="1">
      <c r="A9" s="891" t="s">
        <v>126</v>
      </c>
      <c r="B9" s="891"/>
      <c r="C9" s="892">
        <f>IF(C14="","",SUM(D14:D33))</f>
        <v>49.411764705882362</v>
      </c>
      <c r="D9" s="893"/>
      <c r="E9" s="892">
        <f>IF(E14="","",SUM(F14:F33))</f>
        <v>63.529411764705898</v>
      </c>
      <c r="F9" s="893"/>
      <c r="G9" s="892">
        <f t="shared" ref="G9" si="0">IF(G14="","",SUM(H14:H33))</f>
        <v>63.529411764705898</v>
      </c>
      <c r="H9" s="893"/>
      <c r="I9" s="892">
        <f t="shared" ref="I9" si="1">IF(I14="","",SUM(J14:J33))</f>
        <v>42.352941176470594</v>
      </c>
      <c r="J9" s="893"/>
      <c r="K9" s="892">
        <f t="shared" ref="K9" si="2">IF(K14="","",SUM(L14:L33))</f>
        <v>70.588235294117666</v>
      </c>
      <c r="L9" s="893"/>
      <c r="M9" s="892" t="str">
        <f t="shared" ref="M9" si="3">IF(M14="","",SUM(N14:N33))</f>
        <v/>
      </c>
      <c r="N9" s="893"/>
      <c r="O9" s="892">
        <f t="shared" ref="O9" si="4">IF(O14="","",SUM(P14:P33))</f>
        <v>70.588235294117666</v>
      </c>
      <c r="P9" s="893"/>
      <c r="Q9" s="892">
        <f t="shared" ref="Q9" si="5">IF(Q14="","",SUM(R14:R33))</f>
        <v>70.588235294117666</v>
      </c>
      <c r="R9" s="893"/>
      <c r="S9" s="892">
        <f t="shared" ref="S9" si="6">IF(S14="","",SUM(T14:T33))</f>
        <v>70.588235294117666</v>
      </c>
      <c r="T9" s="893"/>
      <c r="U9" s="892" t="str">
        <f t="shared" ref="U9" si="7">IF(U14="","",SUM(V14:V33))</f>
        <v/>
      </c>
      <c r="V9" s="893"/>
    </row>
    <row r="10" spans="1:26" s="122" customFormat="1" ht="23.25" customHeight="1">
      <c r="A10" s="891" t="s">
        <v>128</v>
      </c>
      <c r="B10" s="891"/>
      <c r="C10" s="892">
        <f>IF(C14="","",SUM(D36:D85))</f>
        <v>44.651162790697697</v>
      </c>
      <c r="D10" s="893"/>
      <c r="E10" s="892">
        <f>IF(E14="","",SUM(F36:F85))</f>
        <v>40.930232558139551</v>
      </c>
      <c r="F10" s="893"/>
      <c r="G10" s="892">
        <f>IF(G14="","",SUM(H36:H85))</f>
        <v>37.209302325581405</v>
      </c>
      <c r="H10" s="893"/>
      <c r="I10" s="892">
        <f>IF(I14="","",SUM(J36:J85))</f>
        <v>35.348837209302332</v>
      </c>
      <c r="J10" s="893"/>
      <c r="K10" s="892">
        <f>IF(K14="","",SUM(L36:L85))</f>
        <v>53.953488372093062</v>
      </c>
      <c r="L10" s="893"/>
      <c r="M10" s="892" t="str">
        <f>IF(M14="","",SUM(N36:N85))</f>
        <v/>
      </c>
      <c r="N10" s="893"/>
      <c r="O10" s="892">
        <f>IF(O14="","",SUM(P36:P85))</f>
        <v>53.953488372093062</v>
      </c>
      <c r="P10" s="893"/>
      <c r="Q10" s="892">
        <f>IF(Q14="","",SUM(R36:R85))</f>
        <v>50.232558139534916</v>
      </c>
      <c r="R10" s="893"/>
      <c r="S10" s="892">
        <f>IF(S14="","",SUM(T36:T85))</f>
        <v>50.232558139534916</v>
      </c>
      <c r="T10" s="893"/>
      <c r="U10" s="892" t="str">
        <f>IF(U14="","",SUM(V36:V85))</f>
        <v/>
      </c>
      <c r="V10" s="893"/>
    </row>
    <row r="11" spans="1:26" s="122" customFormat="1" ht="23.25" customHeight="1">
      <c r="A11" s="891" t="s">
        <v>127</v>
      </c>
      <c r="B11" s="891"/>
      <c r="C11" s="892">
        <f>IF(C7="","",IF(C8="No habilitado","",C9+C10))</f>
        <v>94.062927496580059</v>
      </c>
      <c r="D11" s="893"/>
      <c r="E11" s="892">
        <f>IF(E7="","",IF(E8="No habilitado","",E9+E10))</f>
        <v>104.45964432284545</v>
      </c>
      <c r="F11" s="893"/>
      <c r="G11" s="892">
        <f>IF(G7="","",IF(G8="No habilitado","",G9+G10))</f>
        <v>100.7387140902873</v>
      </c>
      <c r="H11" s="893"/>
      <c r="I11" s="892">
        <f>IF(I7="","",IF(I8="No habilitado","",I9+I10))</f>
        <v>77.701778385772926</v>
      </c>
      <c r="J11" s="893"/>
      <c r="K11" s="892">
        <f>IF(K7="","",IF(K8="No habilitado","",K9+K10))</f>
        <v>124.54172366621073</v>
      </c>
      <c r="L11" s="893"/>
      <c r="M11" s="892" t="str">
        <f>IF(M7="","",IF(M8="No habilitado","",M9+M10))</f>
        <v/>
      </c>
      <c r="N11" s="893"/>
      <c r="O11" s="892">
        <f>IF(O7="","",IF(O8="No habilitado","",O9+O10))</f>
        <v>124.54172366621073</v>
      </c>
      <c r="P11" s="893"/>
      <c r="Q11" s="892">
        <f>IF(Q7="","",IF(Q8="No habilitado","",Q9+Q10))</f>
        <v>120.82079343365258</v>
      </c>
      <c r="R11" s="893"/>
      <c r="S11" s="892">
        <f>IF(S7="","",IF(S8="No habilitado","",S9+S10))</f>
        <v>120.82079343365258</v>
      </c>
      <c r="T11" s="893"/>
      <c r="U11" s="892" t="str">
        <f>IF(U7="","",IF(U8="No habilitado","",U9+U10))</f>
        <v/>
      </c>
      <c r="V11" s="893"/>
    </row>
    <row r="12" spans="1:26" ht="21" customHeight="1"/>
    <row r="13" spans="1:26" ht="21.75" customHeight="1">
      <c r="A13" s="894" t="s">
        <v>106</v>
      </c>
      <c r="B13" s="894"/>
      <c r="C13" s="894"/>
      <c r="D13" s="894"/>
      <c r="E13" s="894"/>
      <c r="F13" s="894"/>
      <c r="G13" s="894"/>
      <c r="H13" s="894"/>
      <c r="I13" s="894"/>
      <c r="J13" s="894"/>
      <c r="K13" s="894"/>
      <c r="L13" s="894"/>
      <c r="M13" s="894"/>
      <c r="N13" s="894"/>
      <c r="O13" s="894"/>
      <c r="P13" s="894"/>
      <c r="Q13" s="894"/>
      <c r="R13" s="894"/>
      <c r="S13" s="894"/>
      <c r="T13" s="894"/>
      <c r="U13" s="894"/>
      <c r="V13" s="894"/>
    </row>
    <row r="14" spans="1:26" s="122" customFormat="1" ht="21" customHeight="1">
      <c r="A14" s="257" t="str">
        <f>+'Presupuesto Consolidado'!A14</f>
        <v>1.3</v>
      </c>
      <c r="B14" s="127">
        <f>IF(A14="","",IF($K$4="Media aritmética",ROUND(AVERAGE(C14,E14,G14,I14,K14,M14,O14,Q14,S14,U14),2),ROUND(_xlfn.STDEV.P(C14,E14,G14,I14,K14,M14,O14,Q14,S14,U14),2)))</f>
        <v>8798790</v>
      </c>
      <c r="C14" s="128">
        <f>IF($C$8="Habilitado",IF($A14="","",ROUND(VLOOKUP($A14,'Presupuesto Consolidado'!$A$12:$F$80,6,FALSE),2)),"")</f>
        <v>11088000</v>
      </c>
      <c r="D14" s="129">
        <f>IF($A14="","",IF(C14="","",IF($K$4="Media aritmética",(C14&lt;=$B14)*($E$5/$B$4)+(C14&gt;$B14)*0,IF(AND(ROUND(AVERAGE($C14,$E14,$G14,$I14,$K14,$M14,$O14,$Q14,$S14,$U14,#REF!,#REF!,#REF!,#REF!,#REF!),2)-$B14/2&lt;=C14,(ROUND(AVERAGE($C14,$E14,$G14,$I14,$K14,$M14,$O14,$Q14,$S14,$U14,#REF!,#REF!,#REF!,#REF!,#REF!),2)+$B14/2&gt;=C14)),($E$5/$B$4),0))))</f>
        <v>0</v>
      </c>
      <c r="E14" s="128">
        <f>IF($E$8="Habilitado",IF($A14="","",ROUND(VLOOKUP($A14,'Presupuesto Consolidado'!$K$12:$P$80,6,FALSE),2)),"")</f>
        <v>12540000</v>
      </c>
      <c r="F14" s="129">
        <f>IF($A14="","",IF(E14="","",IF($K$4="Media aritmética",(E14&lt;=$B14)*($E$5/$B$4)+(E14&gt;$B14)*0,IF(AND(ROUND(AVERAGE($C14,$E14,$G14,$I14,$K14,$M14,$O14,$Q14,$S14,$U14,#REF!,#REF!,#REF!,#REF!,#REF!),2)-$B14/2&lt;=E14,(ROUND(AVERAGE($C14,$E14,$G14,$I14,$K14,$M14,$O14,$Q14,$S14,$U14,#REF!,#REF!,#REF!,#REF!,#REF!),2)+$B14/2&gt;=E14)),($E$5/$B$4),0))))</f>
        <v>0</v>
      </c>
      <c r="G14" s="128">
        <f>IF($G$8="Habilitado",IF($A14="","",ROUND(VLOOKUP($A14,'Presupuesto Consolidado'!$U$12:$Z$80,6,FALSE),2)),"")</f>
        <v>11584320</v>
      </c>
      <c r="H14" s="129">
        <f>IF($A14="","",IF(G14="","",IF($K$4="Media aritmética",(G14&lt;=$B14)*($E$5/$B$4)+(G14&gt;$B14)*0,IF(AND(ROUND(AVERAGE($C14,$E14,$G14,$I14,$K14,$M14,$O14,$Q14,$S14,$U14,#REF!,#REF!,#REF!,#REF!,#REF!),2)-$B14/2&lt;=G14,(ROUND(AVERAGE($C14,$E14,$G14,$I14,$K14,$M14,$O14,$Q14,$S14,$U14,#REF!,#REF!,#REF!,#REF!,#REF!),2)+$B14/2&gt;=G14)),($E$5/$B$4),0))))</f>
        <v>0</v>
      </c>
      <c r="I14" s="128">
        <f>IF($I$8="Habilitado",IF($A14="","",ROUND(VLOOKUP($A14,'Presupuesto Consolidado'!$AE$12:$AJ$80,6,FALSE),2)),"")</f>
        <v>10560000</v>
      </c>
      <c r="J14" s="129">
        <f>IF($A14="","",IF(I14="","",IF($K$4="Media aritmética",(I14&lt;=$B14)*($E$5/$B$4)+(I14&gt;$B14)*0,IF(AND(ROUND(AVERAGE($C14,$E14,$G14,$I14,$K14,$M14,$O14,$Q14,$S14,$U14,#REF!,#REF!,#REF!,#REF!,#REF!),2)-$B14/2&lt;=I14,(ROUND(AVERAGE($C14,$E14,$G14,$I14,$K14,$M14,$O14,$Q14,$S14,$U14,#REF!,#REF!,#REF!,#REF!,#REF!),2)+$B14/2&gt;=I14)),($E$5/$B$4),0))))</f>
        <v>0</v>
      </c>
      <c r="K14" s="128">
        <f>IF($K$8="Habilitado",IF($A14="","",ROUND(VLOOKUP($A14,'Presupuesto Consolidado'!$AO$12:$AT$80,6,FALSE),2)),"")</f>
        <v>5280000</v>
      </c>
      <c r="L14" s="129">
        <f>IF($A14="","",IF(K14="","",IF($K$4="Media aritmética",(K14&lt;=$B14)*($E$5/$B$4)+(K14&gt;$B14)*0,IF(AND(ROUND(AVERAGE($C14,$E14,$G14,$I14,$K14,$M14,$O14,$Q14,$S14,$U14,#REF!,#REF!,#REF!,#REF!,#REF!),2)-$B14/2&lt;=K14,(ROUND(AVERAGE($C14,$E14,$G14,$I14,$K14,$M14,$O14,$Q14,$S14,$U14,#REF!,#REF!,#REF!,#REF!,#REF!),2)+$B14/2&gt;=K14)),($E$5/$B$4),0))))</f>
        <v>7.0588235294117645</v>
      </c>
      <c r="M14" s="128" t="str">
        <f>IF($M$8="Habilitado",IF($A14="","",ROUND(VLOOKUP($A14,'Presupuesto Consolidado'!$AY$12:$BD$80,6,FALSE),2)),"")</f>
        <v/>
      </c>
      <c r="N14" s="129" t="str">
        <f>IF($A14="","",IF(M14="","",IF($K$4="Media aritmética",(M14&lt;=$B14)*($E$5/$B$4)+(M14&gt;$B14)*0,IF(AND(ROUND(AVERAGE($C14,$E14,$G14,$I14,$K14,$M14,$O14,$Q14,$S14,$U14,#REF!,#REF!,#REF!,#REF!,#REF!),2)-$B14/2&lt;=M14,(ROUND(AVERAGE($C14,$E14,$G14,$I14,$K14,$M14,$O14,$Q14,$S14,$U14,#REF!,#REF!,#REF!,#REF!,#REF!),2)+$B14/2&gt;=M14)),($E$5/$B$4),0))))</f>
        <v/>
      </c>
      <c r="O14" s="128">
        <f>IF($O$8="Habilitado",IF($A14="","",ROUND(VLOOKUP($A14,'Presupuesto Consolidado'!$BI$12:$BN$80,6,FALSE),2)),"")</f>
        <v>6666000</v>
      </c>
      <c r="P14" s="129">
        <f>IF($A14="","",IF(O14="","",IF($K$4="Media aritmética",(O14&lt;=$B14)*($E$5/$B$4)+(O14&gt;$B14)*0,IF(AND(ROUND(AVERAGE($C14,$E14,$G14,$I14,$K14,$M14,$O14,$Q14,$S14,$U14,#REF!,#REF!,#REF!,#REF!,#REF!),2)-$B14/2&lt;=O14,(ROUND(AVERAGE($C14,$E14,$G14,$I14,$K14,$M14,$O14,$Q14,$S14,$U14,#REF!,#REF!,#REF!,#REF!,#REF!),2)+$B14/2&gt;=O14)),($E$5/$B$4),0))))</f>
        <v>7.0588235294117645</v>
      </c>
      <c r="Q14" s="128">
        <f>IF($Q$8="Habilitado",IF($A14="","",ROUND(VLOOKUP($A14,'Presupuesto Consolidado'!$BS$12:$BX$80,6,FALSE),2)),"")</f>
        <v>5940000</v>
      </c>
      <c r="R14" s="129">
        <f>IF($A14="","",IF(Q14="","",IF($K$4="Media aritmética",(Q14&lt;=$B14)*($E$5/$B$4)+(Q14&gt;$B14)*0,IF(AND(ROUND(AVERAGE($C14,$E14,$G14,$I14,$K14,$M14,$O14,$Q14,$S14,$U14,#REF!,#REF!,#REF!,#REF!,#REF!),2)-$B14/2&lt;=Q14,(ROUND(AVERAGE($C14,$E14,$G14,$I14,$K14,$M14,$O14,$Q14,$S14,$U14,#REF!,#REF!,#REF!,#REF!,#REF!),2)+$B14/2&gt;=Q14)),($E$5/$B$4),0))))</f>
        <v>7.0588235294117645</v>
      </c>
      <c r="S14" s="128">
        <f>IF($S$8="Habilitado",IF($A14="","",ROUND(VLOOKUP($A14,'Presupuesto Consolidado'!$CC$12:$CH$80,6,FALSE),2)),"")</f>
        <v>6732000</v>
      </c>
      <c r="T14" s="129">
        <f>IF($A14="","",IF(S14="","",IF($K$4="Media aritmética",(S14&lt;=$B14)*($E$5/$B$4)+(S14&gt;$B14)*0,IF(AND(ROUND(AVERAGE($C14,$E14,$G14,$I14,$K14,$M14,$O14,$Q14,$S14,$U14,#REF!,#REF!,#REF!,#REF!,#REF!),2)-$B14/2&lt;=S14,(ROUND(AVERAGE($C14,$E14,$G14,$I14,$K14,$M14,$O14,$Q14,$S14,$U14,#REF!,#REF!,#REF!,#REF!,#REF!),2)+$B14/2&gt;=S14)),($E$5/$B$4),0))))</f>
        <v>7.0588235294117645</v>
      </c>
      <c r="U14" s="128" t="str">
        <f>IF($U$8="Habilitado",IF($A14="","",ROUND(VLOOKUP($A14,'Presupuesto Consolidado'!$CM$12:$CR$80,6,FALSE),2)),"")</f>
        <v/>
      </c>
      <c r="V14" s="129" t="str">
        <f>IF($A14="","",IF(U14="","",IF($K$4="Media aritmética",(U14&lt;=$B14)*($E$5/$B$4)+(U14&gt;$B14)*0,IF(AND(ROUND(AVERAGE($C14,$E14,$G14,$I14,$K14,$M14,$O14,$Q14,$S14,$U14,#REF!,#REF!,#REF!,#REF!,#REF!),2)-$B14/2&lt;=U14,(ROUND(AVERAGE($C14,$E14,$G14,$I14,$K14,$M14,$O14,$Q14,$S14,$U14,#REF!,#REF!,#REF!,#REF!,#REF!),2)+$B14/2&gt;=U14)),($E$5/$B$4),0))))</f>
        <v/>
      </c>
      <c r="X14" s="221"/>
      <c r="Y14" s="222"/>
      <c r="Z14" s="222"/>
    </row>
    <row r="15" spans="1:26" s="122" customFormat="1" ht="21" customHeight="1">
      <c r="A15" s="257" t="str">
        <f>+'Presupuesto Consolidado'!A24</f>
        <v>3.1</v>
      </c>
      <c r="B15" s="127">
        <f t="shared" ref="B15:B33" si="8">IF(A15="","",IF($K$4="Media aritmética",ROUND(AVERAGE(C15,E15,G15,I15,K15,M15,O15,Q15,S15,U15),2),ROUND(_xlfn.STDEV.P(C15,E15,G15,I15,K15,M15,O15,Q15,S15,U15),2)))</f>
        <v>28858500</v>
      </c>
      <c r="C15" s="128">
        <f>IF($C$8="Habilitado",IF($A15="","",ROUND(VLOOKUP($A15,'Presupuesto Consolidado'!$A$12:$F$80,6,FALSE),2)),"")</f>
        <v>32472000</v>
      </c>
      <c r="D15" s="129">
        <f>IF($A15="","",IF(C15="","",IF($K$4="Media aritmética",(C15&lt;=$B15)*($E$5/$B$4)+(C15&gt;$B15)*0,IF(AND(ROUND(AVERAGE($C15,$E15,$G15,$I15,$K15,$M15,$O15,$Q15,$S15,$U15,#REF!,#REF!,#REF!,#REF!,#REF!),2)-$B15/2&lt;=C15,(ROUND(AVERAGE($C15,$E15,$G15,$I15,$K15,$M15,$O15,$Q15,$S15,$U15,#REF!,#REF!,#REF!,#REF!,#REF!),2)+$B15/2&gt;=C15)),($E$5/$B$4),0))))</f>
        <v>0</v>
      </c>
      <c r="E15" s="128">
        <f>IF($E$8="Habilitado",IF($A15="","",ROUND(VLOOKUP($A15,'Presupuesto Consolidado'!$K$12:$P$80,6,FALSE),2)),"")</f>
        <v>55440000</v>
      </c>
      <c r="F15" s="129">
        <f>IF($A15="","",IF(E15="","",IF($K$4="Media aritmética",(E15&lt;=$B15)*($E$5/$B$4)+(E15&gt;$B15)*0,IF(AND(ROUND(AVERAGE($C15,$E15,$G15,$I15,$K15,$M15,$O15,$Q15,$S15,$U15,#REF!,#REF!,#REF!,#REF!,#REF!),2)-$B15/2&lt;=E15,(ROUND(AVERAGE($C15,$E15,$G15,$I15,$K15,$M15,$O15,$Q15,$S15,$U15,#REF!,#REF!,#REF!,#REF!,#REF!),2)+$B15/2&gt;=E15)),($E$5/$B$4),0))))</f>
        <v>0</v>
      </c>
      <c r="G15" s="128">
        <f>IF($G$8="Habilitado",IF($A15="","",ROUND(VLOOKUP($A15,'Presupuesto Consolidado'!$U$12:$Z$80,6,FALSE),2)),"")</f>
        <v>16500000</v>
      </c>
      <c r="H15" s="129">
        <f>IF($A15="","",IF(G15="","",IF($K$4="Media aritmética",(G15&lt;=$B15)*($E$5/$B$4)+(G15&gt;$B15)*0,IF(AND(ROUND(AVERAGE($C15,$E15,$G15,$I15,$K15,$M15,$O15,$Q15,$S15,$U15,#REF!,#REF!,#REF!,#REF!,#REF!),2)-$B15/2&lt;=G15,(ROUND(AVERAGE($C15,$E15,$G15,$I15,$K15,$M15,$O15,$Q15,$S15,$U15,#REF!,#REF!,#REF!,#REF!,#REF!),2)+$B15/2&gt;=G15)),($E$5/$B$4),0))))</f>
        <v>7.0588235294117645</v>
      </c>
      <c r="I15" s="128">
        <f>IF($I$8="Habilitado",IF($A15="","",ROUND(VLOOKUP($A15,'Presupuesto Consolidado'!$AE$12:$AJ$80,6,FALSE),2)),"")</f>
        <v>36960000</v>
      </c>
      <c r="J15" s="129">
        <f>IF($A15="","",IF(I15="","",IF($K$4="Media aritmética",(I15&lt;=$B15)*($E$5/$B$4)+(I15&gt;$B15)*0,IF(AND(ROUND(AVERAGE($C15,$E15,$G15,$I15,$K15,$M15,$O15,$Q15,$S15,$U15,#REF!,#REF!,#REF!,#REF!,#REF!),2)-$B15/2&lt;=I15,(ROUND(AVERAGE($C15,$E15,$G15,$I15,$K15,$M15,$O15,$Q15,$S15,$U15,#REF!,#REF!,#REF!,#REF!,#REF!),2)+$B15/2&gt;=I15)),($E$5/$B$4),0))))</f>
        <v>0</v>
      </c>
      <c r="K15" s="128">
        <f>IF($K$8="Habilitado",IF($A15="","",ROUND(VLOOKUP($A15,'Presupuesto Consolidado'!$AO$12:$AT$80,6,FALSE),2)),"")</f>
        <v>21252000</v>
      </c>
      <c r="L15" s="129">
        <f>IF($A15="","",IF(K15="","",IF($K$4="Media aritmética",(K15&lt;=$B15)*($E$5/$B$4)+(K15&gt;$B15)*0,IF(AND(ROUND(AVERAGE($C15,$E15,$G15,$I15,$K15,$M15,$O15,$Q15,$S15,$U15,#REF!,#REF!,#REF!,#REF!,#REF!),2)-$B15/2&lt;=K15,(ROUND(AVERAGE($C15,$E15,$G15,$I15,$K15,$M15,$O15,$Q15,$S15,$U15,#REF!,#REF!,#REF!,#REF!,#REF!),2)+$B15/2&gt;=K15)),($E$5/$B$4),0))))</f>
        <v>7.0588235294117645</v>
      </c>
      <c r="M15" s="128" t="str">
        <f>IF($M$8="Habilitado",IF($A15="","",ROUND(VLOOKUP($A15,'Presupuesto Consolidado'!$AY$12:$BD$80,6,FALSE),2)),"")</f>
        <v/>
      </c>
      <c r="N15" s="129" t="str">
        <f>IF($A15="","",IF(M15="","",IF($K$4="Media aritmética",(M15&lt;=$B15)*($E$5/$B$4)+(M15&gt;$B15)*0,IF(AND(ROUND(AVERAGE($C15,$E15,$G15,$I15,$K15,$M15,$O15,$Q15,$S15,$U15,#REF!,#REF!,#REF!,#REF!,#REF!),2)-$B15/2&lt;=M15,(ROUND(AVERAGE($C15,$E15,$G15,$I15,$K15,$M15,$O15,$Q15,$S15,$U15,#REF!,#REF!,#REF!,#REF!,#REF!),2)+$B15/2&gt;=M15)),($E$5/$B$4),0))))</f>
        <v/>
      </c>
      <c r="O15" s="128">
        <f>IF($O$8="Habilitado",IF($A15="","",ROUND(VLOOKUP($A15,'Presupuesto Consolidado'!$BI$12:$BN$80,6,FALSE),2)),"")</f>
        <v>22440000</v>
      </c>
      <c r="P15" s="129">
        <f>IF($A15="","",IF(O15="","",IF($K$4="Media aritmética",(O15&lt;=$B15)*($E$5/$B$4)+(O15&gt;$B15)*0,IF(AND(ROUND(AVERAGE($C15,$E15,$G15,$I15,$K15,$M15,$O15,$Q15,$S15,$U15,#REF!,#REF!,#REF!,#REF!,#REF!),2)-$B15/2&lt;=O15,(ROUND(AVERAGE($C15,$E15,$G15,$I15,$K15,$M15,$O15,$Q15,$S15,$U15,#REF!,#REF!,#REF!,#REF!,#REF!),2)+$B15/2&gt;=O15)),($E$5/$B$4),0))))</f>
        <v>7.0588235294117645</v>
      </c>
      <c r="Q15" s="128">
        <f>IF($Q$8="Habilitado",IF($A15="","",ROUND(VLOOKUP($A15,'Presupuesto Consolidado'!$BS$12:$BX$80,6,FALSE),2)),"")</f>
        <v>23496000</v>
      </c>
      <c r="R15" s="129">
        <f>IF($A15="","",IF(Q15="","",IF($K$4="Media aritmética",(Q15&lt;=$B15)*($E$5/$B$4)+(Q15&gt;$B15)*0,IF(AND(ROUND(AVERAGE($C15,$E15,$G15,$I15,$K15,$M15,$O15,$Q15,$S15,$U15,#REF!,#REF!,#REF!,#REF!,#REF!),2)-$B15/2&lt;=Q15,(ROUND(AVERAGE($C15,$E15,$G15,$I15,$K15,$M15,$O15,$Q15,$S15,$U15,#REF!,#REF!,#REF!,#REF!,#REF!),2)+$B15/2&gt;=Q15)),($E$5/$B$4),0))))</f>
        <v>7.0588235294117645</v>
      </c>
      <c r="S15" s="128">
        <f>IF($S$8="Habilitado",IF($A15="","",ROUND(VLOOKUP($A15,'Presupuesto Consolidado'!$CC$12:$CH$80,6,FALSE),2)),"")</f>
        <v>22308000</v>
      </c>
      <c r="T15" s="129">
        <f>IF($A15="","",IF(S15="","",IF($K$4="Media aritmética",(S15&lt;=$B15)*($E$5/$B$4)+(S15&gt;$B15)*0,IF(AND(ROUND(AVERAGE($C15,$E15,$G15,$I15,$K15,$M15,$O15,$Q15,$S15,$U15,#REF!,#REF!,#REF!,#REF!,#REF!),2)-$B15/2&lt;=S15,(ROUND(AVERAGE($C15,$E15,$G15,$I15,$K15,$M15,$O15,$Q15,$S15,$U15,#REF!,#REF!,#REF!,#REF!,#REF!),2)+$B15/2&gt;=S15)),($E$5/$B$4),0))))</f>
        <v>7.0588235294117645</v>
      </c>
      <c r="U15" s="128" t="str">
        <f>IF($U$8="Habilitado",IF($A15="","",ROUND(VLOOKUP($A15,'Presupuesto Consolidado'!$CM$12:$CR$80,6,FALSE),2)),"")</f>
        <v/>
      </c>
      <c r="V15" s="129" t="str">
        <f>IF($A15="","",IF(U15="","",IF($K$4="Media aritmética",(U15&lt;=$B15)*($E$5/$B$4)+(U15&gt;$B15)*0,IF(AND(ROUND(AVERAGE($C15,$E15,$G15,$I15,$K15,$M15,$O15,$Q15,$S15,$U15,#REF!,#REF!,#REF!,#REF!,#REF!),2)-$B15/2&lt;=U15,(ROUND(AVERAGE($C15,$E15,$G15,$I15,$K15,$M15,$O15,$Q15,$S15,$U15,#REF!,#REF!,#REF!,#REF!,#REF!),2)+$B15/2&gt;=U15)),($E$5/$B$4),0))))</f>
        <v/>
      </c>
      <c r="X15" s="221"/>
      <c r="Y15" s="222"/>
      <c r="Z15" s="222"/>
    </row>
    <row r="16" spans="1:26" s="122" customFormat="1" ht="21" customHeight="1">
      <c r="A16" s="257" t="str">
        <f>+'Presupuesto Consolidado'!A25</f>
        <v>3.2</v>
      </c>
      <c r="B16" s="127">
        <f t="shared" si="8"/>
        <v>15248562.5</v>
      </c>
      <c r="C16" s="128">
        <f>IF($C$8="Habilitado",IF($A16="","",ROUND(VLOOKUP($A16,'Presupuesto Consolidado'!$A$12:$F$80,6,FALSE),2)),"")</f>
        <v>11397000</v>
      </c>
      <c r="D16" s="129">
        <f>IF($A16="","",IF(C16="","",IF($K$4="Media aritmética",(C16&lt;=$B16)*($E$5/$B$4)+(C16&gt;$B16)*0,IF(AND(ROUND(AVERAGE($C16,$E16,$G16,$I16,$K16,$M16,$O16,$Q16,$S16,$U16,#REF!,#REF!,#REF!,#REF!,#REF!),2)-$B16/2&lt;=C16,(ROUND(AVERAGE($C16,$E16,$G16,$I16,$K16,$M16,$O16,$Q16,$S16,$U16,#REF!,#REF!,#REF!,#REF!,#REF!),2)+$B16/2&gt;=C16)),($E$5/$B$4),0))))</f>
        <v>7.0588235294117645</v>
      </c>
      <c r="E16" s="128">
        <f>IF($E$8="Habilitado",IF($A16="","",ROUND(VLOOKUP($A16,'Presupuesto Consolidado'!$K$12:$P$80,6,FALSE),2)),"")</f>
        <v>11890000</v>
      </c>
      <c r="F16" s="129">
        <f>IF($A16="","",IF(E16="","",IF($K$4="Media aritmética",(E16&lt;=$B16)*($E$5/$B$4)+(E16&gt;$B16)*0,IF(AND(ROUND(AVERAGE($C16,$E16,$G16,$I16,$K16,$M16,$O16,$Q16,$S16,$U16,#REF!,#REF!,#REF!,#REF!,#REF!),2)-$B16/2&lt;=E16,(ROUND(AVERAGE($C16,$E16,$G16,$I16,$K16,$M16,$O16,$Q16,$S16,$U16,#REF!,#REF!,#REF!,#REF!,#REF!),2)+$B16/2&gt;=E16)),($E$5/$B$4),0))))</f>
        <v>7.0588235294117645</v>
      </c>
      <c r="G16" s="128">
        <f>IF($G$8="Habilitado",IF($A16="","",ROUND(VLOOKUP($A16,'Presupuesto Consolidado'!$U$12:$Z$80,6,FALSE),2)),"")</f>
        <v>15558500</v>
      </c>
      <c r="H16" s="129">
        <f>IF($A16="","",IF(G16="","",IF($K$4="Media aritmética",(G16&lt;=$B16)*($E$5/$B$4)+(G16&gt;$B16)*0,IF(AND(ROUND(AVERAGE($C16,$E16,$G16,$I16,$K16,$M16,$O16,$Q16,$S16,$U16,#REF!,#REF!,#REF!,#REF!,#REF!),2)-$B16/2&lt;=G16,(ROUND(AVERAGE($C16,$E16,$G16,$I16,$K16,$M16,$O16,$Q16,$S16,$U16,#REF!,#REF!,#REF!,#REF!,#REF!),2)+$B16/2&gt;=G16)),($E$5/$B$4),0))))</f>
        <v>0</v>
      </c>
      <c r="I16" s="128">
        <f>IF($I$8="Habilitado",IF($A16="","",ROUND(VLOOKUP($A16,'Presupuesto Consolidado'!$AE$12:$AJ$80,6,FALSE),2)),"")</f>
        <v>7250000</v>
      </c>
      <c r="J16" s="129">
        <f>IF($A16="","",IF(I16="","",IF($K$4="Media aritmética",(I16&lt;=$B16)*($E$5/$B$4)+(I16&gt;$B16)*0,IF(AND(ROUND(AVERAGE($C16,$E16,$G16,$I16,$K16,$M16,$O16,$Q16,$S16,$U16,#REF!,#REF!,#REF!,#REF!,#REF!),2)-$B16/2&lt;=I16,(ROUND(AVERAGE($C16,$E16,$G16,$I16,$K16,$M16,$O16,$Q16,$S16,$U16,#REF!,#REF!,#REF!,#REF!,#REF!),2)+$B16/2&gt;=I16)),($E$5/$B$4),0))))</f>
        <v>7.0588235294117645</v>
      </c>
      <c r="K16" s="128">
        <f>IF($K$8="Habilitado",IF($A16="","",ROUND(VLOOKUP($A16,'Presupuesto Consolidado'!$AO$12:$AT$80,6,FALSE),2)),"")</f>
        <v>19923000</v>
      </c>
      <c r="L16" s="129">
        <f>IF($A16="","",IF(K16="","",IF($K$4="Media aritmética",(K16&lt;=$B16)*($E$5/$B$4)+(K16&gt;$B16)*0,IF(AND(ROUND(AVERAGE($C16,$E16,$G16,$I16,$K16,$M16,$O16,$Q16,$S16,$U16,#REF!,#REF!,#REF!,#REF!,#REF!),2)-$B16/2&lt;=K16,(ROUND(AVERAGE($C16,$E16,$G16,$I16,$K16,$M16,$O16,$Q16,$S16,$U16,#REF!,#REF!,#REF!,#REF!,#REF!),2)+$B16/2&gt;=K16)),($E$5/$B$4),0))))</f>
        <v>0</v>
      </c>
      <c r="M16" s="128" t="str">
        <f>IF($M$8="Habilitado",IF($A16="","",ROUND(VLOOKUP($A16,'Presupuesto Consolidado'!$AY$12:$BD$80,6,FALSE),2)),"")</f>
        <v/>
      </c>
      <c r="N16" s="129" t="str">
        <f>IF($A16="","",IF(M16="","",IF($K$4="Media aritmética",(M16&lt;=$B16)*($E$5/$B$4)+(M16&gt;$B16)*0,IF(AND(ROUND(AVERAGE($C16,$E16,$G16,$I16,$K16,$M16,$O16,$Q16,$S16,$U16,#REF!,#REF!,#REF!,#REF!,#REF!),2)-$B16/2&lt;=M16,(ROUND(AVERAGE($C16,$E16,$G16,$I16,$K16,$M16,$O16,$Q16,$S16,$U16,#REF!,#REF!,#REF!,#REF!,#REF!),2)+$B16/2&gt;=M16)),($E$5/$B$4),0))))</f>
        <v/>
      </c>
      <c r="O16" s="128">
        <f>IF($O$8="Habilitado",IF($A16="","",ROUND(VLOOKUP($A16,'Presupuesto Consolidado'!$BI$12:$BN$80,6,FALSE),2)),"")</f>
        <v>18705000</v>
      </c>
      <c r="P16" s="129">
        <f>IF($A16="","",IF(O16="","",IF($K$4="Media aritmética",(O16&lt;=$B16)*($E$5/$B$4)+(O16&gt;$B16)*0,IF(AND(ROUND(AVERAGE($C16,$E16,$G16,$I16,$K16,$M16,$O16,$Q16,$S16,$U16,#REF!,#REF!,#REF!,#REF!,#REF!),2)-$B16/2&lt;=O16,(ROUND(AVERAGE($C16,$E16,$G16,$I16,$K16,$M16,$O16,$Q16,$S16,$U16,#REF!,#REF!,#REF!,#REF!,#REF!),2)+$B16/2&gt;=O16)),($E$5/$B$4),0))))</f>
        <v>0</v>
      </c>
      <c r="Q16" s="128">
        <f>IF($Q$8="Habilitado",IF($A16="","",ROUND(VLOOKUP($A16,'Presupuesto Consolidado'!$BS$12:$BX$80,6,FALSE),2)),"")</f>
        <v>18647000</v>
      </c>
      <c r="R16" s="129">
        <f>IF($A16="","",IF(Q16="","",IF($K$4="Media aritmética",(Q16&lt;=$B16)*($E$5/$B$4)+(Q16&gt;$B16)*0,IF(AND(ROUND(AVERAGE($C16,$E16,$G16,$I16,$K16,$M16,$O16,$Q16,$S16,$U16,#REF!,#REF!,#REF!,#REF!,#REF!),2)-$B16/2&lt;=Q16,(ROUND(AVERAGE($C16,$E16,$G16,$I16,$K16,$M16,$O16,$Q16,$S16,$U16,#REF!,#REF!,#REF!,#REF!,#REF!),2)+$B16/2&gt;=Q16)),($E$5/$B$4),0))))</f>
        <v>0</v>
      </c>
      <c r="S16" s="128">
        <f>IF($S$8="Habilitado",IF($A16="","",ROUND(VLOOKUP($A16,'Presupuesto Consolidado'!$CC$12:$CH$80,6,FALSE),2)),"")</f>
        <v>18618000</v>
      </c>
      <c r="T16" s="129">
        <f>IF($A16="","",IF(S16="","",IF($K$4="Media aritmética",(S16&lt;=$B16)*($E$5/$B$4)+(S16&gt;$B16)*0,IF(AND(ROUND(AVERAGE($C16,$E16,$G16,$I16,$K16,$M16,$O16,$Q16,$S16,$U16,#REF!,#REF!,#REF!,#REF!,#REF!),2)-$B16/2&lt;=S16,(ROUND(AVERAGE($C16,$E16,$G16,$I16,$K16,$M16,$O16,$Q16,$S16,$U16,#REF!,#REF!,#REF!,#REF!,#REF!),2)+$B16/2&gt;=S16)),($E$5/$B$4),0))))</f>
        <v>0</v>
      </c>
      <c r="U16" s="128" t="str">
        <f>IF($U$8="Habilitado",IF($A16="","",ROUND(VLOOKUP($A16,'Presupuesto Consolidado'!$CM$12:$CR$80,6,FALSE),2)),"")</f>
        <v/>
      </c>
      <c r="V16" s="129" t="str">
        <f>IF($A16="","",IF(U16="","",IF($K$4="Media aritmética",(U16&lt;=$B16)*($E$5/$B$4)+(U16&gt;$B16)*0,IF(AND(ROUND(AVERAGE($C16,$E16,$G16,$I16,$K16,$M16,$O16,$Q16,$S16,$U16,#REF!,#REF!,#REF!,#REF!,#REF!),2)-$B16/2&lt;=U16,(ROUND(AVERAGE($C16,$E16,$G16,$I16,$K16,$M16,$O16,$Q16,$S16,$U16,#REF!,#REF!,#REF!,#REF!,#REF!),2)+$B16/2&gt;=U16)),($E$5/$B$4),0))))</f>
        <v/>
      </c>
      <c r="X16" s="221"/>
      <c r="Y16" s="222"/>
      <c r="Z16" s="222"/>
    </row>
    <row r="17" spans="1:26" s="122" customFormat="1" ht="21" customHeight="1">
      <c r="A17" s="256" t="str">
        <f>+'Presupuesto Consolidado'!A26</f>
        <v>3.3</v>
      </c>
      <c r="B17" s="127">
        <f t="shared" si="8"/>
        <v>21484375</v>
      </c>
      <c r="C17" s="128">
        <f>IF($C$8="Habilitado",IF($A17="","",ROUND(VLOOKUP($A17,'Presupuesto Consolidado'!$A$12:$F$80,6,FALSE),2)),"")</f>
        <v>19375000</v>
      </c>
      <c r="D17" s="129">
        <f>IF($A17="","",IF(C17="","",IF($K$4="Media aritmética",(C17&lt;=$B17)*($E$5/$B$4)+(C17&gt;$B17)*0,IF(AND(ROUND(AVERAGE($C17,$E17,$G17,$I17,$K17,$M17,$O17,$Q17,$S17,$U17,#REF!,#REF!,#REF!,#REF!,#REF!),2)-$B17/2&lt;=C17,(ROUND(AVERAGE($C17,$E17,$G17,$I17,$K17,$M17,$O17,$Q17,$S17,$U17,#REF!,#REF!,#REF!,#REF!,#REF!),2)+$B17/2&gt;=C17)),($E$5/$B$4),0))))</f>
        <v>7.0588235294117645</v>
      </c>
      <c r="E17" s="128">
        <f>IF($E$8="Habilitado",IF($A17="","",ROUND(VLOOKUP($A17,'Presupuesto Consolidado'!$K$12:$P$80,6,FALSE),2)),"")</f>
        <v>23125000</v>
      </c>
      <c r="F17" s="129">
        <f>IF($A17="","",IF(E17="","",IF($K$4="Media aritmética",(E17&lt;=$B17)*($E$5/$B$4)+(E17&gt;$B17)*0,IF(AND(ROUND(AVERAGE($C17,$E17,$G17,$I17,$K17,$M17,$O17,$Q17,$S17,$U17,#REF!,#REF!,#REF!,#REF!,#REF!),2)-$B17/2&lt;=E17,(ROUND(AVERAGE($C17,$E17,$G17,$I17,$K17,$M17,$O17,$Q17,$S17,$U17,#REF!,#REF!,#REF!,#REF!,#REF!),2)+$B17/2&gt;=E17)),($E$5/$B$4),0))))</f>
        <v>0</v>
      </c>
      <c r="G17" s="128">
        <f>IF($G$8="Habilitado",IF($A17="","",ROUND(VLOOKUP($A17,'Presupuesto Consolidado'!$U$12:$Z$80,6,FALSE),2)),"")</f>
        <v>15750000</v>
      </c>
      <c r="H17" s="129">
        <f>IF($A17="","",IF(G17="","",IF($K$4="Media aritmética",(G17&lt;=$B17)*($E$5/$B$4)+(G17&gt;$B17)*0,IF(AND(ROUND(AVERAGE($C17,$E17,$G17,$I17,$K17,$M17,$O17,$Q17,$S17,$U17,#REF!,#REF!,#REF!,#REF!,#REF!),2)-$B17/2&lt;=G17,(ROUND(AVERAGE($C17,$E17,$G17,$I17,$K17,$M17,$O17,$Q17,$S17,$U17,#REF!,#REF!,#REF!,#REF!,#REF!),2)+$B17/2&gt;=G17)),($E$5/$B$4),0))))</f>
        <v>7.0588235294117645</v>
      </c>
      <c r="I17" s="128">
        <f>IF($I$8="Habilitado",IF($A17="","",ROUND(VLOOKUP($A17,'Presupuesto Consolidado'!$AE$12:$AJ$80,6,FALSE),2)),"")</f>
        <v>8750000</v>
      </c>
      <c r="J17" s="129">
        <f>IF($A17="","",IF(I17="","",IF($K$4="Media aritmética",(I17&lt;=$B17)*($E$5/$B$4)+(I17&gt;$B17)*0,IF(AND(ROUND(AVERAGE($C17,$E17,$G17,$I17,$K17,$M17,$O17,$Q17,$S17,$U17,#REF!,#REF!,#REF!,#REF!,#REF!),2)-$B17/2&lt;=I17,(ROUND(AVERAGE($C17,$E17,$G17,$I17,$K17,$M17,$O17,$Q17,$S17,$U17,#REF!,#REF!,#REF!,#REF!,#REF!),2)+$B17/2&gt;=I17)),($E$5/$B$4),0))))</f>
        <v>7.0588235294117645</v>
      </c>
      <c r="K17" s="128">
        <f>IF($K$8="Habilitado",IF($A17="","",ROUND(VLOOKUP($A17,'Presupuesto Consolidado'!$AO$12:$AT$80,6,FALSE),2)),"")</f>
        <v>26125000</v>
      </c>
      <c r="L17" s="129">
        <f>IF($A17="","",IF(K17="","",IF($K$4="Media aritmética",(K17&lt;=$B17)*($E$5/$B$4)+(K17&gt;$B17)*0,IF(AND(ROUND(AVERAGE($C17,$E17,$G17,$I17,$K17,$M17,$O17,$Q17,$S17,$U17,#REF!,#REF!,#REF!,#REF!,#REF!),2)-$B17/2&lt;=K17,(ROUND(AVERAGE($C17,$E17,$G17,$I17,$K17,$M17,$O17,$Q17,$S17,$U17,#REF!,#REF!,#REF!,#REF!,#REF!),2)+$B17/2&gt;=K17)),($E$5/$B$4),0))))</f>
        <v>0</v>
      </c>
      <c r="M17" s="128" t="str">
        <f>IF($M$8="Habilitado",IF($A17="","",ROUND(VLOOKUP($A17,'Presupuesto Consolidado'!$AY$12:$BD$80,6,FALSE),2)),"")</f>
        <v/>
      </c>
      <c r="N17" s="129" t="str">
        <f>IF($A17="","",IF(M17="","",IF($K$4="Media aritmética",(M17&lt;=$B17)*($E$5/$B$4)+(M17&gt;$B17)*0,IF(AND(ROUND(AVERAGE($C17,$E17,$G17,$I17,$K17,$M17,$O17,$Q17,$S17,$U17,#REF!,#REF!,#REF!,#REF!,#REF!),2)-$B17/2&lt;=M17,(ROUND(AVERAGE($C17,$E17,$G17,$I17,$K17,$M17,$O17,$Q17,$S17,$U17,#REF!,#REF!,#REF!,#REF!,#REF!),2)+$B17/2&gt;=M17)),($E$5/$B$4),0))))</f>
        <v/>
      </c>
      <c r="O17" s="128">
        <f>IF($O$8="Habilitado",IF($A17="","",ROUND(VLOOKUP($A17,'Presupuesto Consolidado'!$BI$12:$BN$80,6,FALSE),2)),"")</f>
        <v>26125000</v>
      </c>
      <c r="P17" s="129">
        <f>IF($A17="","",IF(O17="","",IF($K$4="Media aritmética",(O17&lt;=$B17)*($E$5/$B$4)+(O17&gt;$B17)*0,IF(AND(ROUND(AVERAGE($C17,$E17,$G17,$I17,$K17,$M17,$O17,$Q17,$S17,$U17,#REF!,#REF!,#REF!,#REF!,#REF!),2)-$B17/2&lt;=O17,(ROUND(AVERAGE($C17,$E17,$G17,$I17,$K17,$M17,$O17,$Q17,$S17,$U17,#REF!,#REF!,#REF!,#REF!,#REF!),2)+$B17/2&gt;=O17)),($E$5/$B$4),0))))</f>
        <v>0</v>
      </c>
      <c r="Q17" s="128">
        <f>IF($Q$8="Habilitado",IF($A17="","",ROUND(VLOOKUP($A17,'Presupuesto Consolidado'!$BS$12:$BX$80,6,FALSE),2)),"")</f>
        <v>26625000</v>
      </c>
      <c r="R17" s="129">
        <f>IF($A17="","",IF(Q17="","",IF($K$4="Media aritmética",(Q17&lt;=$B17)*($E$5/$B$4)+(Q17&gt;$B17)*0,IF(AND(ROUND(AVERAGE($C17,$E17,$G17,$I17,$K17,$M17,$O17,$Q17,$S17,$U17,#REF!,#REF!,#REF!,#REF!,#REF!),2)-$B17/2&lt;=Q17,(ROUND(AVERAGE($C17,$E17,$G17,$I17,$K17,$M17,$O17,$Q17,$S17,$U17,#REF!,#REF!,#REF!,#REF!,#REF!),2)+$B17/2&gt;=Q17)),($E$5/$B$4),0))))</f>
        <v>0</v>
      </c>
      <c r="S17" s="128">
        <f>IF($S$8="Habilitado",IF($A17="","",ROUND(VLOOKUP($A17,'Presupuesto Consolidado'!$CC$12:$CH$80,6,FALSE),2)),"")</f>
        <v>26000000</v>
      </c>
      <c r="T17" s="129">
        <f>IF($A17="","",IF(S17="","",IF($K$4="Media aritmética",(S17&lt;=$B17)*($E$5/$B$4)+(S17&gt;$B17)*0,IF(AND(ROUND(AVERAGE($C17,$E17,$G17,$I17,$K17,$M17,$O17,$Q17,$S17,$U17,#REF!,#REF!,#REF!,#REF!,#REF!),2)-$B17/2&lt;=S17,(ROUND(AVERAGE($C17,$E17,$G17,$I17,$K17,$M17,$O17,$Q17,$S17,$U17,#REF!,#REF!,#REF!,#REF!,#REF!),2)+$B17/2&gt;=S17)),($E$5/$B$4),0))))</f>
        <v>0</v>
      </c>
      <c r="U17" s="128" t="str">
        <f>IF($U$8="Habilitado",IF($A17="","",ROUND(VLOOKUP($A17,'Presupuesto Consolidado'!$CM$12:$CR$80,6,FALSE),2)),"")</f>
        <v/>
      </c>
      <c r="V17" s="129" t="str">
        <f>IF($A17="","",IF(U17="","",IF($K$4="Media aritmética",(U17&lt;=$B17)*($E$5/$B$4)+(U17&gt;$B17)*0,IF(AND(ROUND(AVERAGE($C17,$E17,$G17,$I17,$K17,$M17,$O17,$Q17,$S17,$U17,#REF!,#REF!,#REF!,#REF!,#REF!),2)-$B17/2&lt;=U17,(ROUND(AVERAGE($C17,$E17,$G17,$I17,$K17,$M17,$O17,$Q17,$S17,$U17,#REF!,#REF!,#REF!,#REF!,#REF!),2)+$B17/2&gt;=U17)),($E$5/$B$4),0))))</f>
        <v/>
      </c>
      <c r="X17" s="221"/>
      <c r="Y17" s="222"/>
      <c r="Z17" s="222"/>
    </row>
    <row r="18" spans="1:26" s="122" customFormat="1" ht="21" customHeight="1">
      <c r="A18" s="257" t="str">
        <f>+'Presupuesto Consolidado'!A29</f>
        <v>4.1</v>
      </c>
      <c r="B18" s="127">
        <f t="shared" si="8"/>
        <v>29094120</v>
      </c>
      <c r="C18" s="128">
        <f>IF($C$8="Habilitado",IF($A18="","",ROUND(VLOOKUP($A18,'Presupuesto Consolidado'!$A$12:$F$80,6,FALSE),2)),"")</f>
        <v>33580800</v>
      </c>
      <c r="D18" s="129">
        <f>IF($A18="","",IF(C18="","",IF($K$4="Media aritmética",(C18&lt;=$B18)*($E$5/$B$4)+(C18&gt;$B18)*0,IF(AND(ROUND(AVERAGE($C18,$E18,$G18,$I18,$K18,$M18,$O18,$Q18,$S18,$U18,#REF!,#REF!,#REF!,#REF!,#REF!),2)-$B18/2&lt;=C18,(ROUND(AVERAGE($C18,$E18,$G18,$I18,$K18,$M18,$O18,$Q18,$S18,$U18,#REF!,#REF!,#REF!,#REF!,#REF!),2)+$B18/2&gt;=C18)),($E$5/$B$4),0))))</f>
        <v>0</v>
      </c>
      <c r="E18" s="128">
        <f>IF($E$8="Habilitado",IF($A18="","",ROUND(VLOOKUP($A18,'Presupuesto Consolidado'!$K$12:$P$80,6,FALSE),2)),"")</f>
        <v>40233600</v>
      </c>
      <c r="F18" s="129">
        <f>IF($A18="","",IF(E18="","",IF($K$4="Media aritmética",(E18&lt;=$B18)*($E$5/$B$4)+(E18&gt;$B18)*0,IF(AND(ROUND(AVERAGE($C18,$E18,$G18,$I18,$K18,$M18,$O18,$Q18,$S18,$U18,#REF!,#REF!,#REF!,#REF!,#REF!),2)-$B18/2&lt;=E18,(ROUND(AVERAGE($C18,$E18,$G18,$I18,$K18,$M18,$O18,$Q18,$S18,$U18,#REF!,#REF!,#REF!,#REF!,#REF!),2)+$B18/2&gt;=E18)),($E$5/$B$4),0))))</f>
        <v>0</v>
      </c>
      <c r="G18" s="128">
        <f>IF($G$8="Habilitado",IF($A18="","",ROUND(VLOOKUP($A18,'Presupuesto Consolidado'!$U$12:$Z$80,6,FALSE),2)),"")</f>
        <v>30096000</v>
      </c>
      <c r="H18" s="129">
        <f>IF($A18="","",IF(G18="","",IF($K$4="Media aritmética",(G18&lt;=$B18)*($E$5/$B$4)+(G18&gt;$B18)*0,IF(AND(ROUND(AVERAGE($C18,$E18,$G18,$I18,$K18,$M18,$O18,$Q18,$S18,$U18,#REF!,#REF!,#REF!,#REF!,#REF!),2)-$B18/2&lt;=G18,(ROUND(AVERAGE($C18,$E18,$G18,$I18,$K18,$M18,$O18,$Q18,$S18,$U18,#REF!,#REF!,#REF!,#REF!,#REF!),2)+$B18/2&gt;=G18)),($E$5/$B$4),0))))</f>
        <v>0</v>
      </c>
      <c r="I18" s="128">
        <f>IF($I$8="Habilitado",IF($A18="","",ROUND(VLOOKUP($A18,'Presupuesto Consolidado'!$AE$12:$AJ$80,6,FALSE),2)),"")</f>
        <v>28512000</v>
      </c>
      <c r="J18" s="129">
        <f>IF($A18="","",IF(I18="","",IF($K$4="Media aritmética",(I18&lt;=$B18)*($E$5/$B$4)+(I18&gt;$B18)*0,IF(AND(ROUND(AVERAGE($C18,$E18,$G18,$I18,$K18,$M18,$O18,$Q18,$S18,$U18,#REF!,#REF!,#REF!,#REF!,#REF!),2)-$B18/2&lt;=I18,(ROUND(AVERAGE($C18,$E18,$G18,$I18,$K18,$M18,$O18,$Q18,$S18,$U18,#REF!,#REF!,#REF!,#REF!,#REF!),2)+$B18/2&gt;=I18)),($E$5/$B$4),0))))</f>
        <v>7.0588235294117645</v>
      </c>
      <c r="K18" s="128">
        <f>IF($K$8="Habilitado",IF($A18="","",ROUND(VLOOKUP($A18,'Presupuesto Consolidado'!$AO$12:$AT$80,6,FALSE),2)),"")</f>
        <v>25344000</v>
      </c>
      <c r="L18" s="129">
        <f>IF($A18="","",IF(K18="","",IF($K$4="Media aritmética",(K18&lt;=$B18)*($E$5/$B$4)+(K18&gt;$B18)*0,IF(AND(ROUND(AVERAGE($C18,$E18,$G18,$I18,$K18,$M18,$O18,$Q18,$S18,$U18,#REF!,#REF!,#REF!,#REF!,#REF!),2)-$B18/2&lt;=K18,(ROUND(AVERAGE($C18,$E18,$G18,$I18,$K18,$M18,$O18,$Q18,$S18,$U18,#REF!,#REF!,#REF!,#REF!,#REF!),2)+$B18/2&gt;=K18)),($E$5/$B$4),0))))</f>
        <v>7.0588235294117645</v>
      </c>
      <c r="M18" s="128" t="str">
        <f>IF($M$8="Habilitado",IF($A18="","",ROUND(VLOOKUP($A18,'Presupuesto Consolidado'!$AY$12:$BD$80,6,FALSE),2)),"")</f>
        <v/>
      </c>
      <c r="N18" s="129" t="str">
        <f>IF($A18="","",IF(M18="","",IF($K$4="Media aritmética",(M18&lt;=$B18)*($E$5/$B$4)+(M18&gt;$B18)*0,IF(AND(ROUND(AVERAGE($C18,$E18,$G18,$I18,$K18,$M18,$O18,$Q18,$S18,$U18,#REF!,#REF!,#REF!,#REF!,#REF!),2)-$B18/2&lt;=M18,(ROUND(AVERAGE($C18,$E18,$G18,$I18,$K18,$M18,$O18,$Q18,$S18,$U18,#REF!,#REF!,#REF!,#REF!,#REF!),2)+$B18/2&gt;=M18)),($E$5/$B$4),0))))</f>
        <v/>
      </c>
      <c r="O18" s="128">
        <f>IF($O$8="Habilitado",IF($A18="","",ROUND(VLOOKUP($A18,'Presupuesto Consolidado'!$BI$12:$BN$80,6,FALSE),2)),"")</f>
        <v>25090560</v>
      </c>
      <c r="P18" s="129">
        <f>IF($A18="","",IF(O18="","",IF($K$4="Media aritmética",(O18&lt;=$B18)*($E$5/$B$4)+(O18&gt;$B18)*0,IF(AND(ROUND(AVERAGE($C18,$E18,$G18,$I18,$K18,$M18,$O18,$Q18,$S18,$U18,#REF!,#REF!,#REF!,#REF!,#REF!),2)-$B18/2&lt;=O18,(ROUND(AVERAGE($C18,$E18,$G18,$I18,$K18,$M18,$O18,$Q18,$S18,$U18,#REF!,#REF!,#REF!,#REF!,#REF!),2)+$B18/2&gt;=O18)),($E$5/$B$4),0))))</f>
        <v>7.0588235294117645</v>
      </c>
      <c r="Q18" s="128">
        <f>IF($Q$8="Habilitado",IF($A18="","",ROUND(VLOOKUP($A18,'Presupuesto Consolidado'!$BS$12:$BX$80,6,FALSE),2)),"")</f>
        <v>24710400</v>
      </c>
      <c r="R18" s="129">
        <f>IF($A18="","",IF(Q18="","",IF($K$4="Media aritmética",(Q18&lt;=$B18)*($E$5/$B$4)+(Q18&gt;$B18)*0,IF(AND(ROUND(AVERAGE($C18,$E18,$G18,$I18,$K18,$M18,$O18,$Q18,$S18,$U18,#REF!,#REF!,#REF!,#REF!,#REF!),2)-$B18/2&lt;=Q18,(ROUND(AVERAGE($C18,$E18,$G18,$I18,$K18,$M18,$O18,$Q18,$S18,$U18,#REF!,#REF!,#REF!,#REF!,#REF!),2)+$B18/2&gt;=Q18)),($E$5/$B$4),0))))</f>
        <v>7.0588235294117645</v>
      </c>
      <c r="S18" s="128">
        <f>IF($S$8="Habilitado",IF($A18="","",ROUND(VLOOKUP($A18,'Presupuesto Consolidado'!$CC$12:$CH$80,6,FALSE),2)),"")</f>
        <v>25185600</v>
      </c>
      <c r="T18" s="129">
        <f>IF($A18="","",IF(S18="","",IF($K$4="Media aritmética",(S18&lt;=$B18)*($E$5/$B$4)+(S18&gt;$B18)*0,IF(AND(ROUND(AVERAGE($C18,$E18,$G18,$I18,$K18,$M18,$O18,$Q18,$S18,$U18,#REF!,#REF!,#REF!,#REF!,#REF!),2)-$B18/2&lt;=S18,(ROUND(AVERAGE($C18,$E18,$G18,$I18,$K18,$M18,$O18,$Q18,$S18,$U18,#REF!,#REF!,#REF!,#REF!,#REF!),2)+$B18/2&gt;=S18)),($E$5/$B$4),0))))</f>
        <v>7.0588235294117645</v>
      </c>
      <c r="U18" s="128" t="str">
        <f>IF($U$8="Habilitado",IF($A18="","",ROUND(VLOOKUP($A18,'Presupuesto Consolidado'!$CM$12:$CR$80,6,FALSE),2)),"")</f>
        <v/>
      </c>
      <c r="V18" s="129" t="str">
        <f>IF($A18="","",IF(U18="","",IF($K$4="Media aritmética",(U18&lt;=$B18)*($E$5/$B$4)+(U18&gt;$B18)*0,IF(AND(ROUND(AVERAGE($C18,$E18,$G18,$I18,$K18,$M18,$O18,$Q18,$S18,$U18,#REF!,#REF!,#REF!,#REF!,#REF!),2)-$B18/2&lt;=U18,(ROUND(AVERAGE($C18,$E18,$G18,$I18,$K18,$M18,$O18,$Q18,$S18,$U18,#REF!,#REF!,#REF!,#REF!,#REF!),2)+$B18/2&gt;=U18)),($E$5/$B$4),0))))</f>
        <v/>
      </c>
      <c r="X18" s="221"/>
      <c r="Y18" s="222"/>
      <c r="Z18" s="222"/>
    </row>
    <row r="19" spans="1:26" s="122" customFormat="1" ht="21" customHeight="1">
      <c r="A19" s="257" t="str">
        <f>+'Presupuesto Consolidado'!A30</f>
        <v>4.2</v>
      </c>
      <c r="B19" s="127">
        <f t="shared" si="8"/>
        <v>6688125</v>
      </c>
      <c r="C19" s="128">
        <f>IF($C$8="Habilitado",IF($A19="","",ROUND(VLOOKUP($A19,'Presupuesto Consolidado'!$A$12:$F$80,6,FALSE),2)),"")</f>
        <v>5175000</v>
      </c>
      <c r="D19" s="129">
        <f>IF($A19="","",IF(C19="","",IF($K$4="Media aritmética",(C19&lt;=$B19)*($E$5/$B$4)+(C19&gt;$B19)*0,IF(AND(ROUND(AVERAGE($C19,$E19,$G19,$I19,$K19,$M19,$O19,$Q19,$S19,$U19,#REF!,#REF!,#REF!,#REF!,#REF!),2)-$B19/2&lt;=C19,(ROUND(AVERAGE($C19,$E19,$G19,$I19,$K19,$M19,$O19,$Q19,$S19,$U19,#REF!,#REF!,#REF!,#REF!,#REF!),2)+$B19/2&gt;=C19)),($E$5/$B$4),0))))</f>
        <v>7.0588235294117645</v>
      </c>
      <c r="E19" s="128">
        <f>IF($E$8="Habilitado",IF($A19="","",ROUND(VLOOKUP($A19,'Presupuesto Consolidado'!$K$12:$P$80,6,FALSE),2)),"")</f>
        <v>8010000</v>
      </c>
      <c r="F19" s="129">
        <f>IF($A19="","",IF(E19="","",IF($K$4="Media aritmética",(E19&lt;=$B19)*($E$5/$B$4)+(E19&gt;$B19)*0,IF(AND(ROUND(AVERAGE($C19,$E19,$G19,$I19,$K19,$M19,$O19,$Q19,$S19,$U19,#REF!,#REF!,#REF!,#REF!,#REF!),2)-$B19/2&lt;=E19,(ROUND(AVERAGE($C19,$E19,$G19,$I19,$K19,$M19,$O19,$Q19,$S19,$U19,#REF!,#REF!,#REF!,#REF!,#REF!),2)+$B19/2&gt;=E19)),($E$5/$B$4),0))))</f>
        <v>0</v>
      </c>
      <c r="G19" s="128">
        <f>IF($G$8="Habilitado",IF($A19="","",ROUND(VLOOKUP($A19,'Presupuesto Consolidado'!$U$12:$Z$80,6,FALSE),2)),"")</f>
        <v>8505000</v>
      </c>
      <c r="H19" s="129">
        <f>IF($A19="","",IF(G19="","",IF($K$4="Media aritmética",(G19&lt;=$B19)*($E$5/$B$4)+(G19&gt;$B19)*0,IF(AND(ROUND(AVERAGE($C19,$E19,$G19,$I19,$K19,$M19,$O19,$Q19,$S19,$U19,#REF!,#REF!,#REF!,#REF!,#REF!),2)-$B19/2&lt;=G19,(ROUND(AVERAGE($C19,$E19,$G19,$I19,$K19,$M19,$O19,$Q19,$S19,$U19,#REF!,#REF!,#REF!,#REF!,#REF!),2)+$B19/2&gt;=G19)),($E$5/$B$4),0))))</f>
        <v>0</v>
      </c>
      <c r="I19" s="128">
        <f>IF($I$8="Habilitado",IF($A19="","",ROUND(VLOOKUP($A19,'Presupuesto Consolidado'!$AE$12:$AJ$80,6,FALSE),2)),"")</f>
        <v>7200000</v>
      </c>
      <c r="J19" s="129">
        <f>IF($A19="","",IF(I19="","",IF($K$4="Media aritmética",(I19&lt;=$B19)*($E$5/$B$4)+(I19&gt;$B19)*0,IF(AND(ROUND(AVERAGE($C19,$E19,$G19,$I19,$K19,$M19,$O19,$Q19,$S19,$U19,#REF!,#REF!,#REF!,#REF!,#REF!),2)-$B19/2&lt;=I19,(ROUND(AVERAGE($C19,$E19,$G19,$I19,$K19,$M19,$O19,$Q19,$S19,$U19,#REF!,#REF!,#REF!,#REF!,#REF!),2)+$B19/2&gt;=I19)),($E$5/$B$4),0))))</f>
        <v>0</v>
      </c>
      <c r="K19" s="128">
        <f>IF($K$8="Habilitado",IF($A19="","",ROUND(VLOOKUP($A19,'Presupuesto Consolidado'!$AO$12:$AT$80,6,FALSE),2)),"")</f>
        <v>5940000</v>
      </c>
      <c r="L19" s="129">
        <f>IF($A19="","",IF(K19="","",IF($K$4="Media aritmética",(K19&lt;=$B19)*($E$5/$B$4)+(K19&gt;$B19)*0,IF(AND(ROUND(AVERAGE($C19,$E19,$G19,$I19,$K19,$M19,$O19,$Q19,$S19,$U19,#REF!,#REF!,#REF!,#REF!,#REF!),2)-$B19/2&lt;=K19,(ROUND(AVERAGE($C19,$E19,$G19,$I19,$K19,$M19,$O19,$Q19,$S19,$U19,#REF!,#REF!,#REF!,#REF!,#REF!),2)+$B19/2&gt;=K19)),($E$5/$B$4),0))))</f>
        <v>7.0588235294117645</v>
      </c>
      <c r="M19" s="128" t="str">
        <f>IF($M$8="Habilitado",IF($A19="","",ROUND(VLOOKUP($A19,'Presupuesto Consolidado'!$AY$12:$BD$80,6,FALSE),2)),"")</f>
        <v/>
      </c>
      <c r="N19" s="129" t="str">
        <f>IF($A19="","",IF(M19="","",IF($K$4="Media aritmética",(M19&lt;=$B19)*($E$5/$B$4)+(M19&gt;$B19)*0,IF(AND(ROUND(AVERAGE($C19,$E19,$G19,$I19,$K19,$M19,$O19,$Q19,$S19,$U19,#REF!,#REF!,#REF!,#REF!,#REF!),2)-$B19/2&lt;=M19,(ROUND(AVERAGE($C19,$E19,$G19,$I19,$K19,$M19,$O19,$Q19,$S19,$U19,#REF!,#REF!,#REF!,#REF!,#REF!),2)+$B19/2&gt;=M19)),($E$5/$B$4),0))))</f>
        <v/>
      </c>
      <c r="O19" s="128">
        <f>IF($O$8="Habilitado",IF($A19="","",ROUND(VLOOKUP($A19,'Presupuesto Consolidado'!$BI$12:$BN$80,6,FALSE),2)),"")</f>
        <v>6291000</v>
      </c>
      <c r="P19" s="129">
        <f>IF($A19="","",IF(O19="","",IF($K$4="Media aritmética",(O19&lt;=$B19)*($E$5/$B$4)+(O19&gt;$B19)*0,IF(AND(ROUND(AVERAGE($C19,$E19,$G19,$I19,$K19,$M19,$O19,$Q19,$S19,$U19,#REF!,#REF!,#REF!,#REF!,#REF!),2)-$B19/2&lt;=O19,(ROUND(AVERAGE($C19,$E19,$G19,$I19,$K19,$M19,$O19,$Q19,$S19,$U19,#REF!,#REF!,#REF!,#REF!,#REF!),2)+$B19/2&gt;=O19)),($E$5/$B$4),0))))</f>
        <v>7.0588235294117645</v>
      </c>
      <c r="Q19" s="128">
        <f>IF($Q$8="Habilitado",IF($A19="","",ROUND(VLOOKUP($A19,'Presupuesto Consolidado'!$BS$12:$BX$80,6,FALSE),2)),"")</f>
        <v>6075000</v>
      </c>
      <c r="R19" s="129">
        <f>IF($A19="","",IF(Q19="","",IF($K$4="Media aritmética",(Q19&lt;=$B19)*($E$5/$B$4)+(Q19&gt;$B19)*0,IF(AND(ROUND(AVERAGE($C19,$E19,$G19,$I19,$K19,$M19,$O19,$Q19,$S19,$U19,#REF!,#REF!,#REF!,#REF!,#REF!),2)-$B19/2&lt;=Q19,(ROUND(AVERAGE($C19,$E19,$G19,$I19,$K19,$M19,$O19,$Q19,$S19,$U19,#REF!,#REF!,#REF!,#REF!,#REF!),2)+$B19/2&gt;=Q19)),($E$5/$B$4),0))))</f>
        <v>7.0588235294117645</v>
      </c>
      <c r="S19" s="128">
        <f>IF($S$8="Habilitado",IF($A19="","",ROUND(VLOOKUP($A19,'Presupuesto Consolidado'!$CC$12:$CH$80,6,FALSE),2)),"")</f>
        <v>6309000</v>
      </c>
      <c r="T19" s="129">
        <f>IF($A19="","",IF(S19="","",IF($K$4="Media aritmética",(S19&lt;=$B19)*($E$5/$B$4)+(S19&gt;$B19)*0,IF(AND(ROUND(AVERAGE($C19,$E19,$G19,$I19,$K19,$M19,$O19,$Q19,$S19,$U19,#REF!,#REF!,#REF!,#REF!,#REF!),2)-$B19/2&lt;=S19,(ROUND(AVERAGE($C19,$E19,$G19,$I19,$K19,$M19,$O19,$Q19,$S19,$U19,#REF!,#REF!,#REF!,#REF!,#REF!),2)+$B19/2&gt;=S19)),($E$5/$B$4),0))))</f>
        <v>7.0588235294117645</v>
      </c>
      <c r="U19" s="128" t="str">
        <f>IF($U$8="Habilitado",IF($A19="","",ROUND(VLOOKUP($A19,'Presupuesto Consolidado'!$CM$12:$CR$80,6,FALSE),2)),"")</f>
        <v/>
      </c>
      <c r="V19" s="129" t="str">
        <f>IF($A19="","",IF(U19="","",IF($K$4="Media aritmética",(U19&lt;=$B19)*($E$5/$B$4)+(U19&gt;$B19)*0,IF(AND(ROUND(AVERAGE($C19,$E19,$G19,$I19,$K19,$M19,$O19,$Q19,$S19,$U19,#REF!,#REF!,#REF!,#REF!,#REF!),2)-$B19/2&lt;=U19,(ROUND(AVERAGE($C19,$E19,$G19,$I19,$K19,$M19,$O19,$Q19,$S19,$U19,#REF!,#REF!,#REF!,#REF!,#REF!),2)+$B19/2&gt;=U19)),($E$5/$B$4),0))))</f>
        <v/>
      </c>
      <c r="X19" s="221"/>
      <c r="Y19" s="222"/>
      <c r="Z19" s="222"/>
    </row>
    <row r="20" spans="1:26" s="122" customFormat="1" ht="21" customHeight="1">
      <c r="A20" s="257" t="str">
        <f>+'Presupuesto Consolidado'!A35</f>
        <v>4.7</v>
      </c>
      <c r="B20" s="127">
        <f t="shared" si="8"/>
        <v>7493850</v>
      </c>
      <c r="C20" s="128">
        <f>IF($C$8="Habilitado",IF($A20="","",ROUND(VLOOKUP($A20,'Presupuesto Consolidado'!$A$12:$F$80,6,FALSE),2)),"")</f>
        <v>8892000</v>
      </c>
      <c r="D20" s="129">
        <f>IF($A20="","",IF(C20="","",IF($K$4="Media aritmética",(C20&lt;=$B20)*($E$5/$B$4)+(C20&gt;$B20)*0,IF(AND(ROUND(AVERAGE($C20,$E20,$G20,$I20,$K20,$M20,$O20,$Q20,$S20,$U20,#REF!,#REF!,#REF!,#REF!,#REF!),2)-$B20/2&lt;=C20,(ROUND(AVERAGE($C20,$E20,$G20,$I20,$K20,$M20,$O20,$Q20,$S20,$U20,#REF!,#REF!,#REF!,#REF!,#REF!),2)+$B20/2&gt;=C20)),($E$5/$B$4),0))))</f>
        <v>0</v>
      </c>
      <c r="E20" s="128">
        <f>IF($E$8="Habilitado",IF($A20="","",ROUND(VLOOKUP($A20,'Presupuesto Consolidado'!$K$12:$P$80,6,FALSE),2)),"")</f>
        <v>8840000</v>
      </c>
      <c r="F20" s="129">
        <f>IF($A20="","",IF(E20="","",IF($K$4="Media aritmética",(E20&lt;=$B20)*($E$5/$B$4)+(E20&gt;$B20)*0,IF(AND(ROUND(AVERAGE($C20,$E20,$G20,$I20,$K20,$M20,$O20,$Q20,$S20,$U20,#REF!,#REF!,#REF!,#REF!,#REF!),2)-$B20/2&lt;=E20,(ROUND(AVERAGE($C20,$E20,$G20,$I20,$K20,$M20,$O20,$Q20,$S20,$U20,#REF!,#REF!,#REF!,#REF!,#REF!),2)+$B20/2&gt;=E20)),($E$5/$B$4),0))))</f>
        <v>0</v>
      </c>
      <c r="G20" s="128">
        <f>IF($G$8="Habilitado",IF($A20="","",ROUND(VLOOKUP($A20,'Presupuesto Consolidado'!$U$12:$Z$80,6,FALSE),2)),"")</f>
        <v>5720000</v>
      </c>
      <c r="H20" s="129">
        <f>IF($A20="","",IF(G20="","",IF($K$4="Media aritmética",(G20&lt;=$B20)*($E$5/$B$4)+(G20&gt;$B20)*0,IF(AND(ROUND(AVERAGE($C20,$E20,$G20,$I20,$K20,$M20,$O20,$Q20,$S20,$U20,#REF!,#REF!,#REF!,#REF!,#REF!),2)-$B20/2&lt;=G20,(ROUND(AVERAGE($C20,$E20,$G20,$I20,$K20,$M20,$O20,$Q20,$S20,$U20,#REF!,#REF!,#REF!,#REF!,#REF!),2)+$B20/2&gt;=G20)),($E$5/$B$4),0))))</f>
        <v>7.0588235294117645</v>
      </c>
      <c r="I20" s="128">
        <f>IF($I$8="Habilitado",IF($A20="","",ROUND(VLOOKUP($A20,'Presupuesto Consolidado'!$AE$12:$AJ$80,6,FALSE),2)),"")</f>
        <v>10400000</v>
      </c>
      <c r="J20" s="129">
        <f>IF($A20="","",IF(I20="","",IF($K$4="Media aritmética",(I20&lt;=$B20)*($E$5/$B$4)+(I20&gt;$B20)*0,IF(AND(ROUND(AVERAGE($C20,$E20,$G20,$I20,$K20,$M20,$O20,$Q20,$S20,$U20,#REF!,#REF!,#REF!,#REF!,#REF!),2)-$B20/2&lt;=I20,(ROUND(AVERAGE($C20,$E20,$G20,$I20,$K20,$M20,$O20,$Q20,$S20,$U20,#REF!,#REF!,#REF!,#REF!,#REF!),2)+$B20/2&gt;=I20)),($E$5/$B$4),0))))</f>
        <v>0</v>
      </c>
      <c r="K20" s="128">
        <f>IF($K$8="Habilitado",IF($A20="","",ROUND(VLOOKUP($A20,'Presupuesto Consolidado'!$AO$12:$AT$80,6,FALSE),2)),"")</f>
        <v>6864000</v>
      </c>
      <c r="L20" s="129">
        <f>IF($A20="","",IF(K20="","",IF($K$4="Media aritmética",(K20&lt;=$B20)*($E$5/$B$4)+(K20&gt;$B20)*0,IF(AND(ROUND(AVERAGE($C20,$E20,$G20,$I20,$K20,$M20,$O20,$Q20,$S20,$U20,#REF!,#REF!,#REF!,#REF!,#REF!),2)-$B20/2&lt;=K20,(ROUND(AVERAGE($C20,$E20,$G20,$I20,$K20,$M20,$O20,$Q20,$S20,$U20,#REF!,#REF!,#REF!,#REF!,#REF!),2)+$B20/2&gt;=K20)),($E$5/$B$4),0))))</f>
        <v>7.0588235294117645</v>
      </c>
      <c r="M20" s="128" t="str">
        <f>IF($M$8="Habilitado",IF($A20="","",ROUND(VLOOKUP($A20,'Presupuesto Consolidado'!$AY$12:$BD$80,6,FALSE),2)),"")</f>
        <v/>
      </c>
      <c r="N20" s="129" t="str">
        <f>IF($A20="","",IF(M20="","",IF($K$4="Media aritmética",(M20&lt;=$B20)*($E$5/$B$4)+(M20&gt;$B20)*0,IF(AND(ROUND(AVERAGE($C20,$E20,$G20,$I20,$K20,$M20,$O20,$Q20,$S20,$U20,#REF!,#REF!,#REF!,#REF!,#REF!),2)-$B20/2&lt;=M20,(ROUND(AVERAGE($C20,$E20,$G20,$I20,$K20,$M20,$O20,$Q20,$S20,$U20,#REF!,#REF!,#REF!,#REF!,#REF!),2)+$B20/2&gt;=M20)),($E$5/$B$4),0))))</f>
        <v/>
      </c>
      <c r="O20" s="128">
        <f>IF($O$8="Habilitado",IF($A20="","",ROUND(VLOOKUP($A20,'Presupuesto Consolidado'!$BI$12:$BN$80,6,FALSE),2)),"")</f>
        <v>6234800</v>
      </c>
      <c r="P20" s="129">
        <f>IF($A20="","",IF(O20="","",IF($K$4="Media aritmética",(O20&lt;=$B20)*($E$5/$B$4)+(O20&gt;$B20)*0,IF(AND(ROUND(AVERAGE($C20,$E20,$G20,$I20,$K20,$M20,$O20,$Q20,$S20,$U20,#REF!,#REF!,#REF!,#REF!,#REF!),2)-$B20/2&lt;=O20,(ROUND(AVERAGE($C20,$E20,$G20,$I20,$K20,$M20,$O20,$Q20,$S20,$U20,#REF!,#REF!,#REF!,#REF!,#REF!),2)+$B20/2&gt;=O20)),($E$5/$B$4),0))))</f>
        <v>7.0588235294117645</v>
      </c>
      <c r="Q20" s="128">
        <f>IF($Q$8="Habilitado",IF($A20="","",ROUND(VLOOKUP($A20,'Presupuesto Consolidado'!$BS$12:$BX$80,6,FALSE),2)),"")</f>
        <v>6708000</v>
      </c>
      <c r="R20" s="129">
        <f>IF($A20="","",IF(Q20="","",IF($K$4="Media aritmética",(Q20&lt;=$B20)*($E$5/$B$4)+(Q20&gt;$B20)*0,IF(AND(ROUND(AVERAGE($C20,$E20,$G20,$I20,$K20,$M20,$O20,$Q20,$S20,$U20,#REF!,#REF!,#REF!,#REF!,#REF!),2)-$B20/2&lt;=Q20,(ROUND(AVERAGE($C20,$E20,$G20,$I20,$K20,$M20,$O20,$Q20,$S20,$U20,#REF!,#REF!,#REF!,#REF!,#REF!),2)+$B20/2&gt;=Q20)),($E$5/$B$4),0))))</f>
        <v>7.0588235294117645</v>
      </c>
      <c r="S20" s="128">
        <f>IF($S$8="Habilitado",IF($A20="","",ROUND(VLOOKUP($A20,'Presupuesto Consolidado'!$CC$12:$CH$80,6,FALSE),2)),"")</f>
        <v>6292000</v>
      </c>
      <c r="T20" s="129">
        <f>IF($A20="","",IF(S20="","",IF($K$4="Media aritmética",(S20&lt;=$B20)*($E$5/$B$4)+(S20&gt;$B20)*0,IF(AND(ROUND(AVERAGE($C20,$E20,$G20,$I20,$K20,$M20,$O20,$Q20,$S20,$U20,#REF!,#REF!,#REF!,#REF!,#REF!),2)-$B20/2&lt;=S20,(ROUND(AVERAGE($C20,$E20,$G20,$I20,$K20,$M20,$O20,$Q20,$S20,$U20,#REF!,#REF!,#REF!,#REF!,#REF!),2)+$B20/2&gt;=S20)),($E$5/$B$4),0))))</f>
        <v>7.0588235294117645</v>
      </c>
      <c r="U20" s="128" t="str">
        <f>IF($U$8="Habilitado",IF($A20="","",ROUND(VLOOKUP($A20,'Presupuesto Consolidado'!$CM$12:$CR$80,6,FALSE),2)),"")</f>
        <v/>
      </c>
      <c r="V20" s="129" t="str">
        <f>IF($A20="","",IF(U20="","",IF($K$4="Media aritmética",(U20&lt;=$B20)*($E$5/$B$4)+(U20&gt;$B20)*0,IF(AND(ROUND(AVERAGE($C20,$E20,$G20,$I20,$K20,$M20,$O20,$Q20,$S20,$U20,#REF!,#REF!,#REF!,#REF!,#REF!),2)-$B20/2&lt;=U20,(ROUND(AVERAGE($C20,$E20,$G20,$I20,$K20,$M20,$O20,$Q20,$S20,$U20,#REF!,#REF!,#REF!,#REF!,#REF!),2)+$B20/2&gt;=U20)),($E$5/$B$4),0))))</f>
        <v/>
      </c>
      <c r="X20" s="221"/>
      <c r="Y20" s="222"/>
      <c r="Z20" s="222"/>
    </row>
    <row r="21" spans="1:26" s="122" customFormat="1" ht="21" customHeight="1">
      <c r="A21" s="257" t="str">
        <f>+'Presupuesto Consolidado'!A38</f>
        <v>4.10</v>
      </c>
      <c r="B21" s="127">
        <f t="shared" si="8"/>
        <v>9106526</v>
      </c>
      <c r="C21" s="128">
        <f>IF($C$8="Habilitado",IF($A21="","",ROUND(VLOOKUP($A21,'Presupuesto Consolidado'!$A$12:$F$80,6,FALSE),2)),"")</f>
        <v>6233344</v>
      </c>
      <c r="D21" s="129">
        <f>IF($A21="","",IF(C21="","",IF($K$4="Media aritmética",(C21&lt;=$B21)*($E$5/$B$4)+(C21&gt;$B21)*0,IF(AND(ROUND(AVERAGE($C21,$E21,$G21,$I21,$K21,$M21,$O21,$Q21,$S21,$U21,#REF!,#REF!,#REF!,#REF!,#REF!),2)-$B21/2&lt;=C21,(ROUND(AVERAGE($C21,$E21,$G21,$I21,$K21,$M21,$O21,$Q21,$S21,$U21,#REF!,#REF!,#REF!,#REF!,#REF!),2)+$B21/2&gt;=C21)),($E$5/$B$4),0))))</f>
        <v>7.0588235294117645</v>
      </c>
      <c r="E21" s="128">
        <f>IF($E$8="Habilitado",IF($A21="","",ROUND(VLOOKUP($A21,'Presupuesto Consolidado'!$K$12:$P$80,6,FALSE),2)),"")</f>
        <v>8765640</v>
      </c>
      <c r="F21" s="129">
        <f>IF($A21="","",IF(E21="","",IF($K$4="Media aritmética",(E21&lt;=$B21)*($E$5/$B$4)+(E21&gt;$B21)*0,IF(AND(ROUND(AVERAGE($C21,$E21,$G21,$I21,$K21,$M21,$O21,$Q21,$S21,$U21,#REF!,#REF!,#REF!,#REF!,#REF!),2)-$B21/2&lt;=E21,(ROUND(AVERAGE($C21,$E21,$G21,$I21,$K21,$M21,$O21,$Q21,$S21,$U21,#REF!,#REF!,#REF!,#REF!,#REF!),2)+$B21/2&gt;=E21)),($E$5/$B$4),0))))</f>
        <v>7.0588235294117645</v>
      </c>
      <c r="G21" s="128">
        <f>IF($G$8="Habilitado",IF($A21="","",ROUND(VLOOKUP($A21,'Presupuesto Consolidado'!$U$12:$Z$80,6,FALSE),2)),"")</f>
        <v>8765640</v>
      </c>
      <c r="H21" s="129">
        <f>IF($A21="","",IF(G21="","",IF($K$4="Media aritmética",(G21&lt;=$B21)*($E$5/$B$4)+(G21&gt;$B21)*0,IF(AND(ROUND(AVERAGE($C21,$E21,$G21,$I21,$K21,$M21,$O21,$Q21,$S21,$U21,#REF!,#REF!,#REF!,#REF!,#REF!),2)-$B21/2&lt;=G21,(ROUND(AVERAGE($C21,$E21,$G21,$I21,$K21,$M21,$O21,$Q21,$S21,$U21,#REF!,#REF!,#REF!,#REF!,#REF!),2)+$B21/2&gt;=G21)),($E$5/$B$4),0))))</f>
        <v>7.0588235294117645</v>
      </c>
      <c r="I21" s="128">
        <f>IF($I$8="Habilitado",IF($A21="","",ROUND(VLOOKUP($A21,'Presupuesto Consolidado'!$AE$12:$AJ$80,6,FALSE),2)),"")</f>
        <v>18505240</v>
      </c>
      <c r="J21" s="129">
        <f>IF($A21="","",IF(I21="","",IF($K$4="Media aritmética",(I21&lt;=$B21)*($E$5/$B$4)+(I21&gt;$B21)*0,IF(AND(ROUND(AVERAGE($C21,$E21,$G21,$I21,$K21,$M21,$O21,$Q21,$S21,$U21,#REF!,#REF!,#REF!,#REF!,#REF!),2)-$B21/2&lt;=I21,(ROUND(AVERAGE($C21,$E21,$G21,$I21,$K21,$M21,$O21,$Q21,$S21,$U21,#REF!,#REF!,#REF!,#REF!,#REF!),2)+$B21/2&gt;=I21)),($E$5/$B$4),0))))</f>
        <v>0</v>
      </c>
      <c r="K21" s="128">
        <f>IF($K$8="Habilitado",IF($A21="","",ROUND(VLOOKUP($A21,'Presupuesto Consolidado'!$AO$12:$AT$80,6,FALSE),2)),"")</f>
        <v>7840378</v>
      </c>
      <c r="L21" s="129">
        <f>IF($A21="","",IF(K21="","",IF($K$4="Media aritmética",(K21&lt;=$B21)*($E$5/$B$4)+(K21&gt;$B21)*0,IF(AND(ROUND(AVERAGE($C21,$E21,$G21,$I21,$K21,$M21,$O21,$Q21,$S21,$U21,#REF!,#REF!,#REF!,#REF!,#REF!),2)-$B21/2&lt;=K21,(ROUND(AVERAGE($C21,$E21,$G21,$I21,$K21,$M21,$O21,$Q21,$S21,$U21,#REF!,#REF!,#REF!,#REF!,#REF!),2)+$B21/2&gt;=K21)),($E$5/$B$4),0))))</f>
        <v>7.0588235294117645</v>
      </c>
      <c r="M21" s="128" t="str">
        <f>IF($M$8="Habilitado",IF($A21="","",ROUND(VLOOKUP($A21,'Presupuesto Consolidado'!$AY$12:$BD$80,6,FALSE),2)),"")</f>
        <v/>
      </c>
      <c r="N21" s="129" t="str">
        <f>IF($A21="","",IF(M21="","",IF($K$4="Media aritmética",(M21&lt;=$B21)*($E$5/$B$4)+(M21&gt;$B21)*0,IF(AND(ROUND(AVERAGE($C21,$E21,$G21,$I21,$K21,$M21,$O21,$Q21,$S21,$U21,#REF!,#REF!,#REF!,#REF!,#REF!),2)-$B21/2&lt;=M21,(ROUND(AVERAGE($C21,$E21,$G21,$I21,$K21,$M21,$O21,$Q21,$S21,$U21,#REF!,#REF!,#REF!,#REF!,#REF!),2)+$B21/2&gt;=M21)),($E$5/$B$4),0))))</f>
        <v/>
      </c>
      <c r="O21" s="128">
        <f>IF($O$8="Habilitado",IF($A21="","",ROUND(VLOOKUP($A21,'Presupuesto Consolidado'!$BI$12:$BN$80,6,FALSE),2)),"")</f>
        <v>7450794</v>
      </c>
      <c r="P21" s="129">
        <f>IF($A21="","",IF(O21="","",IF($K$4="Media aritmética",(O21&lt;=$B21)*($E$5/$B$4)+(O21&gt;$B21)*0,IF(AND(ROUND(AVERAGE($C21,$E21,$G21,$I21,$K21,$M21,$O21,$Q21,$S21,$U21,#REF!,#REF!,#REF!,#REF!,#REF!),2)-$B21/2&lt;=O21,(ROUND(AVERAGE($C21,$E21,$G21,$I21,$K21,$M21,$O21,$Q21,$S21,$U21,#REF!,#REF!,#REF!,#REF!,#REF!),2)+$B21/2&gt;=O21)),($E$5/$B$4),0))))</f>
        <v>7.0588235294117645</v>
      </c>
      <c r="Q21" s="128">
        <f>IF($Q$8="Habilitado",IF($A21="","",ROUND(VLOOKUP($A21,'Presupuesto Consolidado'!$BS$12:$BX$80,6,FALSE),2)),"")</f>
        <v>7742982</v>
      </c>
      <c r="R21" s="129">
        <f>IF($A21="","",IF(Q21="","",IF($K$4="Media aritmética",(Q21&lt;=$B21)*($E$5/$B$4)+(Q21&gt;$B21)*0,IF(AND(ROUND(AVERAGE($C21,$E21,$G21,$I21,$K21,$M21,$O21,$Q21,$S21,$U21,#REF!,#REF!,#REF!,#REF!,#REF!),2)-$B21/2&lt;=Q21,(ROUND(AVERAGE($C21,$E21,$G21,$I21,$K21,$M21,$O21,$Q21,$S21,$U21,#REF!,#REF!,#REF!,#REF!,#REF!),2)+$B21/2&gt;=Q21)),($E$5/$B$4),0))))</f>
        <v>7.0588235294117645</v>
      </c>
      <c r="S21" s="128">
        <f>IF($S$8="Habilitado",IF($A21="","",ROUND(VLOOKUP($A21,'Presupuesto Consolidado'!$CC$12:$CH$80,6,FALSE),2)),"")</f>
        <v>7548190</v>
      </c>
      <c r="T21" s="129">
        <f>IF($A21="","",IF(S21="","",IF($K$4="Media aritmética",(S21&lt;=$B21)*($E$5/$B$4)+(S21&gt;$B21)*0,IF(AND(ROUND(AVERAGE($C21,$E21,$G21,$I21,$K21,$M21,$O21,$Q21,$S21,$U21,#REF!,#REF!,#REF!,#REF!,#REF!),2)-$B21/2&lt;=S21,(ROUND(AVERAGE($C21,$E21,$G21,$I21,$K21,$M21,$O21,$Q21,$S21,$U21,#REF!,#REF!,#REF!,#REF!,#REF!),2)+$B21/2&gt;=S21)),($E$5/$B$4),0))))</f>
        <v>7.0588235294117645</v>
      </c>
      <c r="U21" s="128" t="str">
        <f>IF($U$8="Habilitado",IF($A21="","",ROUND(VLOOKUP($A21,'Presupuesto Consolidado'!$CM$12:$CR$80,6,FALSE),2)),"")</f>
        <v/>
      </c>
      <c r="V21" s="129" t="str">
        <f>IF($A21="","",IF(U21="","",IF($K$4="Media aritmética",(U21&lt;=$B21)*($E$5/$B$4)+(U21&gt;$B21)*0,IF(AND(ROUND(AVERAGE($C21,$E21,$G21,$I21,$K21,$M21,$O21,$Q21,$S21,$U21,#REF!,#REF!,#REF!,#REF!,#REF!),2)-$B21/2&lt;=U21,(ROUND(AVERAGE($C21,$E21,$G21,$I21,$K21,$M21,$O21,$Q21,$S21,$U21,#REF!,#REF!,#REF!,#REF!,#REF!),2)+$B21/2&gt;=U21)),($E$5/$B$4),0))))</f>
        <v/>
      </c>
      <c r="X21" s="221"/>
      <c r="Y21" s="222"/>
      <c r="Z21" s="222"/>
    </row>
    <row r="22" spans="1:26" s="122" customFormat="1" ht="21" customHeight="1">
      <c r="A22" s="257" t="str">
        <f>+'Presupuesto Consolidado'!A39</f>
        <v>4.11</v>
      </c>
      <c r="B22" s="127">
        <f t="shared" si="8"/>
        <v>6085502.3799999999</v>
      </c>
      <c r="C22" s="128">
        <f>IF($C$8="Habilitado",IF($A22="","",ROUND(VLOOKUP($A22,'Presupuesto Consolidado'!$A$12:$F$80,6,FALSE),2)),"")</f>
        <v>6780807</v>
      </c>
      <c r="D22" s="129">
        <f>IF($A22="","",IF(C22="","",IF($K$4="Media aritmética",(C22&lt;=$B22)*($E$5/$B$4)+(C22&gt;$B22)*0,IF(AND(ROUND(AVERAGE($C22,$E22,$G22,$I22,$K22,$M22,$O22,$Q22,$S22,$U22,#REF!,#REF!,#REF!,#REF!,#REF!),2)-$B22/2&lt;=C22,(ROUND(AVERAGE($C22,$E22,$G22,$I22,$K22,$M22,$O22,$Q22,$S22,$U22,#REF!,#REF!,#REF!,#REF!,#REF!),2)+$B22/2&gt;=C22)),($E$5/$B$4),0))))</f>
        <v>0</v>
      </c>
      <c r="E22" s="128">
        <f>IF($E$8="Habilitado",IF($A22="","",ROUND(VLOOKUP($A22,'Presupuesto Consolidado'!$K$12:$P$80,6,FALSE),2)),"")</f>
        <v>6164370</v>
      </c>
      <c r="F22" s="129">
        <f>IF($A22="","",IF(E22="","",IF($K$4="Media aritmética",(E22&lt;=$B22)*($E$5/$B$4)+(E22&gt;$B22)*0,IF(AND(ROUND(AVERAGE($C22,$E22,$G22,$I22,$K22,$M22,$O22,$Q22,$S22,$U22,#REF!,#REF!,#REF!,#REF!,#REF!),2)-$B22/2&lt;=E22,(ROUND(AVERAGE($C22,$E22,$G22,$I22,$K22,$M22,$O22,$Q22,$S22,$U22,#REF!,#REF!,#REF!,#REF!,#REF!),2)+$B22/2&gt;=E22)),($E$5/$B$4),0))))</f>
        <v>0</v>
      </c>
      <c r="G22" s="128">
        <f>IF($G$8="Habilitado",IF($A22="","",ROUND(VLOOKUP($A22,'Presupuesto Consolidado'!$U$12:$Z$80,6,FALSE),2)),"")</f>
        <v>4593060</v>
      </c>
      <c r="H22" s="129">
        <f>IF($A22="","",IF(G22="","",IF($K$4="Media aritmética",(G22&lt;=$B22)*($E$5/$B$4)+(G22&gt;$B22)*0,IF(AND(ROUND(AVERAGE($C22,$E22,$G22,$I22,$K22,$M22,$O22,$Q22,$S22,$U22,#REF!,#REF!,#REF!,#REF!,#REF!),2)-$B22/2&lt;=G22,(ROUND(AVERAGE($C22,$E22,$G22,$I22,$K22,$M22,$O22,$Q22,$S22,$U22,#REF!,#REF!,#REF!,#REF!,#REF!),2)+$B22/2&gt;=G22)),($E$5/$B$4),0))))</f>
        <v>7.0588235294117645</v>
      </c>
      <c r="I22" s="128">
        <f>IF($I$8="Habilitado",IF($A22="","",ROUND(VLOOKUP($A22,'Presupuesto Consolidado'!$AE$12:$AJ$80,6,FALSE),2)),"")</f>
        <v>4230450</v>
      </c>
      <c r="J22" s="129">
        <f>IF($A22="","",IF(I22="","",IF($K$4="Media aritmética",(I22&lt;=$B22)*($E$5/$B$4)+(I22&gt;$B22)*0,IF(AND(ROUND(AVERAGE($C22,$E22,$G22,$I22,$K22,$M22,$O22,$Q22,$S22,$U22,#REF!,#REF!,#REF!,#REF!,#REF!),2)-$B22/2&lt;=I22,(ROUND(AVERAGE($C22,$E22,$G22,$I22,$K22,$M22,$O22,$Q22,$S22,$U22,#REF!,#REF!,#REF!,#REF!,#REF!),2)+$B22/2&gt;=I22)),($E$5/$B$4),0))))</f>
        <v>7.0588235294117645</v>
      </c>
      <c r="K22" s="128">
        <f>IF($K$8="Habilitado",IF($A22="","",ROUND(VLOOKUP($A22,'Presupuesto Consolidado'!$AO$12:$AT$80,6,FALSE),2)),"")</f>
        <v>6647850</v>
      </c>
      <c r="L22" s="129">
        <f>IF($A22="","",IF(K22="","",IF($K$4="Media aritmética",(K22&lt;=$B22)*($E$5/$B$4)+(K22&gt;$B22)*0,IF(AND(ROUND(AVERAGE($C22,$E22,$G22,$I22,$K22,$M22,$O22,$Q22,$S22,$U22,#REF!,#REF!,#REF!,#REF!,#REF!),2)-$B22/2&lt;=K22,(ROUND(AVERAGE($C22,$E22,$G22,$I22,$K22,$M22,$O22,$Q22,$S22,$U22,#REF!,#REF!,#REF!,#REF!,#REF!),2)+$B22/2&gt;=K22)),($E$5/$B$4),0))))</f>
        <v>0</v>
      </c>
      <c r="M22" s="128" t="str">
        <f>IF($M$8="Habilitado",IF($A22="","",ROUND(VLOOKUP($A22,'Presupuesto Consolidado'!$AY$12:$BD$80,6,FALSE),2)),"")</f>
        <v/>
      </c>
      <c r="N22" s="129" t="str">
        <f>IF($A22="","",IF(M22="","",IF($K$4="Media aritmética",(M22&lt;=$B22)*($E$5/$B$4)+(M22&gt;$B22)*0,IF(AND(ROUND(AVERAGE($C22,$E22,$G22,$I22,$K22,$M22,$O22,$Q22,$S22,$U22,#REF!,#REF!,#REF!,#REF!,#REF!),2)-$B22/2&lt;=M22,(ROUND(AVERAGE($C22,$E22,$G22,$I22,$K22,$M22,$O22,$Q22,$S22,$U22,#REF!,#REF!,#REF!,#REF!,#REF!),2)+$B22/2&gt;=M22)),($E$5/$B$4),0))))</f>
        <v/>
      </c>
      <c r="O22" s="128">
        <f>IF($O$8="Habilitado",IF($A22="","",ROUND(VLOOKUP($A22,'Presupuesto Consolidado'!$BI$12:$BN$80,6,FALSE),2)),"")</f>
        <v>6645433</v>
      </c>
      <c r="P22" s="129">
        <f>IF($A22="","",IF(O22="","",IF($K$4="Media aritmética",(O22&lt;=$B22)*($E$5/$B$4)+(O22&gt;$B22)*0,IF(AND(ROUND(AVERAGE($C22,$E22,$G22,$I22,$K22,$M22,$O22,$Q22,$S22,$U22,#REF!,#REF!,#REF!,#REF!,#REF!),2)-$B22/2&lt;=O22,(ROUND(AVERAGE($C22,$E22,$G22,$I22,$K22,$M22,$O22,$Q22,$S22,$U22,#REF!,#REF!,#REF!,#REF!,#REF!),2)+$B22/2&gt;=O22)),($E$5/$B$4),0))))</f>
        <v>0</v>
      </c>
      <c r="Q22" s="128">
        <f>IF($Q$8="Habilitado",IF($A22="","",ROUND(VLOOKUP($A22,'Presupuesto Consolidado'!$BS$12:$BX$80,6,FALSE),2)),"")</f>
        <v>6865416</v>
      </c>
      <c r="R22" s="129">
        <f>IF($A22="","",IF(Q22="","",IF($K$4="Media aritmética",(Q22&lt;=$B22)*($E$5/$B$4)+(Q22&gt;$B22)*0,IF(AND(ROUND(AVERAGE($C22,$E22,$G22,$I22,$K22,$M22,$O22,$Q22,$S22,$U22,#REF!,#REF!,#REF!,#REF!,#REF!),2)-$B22/2&lt;=Q22,(ROUND(AVERAGE($C22,$E22,$G22,$I22,$K22,$M22,$O22,$Q22,$S22,$U22,#REF!,#REF!,#REF!,#REF!,#REF!),2)+$B22/2&gt;=Q22)),($E$5/$B$4),0))))</f>
        <v>0</v>
      </c>
      <c r="S22" s="128">
        <f>IF($S$8="Habilitado",IF($A22="","",ROUND(VLOOKUP($A22,'Presupuesto Consolidado'!$CC$12:$CH$80,6,FALSE),2)),"")</f>
        <v>6756633</v>
      </c>
      <c r="T22" s="129">
        <f>IF($A22="","",IF(S22="","",IF($K$4="Media aritmética",(S22&lt;=$B22)*($E$5/$B$4)+(S22&gt;$B22)*0,IF(AND(ROUND(AVERAGE($C22,$E22,$G22,$I22,$K22,$M22,$O22,$Q22,$S22,$U22,#REF!,#REF!,#REF!,#REF!,#REF!),2)-$B22/2&lt;=S22,(ROUND(AVERAGE($C22,$E22,$G22,$I22,$K22,$M22,$O22,$Q22,$S22,$U22,#REF!,#REF!,#REF!,#REF!,#REF!),2)+$B22/2&gt;=S22)),($E$5/$B$4),0))))</f>
        <v>0</v>
      </c>
      <c r="U22" s="128" t="str">
        <f>IF($U$8="Habilitado",IF($A22="","",ROUND(VLOOKUP($A22,'Presupuesto Consolidado'!$CM$12:$CR$80,6,FALSE),2)),"")</f>
        <v/>
      </c>
      <c r="V22" s="129" t="str">
        <f>IF($A22="","",IF(U22="","",IF($K$4="Media aritmética",(U22&lt;=$B22)*($E$5/$B$4)+(U22&gt;$B22)*0,IF(AND(ROUND(AVERAGE($C22,$E22,$G22,$I22,$K22,$M22,$O22,$Q22,$S22,$U22,#REF!,#REF!,#REF!,#REF!,#REF!),2)-$B22/2&lt;=U22,(ROUND(AVERAGE($C22,$E22,$G22,$I22,$K22,$M22,$O22,$Q22,$S22,$U22,#REF!,#REF!,#REF!,#REF!,#REF!),2)+$B22/2&gt;=U22)),($E$5/$B$4),0))))</f>
        <v/>
      </c>
      <c r="X22" s="221"/>
      <c r="Y22" s="222"/>
      <c r="Z22" s="222"/>
    </row>
    <row r="23" spans="1:26" s="122" customFormat="1" ht="21" customHeight="1">
      <c r="A23" s="257" t="str">
        <f>+'Presupuesto Consolidado'!A41</f>
        <v>5.1</v>
      </c>
      <c r="B23" s="127">
        <f t="shared" si="8"/>
        <v>25723612</v>
      </c>
      <c r="C23" s="128">
        <f>IF($C$8="Habilitado",IF($A23="","",ROUND(VLOOKUP($A23,'Presupuesto Consolidado'!$A$12:$F$80,6,FALSE),2)),"")</f>
        <v>27308256</v>
      </c>
      <c r="D23" s="129">
        <f>IF($A23="","",IF(C23="","",IF($K$4="Media aritmética",(C23&lt;=$B23)*($E$5/$B$4)+(C23&gt;$B23)*0,IF(AND(ROUND(AVERAGE($C23,$E23,$G23,$I23,$K23,$M23,$O23,$Q23,$S23,$U23,#REF!,#REF!,#REF!,#REF!,#REF!),2)-$B23/2&lt;=C23,(ROUND(AVERAGE($C23,$E23,$G23,$I23,$K23,$M23,$O23,$Q23,$S23,$U23,#REF!,#REF!,#REF!,#REF!,#REF!),2)+$B23/2&gt;=C23)),($E$5/$B$4),0))))</f>
        <v>0</v>
      </c>
      <c r="E23" s="128">
        <f>IF($E$8="Habilitado",IF($A23="","",ROUND(VLOOKUP($A23,'Presupuesto Consolidado'!$K$12:$P$80,6,FALSE),2)),"")</f>
        <v>21216867</v>
      </c>
      <c r="F23" s="129">
        <f>IF($A23="","",IF(E23="","",IF($K$4="Media aritmética",(E23&lt;=$B23)*($E$5/$B$4)+(E23&gt;$B23)*0,IF(AND(ROUND(AVERAGE($C23,$E23,$G23,$I23,$K23,$M23,$O23,$Q23,$S23,$U23,#REF!,#REF!,#REF!,#REF!,#REF!),2)-$B23/2&lt;=E23,(ROUND(AVERAGE($C23,$E23,$G23,$I23,$K23,$M23,$O23,$Q23,$S23,$U23,#REF!,#REF!,#REF!,#REF!,#REF!),2)+$B23/2&gt;=E23)),($E$5/$B$4),0))))</f>
        <v>7.0588235294117645</v>
      </c>
      <c r="G23" s="128">
        <f>IF($G$8="Habilitado",IF($A23="","",ROUND(VLOOKUP($A23,'Presupuesto Consolidado'!$U$12:$Z$80,6,FALSE),2)),"")</f>
        <v>24047744</v>
      </c>
      <c r="H23" s="129">
        <f>IF($A23="","",IF(G23="","",IF($K$4="Media aritmética",(G23&lt;=$B23)*($E$5/$B$4)+(G23&gt;$B23)*0,IF(AND(ROUND(AVERAGE($C23,$E23,$G23,$I23,$K23,$M23,$O23,$Q23,$S23,$U23,#REF!,#REF!,#REF!,#REF!,#REF!),2)-$B23/2&lt;=G23,(ROUND(AVERAGE($C23,$E23,$G23,$I23,$K23,$M23,$O23,$Q23,$S23,$U23,#REF!,#REF!,#REF!,#REF!,#REF!),2)+$B23/2&gt;=G23)),($E$5/$B$4),0))))</f>
        <v>7.0588235294117645</v>
      </c>
      <c r="I23" s="128">
        <f>IF($I$8="Habilitado",IF($A23="","",ROUND(VLOOKUP($A23,'Presupuesto Consolidado'!$AE$12:$AJ$80,6,FALSE),2)),"")</f>
        <v>26484300</v>
      </c>
      <c r="J23" s="129">
        <f>IF($A23="","",IF(I23="","",IF($K$4="Media aritmética",(I23&lt;=$B23)*($E$5/$B$4)+(I23&gt;$B23)*0,IF(AND(ROUND(AVERAGE($C23,$E23,$G23,$I23,$K23,$M23,$O23,$Q23,$S23,$U23,#REF!,#REF!,#REF!,#REF!,#REF!),2)-$B23/2&lt;=I23,(ROUND(AVERAGE($C23,$E23,$G23,$I23,$K23,$M23,$O23,$Q23,$S23,$U23,#REF!,#REF!,#REF!,#REF!,#REF!),2)+$B23/2&gt;=I23)),($E$5/$B$4),0))))</f>
        <v>0</v>
      </c>
      <c r="K23" s="128">
        <f>IF($K$8="Habilitado",IF($A23="","",ROUND(VLOOKUP($A23,'Presupuesto Consolidado'!$AO$12:$AT$80,6,FALSE),2)),"")</f>
        <v>26690289</v>
      </c>
      <c r="L23" s="129">
        <f>IF($A23="","",IF(K23="","",IF($K$4="Media aritmética",(K23&lt;=$B23)*($E$5/$B$4)+(K23&gt;$B23)*0,IF(AND(ROUND(AVERAGE($C23,$E23,$G23,$I23,$K23,$M23,$O23,$Q23,$S23,$U23,#REF!,#REF!,#REF!,#REF!,#REF!),2)-$B23/2&lt;=K23,(ROUND(AVERAGE($C23,$E23,$G23,$I23,$K23,$M23,$O23,$Q23,$S23,$U23,#REF!,#REF!,#REF!,#REF!,#REF!),2)+$B23/2&gt;=K23)),($E$5/$B$4),0))))</f>
        <v>0</v>
      </c>
      <c r="M23" s="128" t="str">
        <f>IF($M$8="Habilitado",IF($A23="","",ROUND(VLOOKUP($A23,'Presupuesto Consolidado'!$AY$12:$BD$80,6,FALSE),2)),"")</f>
        <v/>
      </c>
      <c r="N23" s="129" t="str">
        <f>IF($A23="","",IF(M23="","",IF($K$4="Media aritmética",(M23&lt;=$B23)*($E$5/$B$4)+(M23&gt;$B23)*0,IF(AND(ROUND(AVERAGE($C23,$E23,$G23,$I23,$K23,$M23,$O23,$Q23,$S23,$U23,#REF!,#REF!,#REF!,#REF!,#REF!),2)-$B23/2&lt;=M23,(ROUND(AVERAGE($C23,$E23,$G23,$I23,$K23,$M23,$O23,$Q23,$S23,$U23,#REF!,#REF!,#REF!,#REF!,#REF!),2)+$B23/2&gt;=M23)),($E$5/$B$4),0))))</f>
        <v/>
      </c>
      <c r="O23" s="128">
        <f>IF($O$8="Habilitado",IF($A23="","",ROUND(VLOOKUP($A23,'Presupuesto Consolidado'!$BI$12:$BN$80,6,FALSE),2)),"")</f>
        <v>26484300</v>
      </c>
      <c r="P23" s="129">
        <f>IF($A23="","",IF(O23="","",IF($K$4="Media aritmética",(O23&lt;=$B23)*($E$5/$B$4)+(O23&gt;$B23)*0,IF(AND(ROUND(AVERAGE($C23,$E23,$G23,$I23,$K23,$M23,$O23,$Q23,$S23,$U23,#REF!,#REF!,#REF!,#REF!,#REF!),2)-$B23/2&lt;=O23,(ROUND(AVERAGE($C23,$E23,$G23,$I23,$K23,$M23,$O23,$Q23,$S23,$U23,#REF!,#REF!,#REF!,#REF!,#REF!),2)+$B23/2&gt;=O23)),($E$5/$B$4),0))))</f>
        <v>0</v>
      </c>
      <c r="Q23" s="128">
        <f>IF($Q$8="Habilitado",IF($A23="","",ROUND(VLOOKUP($A23,'Presupuesto Consolidado'!$BS$12:$BX$80,6,FALSE),2)),"")</f>
        <v>26837424</v>
      </c>
      <c r="R23" s="129">
        <f>IF($A23="","",IF(Q23="","",IF($K$4="Media aritmética",(Q23&lt;=$B23)*($E$5/$B$4)+(Q23&gt;$B23)*0,IF(AND(ROUND(AVERAGE($C23,$E23,$G23,$I23,$K23,$M23,$O23,$Q23,$S23,$U23,#REF!,#REF!,#REF!,#REF!,#REF!),2)-$B23/2&lt;=Q23,(ROUND(AVERAGE($C23,$E23,$G23,$I23,$K23,$M23,$O23,$Q23,$S23,$U23,#REF!,#REF!,#REF!,#REF!,#REF!),2)+$B23/2&gt;=Q23)),($E$5/$B$4),0))))</f>
        <v>0</v>
      </c>
      <c r="S23" s="128">
        <f>IF($S$8="Habilitado",IF($A23="","",ROUND(VLOOKUP($A23,'Presupuesto Consolidado'!$CC$12:$CH$80,6,FALSE),2)),"")</f>
        <v>26719716</v>
      </c>
      <c r="T23" s="129">
        <f>IF($A23="","",IF(S23="","",IF($K$4="Media aritmética",(S23&lt;=$B23)*($E$5/$B$4)+(S23&gt;$B23)*0,IF(AND(ROUND(AVERAGE($C23,$E23,$G23,$I23,$K23,$M23,$O23,$Q23,$S23,$U23,#REF!,#REF!,#REF!,#REF!,#REF!),2)-$B23/2&lt;=S23,(ROUND(AVERAGE($C23,$E23,$G23,$I23,$K23,$M23,$O23,$Q23,$S23,$U23,#REF!,#REF!,#REF!,#REF!,#REF!),2)+$B23/2&gt;=S23)),($E$5/$B$4),0))))</f>
        <v>0</v>
      </c>
      <c r="U23" s="128" t="str">
        <f>IF($U$8="Habilitado",IF($A23="","",ROUND(VLOOKUP($A23,'Presupuesto Consolidado'!$CM$12:$CR$80,6,FALSE),2)),"")</f>
        <v/>
      </c>
      <c r="V23" s="129" t="str">
        <f>IF($A23="","",IF(U23="","",IF($K$4="Media aritmética",(U23&lt;=$B23)*($E$5/$B$4)+(U23&gt;$B23)*0,IF(AND(ROUND(AVERAGE($C23,$E23,$G23,$I23,$K23,$M23,$O23,$Q23,$S23,$U23,#REF!,#REF!,#REF!,#REF!,#REF!),2)-$B23/2&lt;=U23,(ROUND(AVERAGE($C23,$E23,$G23,$I23,$K23,$M23,$O23,$Q23,$S23,$U23,#REF!,#REF!,#REF!,#REF!,#REF!),2)+$B23/2&gt;=U23)),($E$5/$B$4),0))))</f>
        <v/>
      </c>
      <c r="X23" s="221"/>
      <c r="Y23" s="222"/>
      <c r="Z23" s="222"/>
    </row>
    <row r="24" spans="1:26" s="122" customFormat="1" ht="21" customHeight="1">
      <c r="A24" s="257" t="str">
        <f>+'Presupuesto Consolidado'!A42</f>
        <v>5.2</v>
      </c>
      <c r="B24" s="127">
        <f t="shared" si="8"/>
        <v>75707344.379999995</v>
      </c>
      <c r="C24" s="128">
        <f>IF($C$8="Habilitado",IF($A24="","",ROUND(VLOOKUP($A24,'Presupuesto Consolidado'!$A$12:$F$80,6,FALSE),2)),"")</f>
        <v>79149850</v>
      </c>
      <c r="D24" s="129">
        <f>IF($A24="","",IF(C24="","",IF($K$4="Media aritmética",(C24&lt;=$B24)*($E$5/$B$4)+(C24&gt;$B24)*0,IF(AND(ROUND(AVERAGE($C24,$E24,$G24,$I24,$K24,$M24,$O24,$Q24,$S24,$U24,#REF!,#REF!,#REF!,#REF!,#REF!),2)-$B24/2&lt;=C24,(ROUND(AVERAGE($C24,$E24,$G24,$I24,$K24,$M24,$O24,$Q24,$S24,$U24,#REF!,#REF!,#REF!,#REF!,#REF!),2)+$B24/2&gt;=C24)),($E$5/$B$4),0))))</f>
        <v>0</v>
      </c>
      <c r="E24" s="128">
        <f>IF($E$8="Habilitado",IF($A24="","",ROUND(VLOOKUP($A24,'Presupuesto Consolidado'!$K$12:$P$80,6,FALSE),2)),"")</f>
        <v>49062650</v>
      </c>
      <c r="F24" s="129">
        <f>IF($A24="","",IF(E24="","",IF($K$4="Media aritmética",(E24&lt;=$B24)*($E$5/$B$4)+(E24&gt;$B24)*0,IF(AND(ROUND(AVERAGE($C24,$E24,$G24,$I24,$K24,$M24,$O24,$Q24,$S24,$U24,#REF!,#REF!,#REF!,#REF!,#REF!),2)-$B24/2&lt;=E24,(ROUND(AVERAGE($C24,$E24,$G24,$I24,$K24,$M24,$O24,$Q24,$S24,$U24,#REF!,#REF!,#REF!,#REF!,#REF!),2)+$B24/2&gt;=E24)),($E$5/$B$4),0))))</f>
        <v>7.0588235294117645</v>
      </c>
      <c r="G24" s="128">
        <f>IF($G$8="Habilitado",IF($A24="","",ROUND(VLOOKUP($A24,'Presupuesto Consolidado'!$U$12:$Z$80,6,FALSE),2)),"")</f>
        <v>62037755</v>
      </c>
      <c r="H24" s="129">
        <f>IF($A24="","",IF(G24="","",IF($K$4="Media aritmética",(G24&lt;=$B24)*($E$5/$B$4)+(G24&gt;$B24)*0,IF(AND(ROUND(AVERAGE($C24,$E24,$G24,$I24,$K24,$M24,$O24,$Q24,$S24,$U24,#REF!,#REF!,#REF!,#REF!,#REF!),2)-$B24/2&lt;=G24,(ROUND(AVERAGE($C24,$E24,$G24,$I24,$K24,$M24,$O24,$Q24,$S24,$U24,#REF!,#REF!,#REF!,#REF!,#REF!),2)+$B24/2&gt;=G24)),($E$5/$B$4),0))))</f>
        <v>7.0588235294117645</v>
      </c>
      <c r="I24" s="128">
        <f>IF($I$8="Habilitado",IF($A24="","",ROUND(VLOOKUP($A24,'Presupuesto Consolidado'!$AE$12:$AJ$80,6,FALSE),2)),"")</f>
        <v>76927500</v>
      </c>
      <c r="J24" s="129">
        <f>IF($A24="","",IF(I24="","",IF($K$4="Media aritmética",(I24&lt;=$B24)*($E$5/$B$4)+(I24&gt;$B24)*0,IF(AND(ROUND(AVERAGE($C24,$E24,$G24,$I24,$K24,$M24,$O24,$Q24,$S24,$U24,#REF!,#REF!,#REF!,#REF!,#REF!),2)-$B24/2&lt;=I24,(ROUND(AVERAGE($C24,$E24,$G24,$I24,$K24,$M24,$O24,$Q24,$S24,$U24,#REF!,#REF!,#REF!,#REF!,#REF!),2)+$B24/2&gt;=I24)),($E$5/$B$4),0))))</f>
        <v>0</v>
      </c>
      <c r="K24" s="128">
        <f>IF($K$8="Habilitado",IF($A24="","",ROUND(VLOOKUP($A24,'Presupuesto Consolidado'!$AO$12:$AT$80,6,FALSE),2)),"")</f>
        <v>84534775</v>
      </c>
      <c r="L24" s="129">
        <f>IF($A24="","",IF(K24="","",IF($K$4="Media aritmética",(K24&lt;=$B24)*($E$5/$B$4)+(K24&gt;$B24)*0,IF(AND(ROUND(AVERAGE($C24,$E24,$G24,$I24,$K24,$M24,$O24,$Q24,$S24,$U24,#REF!,#REF!,#REF!,#REF!,#REF!),2)-$B24/2&lt;=K24,(ROUND(AVERAGE($C24,$E24,$G24,$I24,$K24,$M24,$O24,$Q24,$S24,$U24,#REF!,#REF!,#REF!,#REF!,#REF!),2)+$B24/2&gt;=K24)),($E$5/$B$4),0))))</f>
        <v>0</v>
      </c>
      <c r="M24" s="128" t="str">
        <f>IF($M$8="Habilitado",IF($A24="","",ROUND(VLOOKUP($A24,'Presupuesto Consolidado'!$AY$12:$BD$80,6,FALSE),2)),"")</f>
        <v/>
      </c>
      <c r="N24" s="129" t="str">
        <f>IF($A24="","",IF(M24="","",IF($K$4="Media aritmética",(M24&lt;=$B24)*($E$5/$B$4)+(M24&gt;$B24)*0,IF(AND(ROUND(AVERAGE($C24,$E24,$G24,$I24,$K24,$M24,$O24,$Q24,$S24,$U24,#REF!,#REF!,#REF!,#REF!,#REF!),2)-$B24/2&lt;=M24,(ROUND(AVERAGE($C24,$E24,$G24,$I24,$K24,$M24,$O24,$Q24,$S24,$U24,#REF!,#REF!,#REF!,#REF!,#REF!),2)+$B24/2&gt;=M24)),($E$5/$B$4),0))))</f>
        <v/>
      </c>
      <c r="O24" s="128">
        <f>IF($O$8="Habilitado",IF($A24="","",ROUND(VLOOKUP($A24,'Presupuesto Consolidado'!$BI$12:$BN$80,6,FALSE),2)),"")</f>
        <v>84192875</v>
      </c>
      <c r="P24" s="129">
        <f>IF($A24="","",IF(O24="","",IF($K$4="Media aritmética",(O24&lt;=$B24)*($E$5/$B$4)+(O24&gt;$B24)*0,IF(AND(ROUND(AVERAGE($C24,$E24,$G24,$I24,$K24,$M24,$O24,$Q24,$S24,$U24,#REF!,#REF!,#REF!,#REF!,#REF!),2)-$B24/2&lt;=O24,(ROUND(AVERAGE($C24,$E24,$G24,$I24,$K24,$M24,$O24,$Q24,$S24,$U24,#REF!,#REF!,#REF!,#REF!,#REF!),2)+$B24/2&gt;=O24)),($E$5/$B$4),0))))</f>
        <v>0</v>
      </c>
      <c r="Q24" s="128">
        <f>IF($Q$8="Habilitado",IF($A24="","",ROUND(VLOOKUP($A24,'Presupuesto Consolidado'!$BS$12:$BX$80,6,FALSE),2)),"")</f>
        <v>85304050</v>
      </c>
      <c r="R24" s="129">
        <f>IF($A24="","",IF(Q24="","",IF($K$4="Media aritmética",(Q24&lt;=$B24)*($E$5/$B$4)+(Q24&gt;$B24)*0,IF(AND(ROUND(AVERAGE($C24,$E24,$G24,$I24,$K24,$M24,$O24,$Q24,$S24,$U24,#REF!,#REF!,#REF!,#REF!,#REF!),2)-$B24/2&lt;=Q24,(ROUND(AVERAGE($C24,$E24,$G24,$I24,$K24,$M24,$O24,$Q24,$S24,$U24,#REF!,#REF!,#REF!,#REF!,#REF!),2)+$B24/2&gt;=Q24)),($E$5/$B$4),0))))</f>
        <v>0</v>
      </c>
      <c r="S24" s="128">
        <f>IF($S$8="Habilitado",IF($A24="","",ROUND(VLOOKUP($A24,'Presupuesto Consolidado'!$CC$12:$CH$80,6,FALSE),2)),"")</f>
        <v>84449300</v>
      </c>
      <c r="T24" s="129">
        <f>IF($A24="","",IF(S24="","",IF($K$4="Media aritmética",(S24&lt;=$B24)*($E$5/$B$4)+(S24&gt;$B24)*0,IF(AND(ROUND(AVERAGE($C24,$E24,$G24,$I24,$K24,$M24,$O24,$Q24,$S24,$U24,#REF!,#REF!,#REF!,#REF!,#REF!),2)-$B24/2&lt;=S24,(ROUND(AVERAGE($C24,$E24,$G24,$I24,$K24,$M24,$O24,$Q24,$S24,$U24,#REF!,#REF!,#REF!,#REF!,#REF!),2)+$B24/2&gt;=S24)),($E$5/$B$4),0))))</f>
        <v>0</v>
      </c>
      <c r="U24" s="128" t="str">
        <f>IF($U$8="Habilitado",IF($A24="","",ROUND(VLOOKUP($A24,'Presupuesto Consolidado'!$CM$12:$CR$80,6,FALSE),2)),"")</f>
        <v/>
      </c>
      <c r="V24" s="129" t="str">
        <f>IF($A24="","",IF(U24="","",IF($K$4="Media aritmética",(U24&lt;=$B24)*($E$5/$B$4)+(U24&gt;$B24)*0,IF(AND(ROUND(AVERAGE($C24,$E24,$G24,$I24,$K24,$M24,$O24,$Q24,$S24,$U24,#REF!,#REF!,#REF!,#REF!,#REF!),2)-$B24/2&lt;=U24,(ROUND(AVERAGE($C24,$E24,$G24,$I24,$K24,$M24,$O24,$Q24,$S24,$U24,#REF!,#REF!,#REF!,#REF!,#REF!),2)+$B24/2&gt;=U24)),($E$5/$B$4),0))))</f>
        <v/>
      </c>
      <c r="X24" s="221"/>
      <c r="Y24" s="222"/>
      <c r="Z24" s="222"/>
    </row>
    <row r="25" spans="1:26" s="122" customFormat="1" ht="21" customHeight="1">
      <c r="A25" s="257" t="str">
        <f>+'Presupuesto Consolidado'!A43</f>
        <v>5.3</v>
      </c>
      <c r="B25" s="127">
        <f t="shared" si="8"/>
        <v>23387773.25</v>
      </c>
      <c r="C25" s="128">
        <f>IF($C$8="Habilitado",IF($A25="","",ROUND(VLOOKUP($A25,'Presupuesto Consolidado'!$A$12:$F$80,6,FALSE),2)),"")</f>
        <v>16565472</v>
      </c>
      <c r="D25" s="129">
        <f>IF($A25="","",IF(C25="","",IF($K$4="Media aritmética",(C25&lt;=$B25)*($E$5/$B$4)+(C25&gt;$B25)*0,IF(AND(ROUND(AVERAGE($C25,$E25,$G25,$I25,$K25,$M25,$O25,$Q25,$S25,$U25,#REF!,#REF!,#REF!,#REF!,#REF!),2)-$B25/2&lt;=C25,(ROUND(AVERAGE($C25,$E25,$G25,$I25,$K25,$M25,$O25,$Q25,$S25,$U25,#REF!,#REF!,#REF!,#REF!,#REF!),2)+$B25/2&gt;=C25)),($E$5/$B$4),0))))</f>
        <v>7.0588235294117645</v>
      </c>
      <c r="E25" s="128">
        <f>IF($E$8="Habilitado",IF($A25="","",ROUND(VLOOKUP($A25,'Presupuesto Consolidado'!$K$12:$P$80,6,FALSE),2)),"")</f>
        <v>14856336</v>
      </c>
      <c r="F25" s="129">
        <f>IF($A25="","",IF(E25="","",IF($K$4="Media aritmética",(E25&lt;=$B25)*($E$5/$B$4)+(E25&gt;$B25)*0,IF(AND(ROUND(AVERAGE($C25,$E25,$G25,$I25,$K25,$M25,$O25,$Q25,$S25,$U25,#REF!,#REF!,#REF!,#REF!,#REF!),2)-$B25/2&lt;=E25,(ROUND(AVERAGE($C25,$E25,$G25,$I25,$K25,$M25,$O25,$Q25,$S25,$U25,#REF!,#REF!,#REF!,#REF!,#REF!),2)+$B25/2&gt;=E25)),($E$5/$B$4),0))))</f>
        <v>7.0588235294117645</v>
      </c>
      <c r="G25" s="128">
        <f>IF($G$8="Habilitado",IF($A25="","",ROUND(VLOOKUP($A25,'Presupuesto Consolidado'!$U$12:$Z$80,6,FALSE),2)),"")</f>
        <v>26443402</v>
      </c>
      <c r="H25" s="129">
        <f>IF($A25="","",IF(G25="","",IF($K$4="Media aritmética",(G25&lt;=$B25)*($E$5/$B$4)+(G25&gt;$B25)*0,IF(AND(ROUND(AVERAGE($C25,$E25,$G25,$I25,$K25,$M25,$O25,$Q25,$S25,$U25,#REF!,#REF!,#REF!,#REF!,#REF!),2)-$B25/2&lt;=G25,(ROUND(AVERAGE($C25,$E25,$G25,$I25,$K25,$M25,$O25,$Q25,$S25,$U25,#REF!,#REF!,#REF!,#REF!,#REF!),2)+$B25/2&gt;=G25)),($E$5/$B$4),0))))</f>
        <v>0</v>
      </c>
      <c r="I25" s="128">
        <f>IF($I$8="Habilitado",IF($A25="","",ROUND(VLOOKUP($A25,'Presupuesto Consolidado'!$AE$12:$AJ$80,6,FALSE),2)),"")</f>
        <v>16434000</v>
      </c>
      <c r="J25" s="129">
        <f>IF($A25="","",IF(I25="","",IF($K$4="Media aritmética",(I25&lt;=$B25)*($E$5/$B$4)+(I25&gt;$B25)*0,IF(AND(ROUND(AVERAGE($C25,$E25,$G25,$I25,$K25,$M25,$O25,$Q25,$S25,$U25,#REF!,#REF!,#REF!,#REF!,#REF!),2)-$B25/2&lt;=I25,(ROUND(AVERAGE($C25,$E25,$G25,$I25,$K25,$M25,$O25,$Q25,$S25,$U25,#REF!,#REF!,#REF!,#REF!,#REF!),2)+$B25/2&gt;=I25)),($E$5/$B$4),0))))</f>
        <v>7.0588235294117645</v>
      </c>
      <c r="K25" s="128">
        <f>IF($K$8="Habilitado",IF($A25="","",ROUND(VLOOKUP($A25,'Presupuesto Consolidado'!$AO$12:$AT$80,6,FALSE),2)),"")</f>
        <v>28682808</v>
      </c>
      <c r="L25" s="129">
        <f>IF($A25="","",IF(K25="","",IF($K$4="Media aritmética",(K25&lt;=$B25)*($E$5/$B$4)+(K25&gt;$B25)*0,IF(AND(ROUND(AVERAGE($C25,$E25,$G25,$I25,$K25,$M25,$O25,$Q25,$S25,$U25,#REF!,#REF!,#REF!,#REF!,#REF!),2)-$B25/2&lt;=K25,(ROUND(AVERAGE($C25,$E25,$G25,$I25,$K25,$M25,$O25,$Q25,$S25,$U25,#REF!,#REF!,#REF!,#REF!,#REF!),2)+$B25/2&gt;=K25)),($E$5/$B$4),0))))</f>
        <v>0</v>
      </c>
      <c r="M25" s="128" t="str">
        <f>IF($M$8="Habilitado",IF($A25="","",ROUND(VLOOKUP($A25,'Presupuesto Consolidado'!$AY$12:$BD$80,6,FALSE),2)),"")</f>
        <v/>
      </c>
      <c r="N25" s="129" t="str">
        <f>IF($A25="","",IF(M25="","",IF($K$4="Media aritmética",(M25&lt;=$B25)*($E$5/$B$4)+(M25&gt;$B25)*0,IF(AND(ROUND(AVERAGE($C25,$E25,$G25,$I25,$K25,$M25,$O25,$Q25,$S25,$U25,#REF!,#REF!,#REF!,#REF!,#REF!),2)-$B25/2&lt;=M25,(ROUND(AVERAGE($C25,$E25,$G25,$I25,$K25,$M25,$O25,$Q25,$S25,$U25,#REF!,#REF!,#REF!,#REF!,#REF!),2)+$B25/2&gt;=M25)),($E$5/$B$4),0))))</f>
        <v/>
      </c>
      <c r="O25" s="128">
        <f>IF($O$8="Habilitado",IF($A25="","",ROUND(VLOOKUP($A25,'Presupuesto Consolidado'!$BI$12:$BN$80,6,FALSE),2)),"")</f>
        <v>27762504</v>
      </c>
      <c r="P25" s="129">
        <f>IF($A25="","",IF(O25="","",IF($K$4="Media aritmética",(O25&lt;=$B25)*($E$5/$B$4)+(O25&gt;$B25)*0,IF(AND(ROUND(AVERAGE($C25,$E25,$G25,$I25,$K25,$M25,$O25,$Q25,$S25,$U25,#REF!,#REF!,#REF!,#REF!,#REF!),2)-$B25/2&lt;=O25,(ROUND(AVERAGE($C25,$E25,$G25,$I25,$K25,$M25,$O25,$Q25,$S25,$U25,#REF!,#REF!,#REF!,#REF!,#REF!),2)+$B25/2&gt;=O25)),($E$5/$B$4),0))))</f>
        <v>0</v>
      </c>
      <c r="Q25" s="128">
        <f>IF($Q$8="Habilitado",IF($A25="","",ROUND(VLOOKUP($A25,'Presupuesto Consolidado'!$BS$12:$BX$80,6,FALSE),2)),"")</f>
        <v>28332216</v>
      </c>
      <c r="R25" s="129">
        <f>IF($A25="","",IF(Q25="","",IF($K$4="Media aritmética",(Q25&lt;=$B25)*($E$5/$B$4)+(Q25&gt;$B25)*0,IF(AND(ROUND(AVERAGE($C25,$E25,$G25,$I25,$K25,$M25,$O25,$Q25,$S25,$U25,#REF!,#REF!,#REF!,#REF!,#REF!),2)-$B25/2&lt;=Q25,(ROUND(AVERAGE($C25,$E25,$G25,$I25,$K25,$M25,$O25,$Q25,$S25,$U25,#REF!,#REF!,#REF!,#REF!,#REF!),2)+$B25/2&gt;=Q25)),($E$5/$B$4),0))))</f>
        <v>0</v>
      </c>
      <c r="S25" s="128">
        <f>IF($S$8="Habilitado",IF($A25="","",ROUND(VLOOKUP($A25,'Presupuesto Consolidado'!$CC$12:$CH$80,6,FALSE),2)),"")</f>
        <v>28025448</v>
      </c>
      <c r="T25" s="129">
        <f>IF($A25="","",IF(S25="","",IF($K$4="Media aritmética",(S25&lt;=$B25)*($E$5/$B$4)+(S25&gt;$B25)*0,IF(AND(ROUND(AVERAGE($C25,$E25,$G25,$I25,$K25,$M25,$O25,$Q25,$S25,$U25,#REF!,#REF!,#REF!,#REF!,#REF!),2)-$B25/2&lt;=S25,(ROUND(AVERAGE($C25,$E25,$G25,$I25,$K25,$M25,$O25,$Q25,$S25,$U25,#REF!,#REF!,#REF!,#REF!,#REF!),2)+$B25/2&gt;=S25)),($E$5/$B$4),0))))</f>
        <v>0</v>
      </c>
      <c r="U25" s="128" t="str">
        <f>IF($U$8="Habilitado",IF($A25="","",ROUND(VLOOKUP($A25,'Presupuesto Consolidado'!$CM$12:$CR$80,6,FALSE),2)),"")</f>
        <v/>
      </c>
      <c r="V25" s="129" t="str">
        <f>IF($A25="","",IF(U25="","",IF($K$4="Media aritmética",(U25&lt;=$B25)*($E$5/$B$4)+(U25&gt;$B25)*0,IF(AND(ROUND(AVERAGE($C25,$E25,$G25,$I25,$K25,$M25,$O25,$Q25,$S25,$U25,#REF!,#REF!,#REF!,#REF!,#REF!),2)-$B25/2&lt;=U25,(ROUND(AVERAGE($C25,$E25,$G25,$I25,$K25,$M25,$O25,$Q25,$S25,$U25,#REF!,#REF!,#REF!,#REF!,#REF!),2)+$B25/2&gt;=U25)),($E$5/$B$4),0))))</f>
        <v/>
      </c>
      <c r="X25" s="221"/>
      <c r="Y25" s="222"/>
      <c r="Z25" s="222"/>
    </row>
    <row r="26" spans="1:26" s="122" customFormat="1" ht="21" customHeight="1">
      <c r="A26" s="257" t="str">
        <f>+'Presupuesto Consolidado'!A45</f>
        <v>6.1</v>
      </c>
      <c r="B26" s="127">
        <f t="shared" si="8"/>
        <v>11063516.5</v>
      </c>
      <c r="C26" s="128">
        <f>IF($C$8="Habilitado",IF($A26="","",ROUND(VLOOKUP($A26,'Presupuesto Consolidado'!$A$12:$F$80,6,FALSE),2)),"")</f>
        <v>6772950</v>
      </c>
      <c r="D26" s="129">
        <f>IF($A26="","",IF(C26="","",IF($K$4="Media aritmética",(C26&lt;=$B26)*($E$5/$B$4)+(C26&gt;$B26)*0,IF(AND(ROUND(AVERAGE($C26,$E26,$G26,$I26,$K26,$M26,$O26,$Q26,$S26,$U26,#REF!,#REF!,#REF!,#REF!,#REF!),2)-$B26/2&lt;=C26,(ROUND(AVERAGE($C26,$E26,$G26,$I26,$K26,$M26,$O26,$Q26,$S26,$U26,#REF!,#REF!,#REF!,#REF!,#REF!),2)+$B26/2&gt;=C26)),($E$5/$B$4),0))))</f>
        <v>7.0588235294117645</v>
      </c>
      <c r="E26" s="128">
        <f>IF($E$8="Habilitado",IF($A26="","",ROUND(VLOOKUP($A26,'Presupuesto Consolidado'!$K$12:$P$80,6,FALSE),2)),"")</f>
        <v>8096400</v>
      </c>
      <c r="F26" s="129">
        <f>IF($A26="","",IF(E26="","",IF($K$4="Media aritmética",(E26&lt;=$B26)*($E$5/$B$4)+(E26&gt;$B26)*0,IF(AND(ROUND(AVERAGE($C26,$E26,$G26,$I26,$K26,$M26,$O26,$Q26,$S26,$U26,#REF!,#REF!,#REF!,#REF!,#REF!),2)-$B26/2&lt;=E26,(ROUND(AVERAGE($C26,$E26,$G26,$I26,$K26,$M26,$O26,$Q26,$S26,$U26,#REF!,#REF!,#REF!,#REF!,#REF!),2)+$B26/2&gt;=E26)),($E$5/$B$4),0))))</f>
        <v>7.0588235294117645</v>
      </c>
      <c r="G26" s="128">
        <f>IF($G$8="Habilitado",IF($A26="","",ROUND(VLOOKUP($A26,'Presupuesto Consolidado'!$U$12:$Z$80,6,FALSE),2)),"")</f>
        <v>10715741</v>
      </c>
      <c r="H26" s="129">
        <f>IF($A26="","",IF(G26="","",IF($K$4="Media aritmética",(G26&lt;=$B26)*($E$5/$B$4)+(G26&gt;$B26)*0,IF(AND(ROUND(AVERAGE($C26,$E26,$G26,$I26,$K26,$M26,$O26,$Q26,$S26,$U26,#REF!,#REF!,#REF!,#REF!,#REF!),2)-$B26/2&lt;=G26,(ROUND(AVERAGE($C26,$E26,$G26,$I26,$K26,$M26,$O26,$Q26,$S26,$U26,#REF!,#REF!,#REF!,#REF!,#REF!),2)+$B26/2&gt;=G26)),($E$5/$B$4),0))))</f>
        <v>7.0588235294117645</v>
      </c>
      <c r="I26" s="128">
        <f>IF($I$8="Habilitado",IF($A26="","",ROUND(VLOOKUP($A26,'Presupuesto Consolidado'!$AE$12:$AJ$80,6,FALSE),2)),"")</f>
        <v>7006500</v>
      </c>
      <c r="J26" s="129">
        <f>IF($A26="","",IF(I26="","",IF($K$4="Media aritmética",(I26&lt;=$B26)*($E$5/$B$4)+(I26&gt;$B26)*0,IF(AND(ROUND(AVERAGE($C26,$E26,$G26,$I26,$K26,$M26,$O26,$Q26,$S26,$U26,#REF!,#REF!,#REF!,#REF!,#REF!),2)-$B26/2&lt;=I26,(ROUND(AVERAGE($C26,$E26,$G26,$I26,$K26,$M26,$O26,$Q26,$S26,$U26,#REF!,#REF!,#REF!,#REF!,#REF!),2)+$B26/2&gt;=I26)),($E$5/$B$4),0))))</f>
        <v>7.0588235294117645</v>
      </c>
      <c r="K26" s="128">
        <f>IF($K$8="Habilitado",IF($A26="","",ROUND(VLOOKUP($A26,'Presupuesto Consolidado'!$AO$12:$AT$80,6,FALSE),2)),"")</f>
        <v>14137560</v>
      </c>
      <c r="L26" s="129">
        <f>IF($A26="","",IF(K26="","",IF($K$4="Media aritmética",(K26&lt;=$B26)*($E$5/$B$4)+(K26&gt;$B26)*0,IF(AND(ROUND(AVERAGE($C26,$E26,$G26,$I26,$K26,$M26,$O26,$Q26,$S26,$U26,#REF!,#REF!,#REF!,#REF!,#REF!),2)-$B26/2&lt;=K26,(ROUND(AVERAGE($C26,$E26,$G26,$I26,$K26,$M26,$O26,$Q26,$S26,$U26,#REF!,#REF!,#REF!,#REF!,#REF!),2)+$B26/2&gt;=K26)),($E$5/$B$4),0))))</f>
        <v>0</v>
      </c>
      <c r="M26" s="128" t="str">
        <f>IF($M$8="Habilitado",IF($A26="","",ROUND(VLOOKUP($A26,'Presupuesto Consolidado'!$AY$12:$BD$80,6,FALSE),2)),"")</f>
        <v/>
      </c>
      <c r="N26" s="129" t="str">
        <f>IF($A26="","",IF(M26="","",IF($K$4="Media aritmética",(M26&lt;=$B26)*($E$5/$B$4)+(M26&gt;$B26)*0,IF(AND(ROUND(AVERAGE($C26,$E26,$G26,$I26,$K26,$M26,$O26,$Q26,$S26,$U26,#REF!,#REF!,#REF!,#REF!,#REF!),2)-$B26/2&lt;=M26,(ROUND(AVERAGE($C26,$E26,$G26,$I26,$K26,$M26,$O26,$Q26,$S26,$U26,#REF!,#REF!,#REF!,#REF!,#REF!),2)+$B26/2&gt;=M26)),($E$5/$B$4),0))))</f>
        <v/>
      </c>
      <c r="O26" s="128">
        <f>IF($O$8="Habilitado",IF($A26="","",ROUND(VLOOKUP($A26,'Presupuesto Consolidado'!$BI$12:$BN$80,6,FALSE),2)),"")</f>
        <v>14013000</v>
      </c>
      <c r="P26" s="129">
        <f>IF($A26="","",IF(O26="","",IF($K$4="Media aritmética",(O26&lt;=$B26)*($E$5/$B$4)+(O26&gt;$B26)*0,IF(AND(ROUND(AVERAGE($C26,$E26,$G26,$I26,$K26,$M26,$O26,$Q26,$S26,$U26,#REF!,#REF!,#REF!,#REF!,#REF!),2)-$B26/2&lt;=O26,(ROUND(AVERAGE($C26,$E26,$G26,$I26,$K26,$M26,$O26,$Q26,$S26,$U26,#REF!,#REF!,#REF!,#REF!,#REF!),2)+$B26/2&gt;=O26)),($E$5/$B$4),0))))</f>
        <v>0</v>
      </c>
      <c r="Q26" s="128">
        <f>IF($Q$8="Habilitado",IF($A26="","",ROUND(VLOOKUP($A26,'Presupuesto Consolidado'!$BS$12:$BX$80,6,FALSE),2)),"")</f>
        <v>13997430</v>
      </c>
      <c r="R26" s="129">
        <f>IF($A26="","",IF(Q26="","",IF($K$4="Media aritmética",(Q26&lt;=$B26)*($E$5/$B$4)+(Q26&gt;$B26)*0,IF(AND(ROUND(AVERAGE($C26,$E26,$G26,$I26,$K26,$M26,$O26,$Q26,$S26,$U26,#REF!,#REF!,#REF!,#REF!,#REF!),2)-$B26/2&lt;=Q26,(ROUND(AVERAGE($C26,$E26,$G26,$I26,$K26,$M26,$O26,$Q26,$S26,$U26,#REF!,#REF!,#REF!,#REF!,#REF!),2)+$B26/2&gt;=Q26)),($E$5/$B$4),0))))</f>
        <v>0</v>
      </c>
      <c r="S26" s="128">
        <f>IF($S$8="Habilitado",IF($A26="","",ROUND(VLOOKUP($A26,'Presupuesto Consolidado'!$CC$12:$CH$80,6,FALSE),2)),"")</f>
        <v>13768551</v>
      </c>
      <c r="T26" s="129">
        <f>IF($A26="","",IF(S26="","",IF($K$4="Media aritmética",(S26&lt;=$B26)*($E$5/$B$4)+(S26&gt;$B26)*0,IF(AND(ROUND(AVERAGE($C26,$E26,$G26,$I26,$K26,$M26,$O26,$Q26,$S26,$U26,#REF!,#REF!,#REF!,#REF!,#REF!),2)-$B26/2&lt;=S26,(ROUND(AVERAGE($C26,$E26,$G26,$I26,$K26,$M26,$O26,$Q26,$S26,$U26,#REF!,#REF!,#REF!,#REF!,#REF!),2)+$B26/2&gt;=S26)),($E$5/$B$4),0))))</f>
        <v>0</v>
      </c>
      <c r="U26" s="128" t="str">
        <f>IF($U$8="Habilitado",IF($A26="","",ROUND(VLOOKUP($A26,'Presupuesto Consolidado'!$CM$12:$CR$80,6,FALSE),2)),"")</f>
        <v/>
      </c>
      <c r="V26" s="129" t="str">
        <f>IF($A26="","",IF(U26="","",IF($K$4="Media aritmética",(U26&lt;=$B26)*($E$5/$B$4)+(U26&gt;$B26)*0,IF(AND(ROUND(AVERAGE($C26,$E26,$G26,$I26,$K26,$M26,$O26,$Q26,$S26,$U26,#REF!,#REF!,#REF!,#REF!,#REF!),2)-$B26/2&lt;=U26,(ROUND(AVERAGE($C26,$E26,$G26,$I26,$K26,$M26,$O26,$Q26,$S26,$U26,#REF!,#REF!,#REF!,#REF!,#REF!),2)+$B26/2&gt;=U26)),($E$5/$B$4),0))))</f>
        <v/>
      </c>
      <c r="X26" s="221"/>
      <c r="Y26" s="222"/>
      <c r="Z26" s="222"/>
    </row>
    <row r="27" spans="1:26" s="122" customFormat="1" ht="21" customHeight="1">
      <c r="A27" s="257" t="str">
        <f>+'Presupuesto Consolidado'!A50</f>
        <v>7.1</v>
      </c>
      <c r="B27" s="127">
        <f t="shared" si="8"/>
        <v>4762968.75</v>
      </c>
      <c r="C27" s="128">
        <f>IF($C$8="Habilitado",IF($A27="","",ROUND(VLOOKUP($A27,'Presupuesto Consolidado'!$A$12:$F$80,6,FALSE),2)),"")</f>
        <v>4875000</v>
      </c>
      <c r="D27" s="129">
        <f>IF($A27="","",IF(C27="","",IF($K$4="Media aritmética",(C27&lt;=$B27)*($E$5/$B$4)+(C27&gt;$B27)*0,IF(AND(ROUND(AVERAGE($C27,$E27,$G27,$I27,$K27,$M27,$O27,$Q27,$S27,$U27,#REF!,#REF!,#REF!,#REF!,#REF!),2)-$B27/2&lt;=C27,(ROUND(AVERAGE($C27,$E27,$G27,$I27,$K27,$M27,$O27,$Q27,$S27,$U27,#REF!,#REF!,#REF!,#REF!,#REF!),2)+$B27/2&gt;=C27)),($E$5/$B$4),0))))</f>
        <v>0</v>
      </c>
      <c r="E27" s="128">
        <f>IF($E$8="Habilitado",IF($A27="","",ROUND(VLOOKUP($A27,'Presupuesto Consolidado'!$K$12:$P$80,6,FALSE),2)),"")</f>
        <v>7125000</v>
      </c>
      <c r="F27" s="129">
        <f>IF($A27="","",IF(E27="","",IF($K$4="Media aritmética",(E27&lt;=$B27)*($E$5/$B$4)+(E27&gt;$B27)*0,IF(AND(ROUND(AVERAGE($C27,$E27,$G27,$I27,$K27,$M27,$O27,$Q27,$S27,$U27,#REF!,#REF!,#REF!,#REF!,#REF!),2)-$B27/2&lt;=E27,(ROUND(AVERAGE($C27,$E27,$G27,$I27,$K27,$M27,$O27,$Q27,$S27,$U27,#REF!,#REF!,#REF!,#REF!,#REF!),2)+$B27/2&gt;=E27)),($E$5/$B$4),0))))</f>
        <v>0</v>
      </c>
      <c r="G27" s="128">
        <f>IF($G$8="Habilitado",IF($A27="","",ROUND(VLOOKUP($A27,'Presupuesto Consolidado'!$U$12:$Z$80,6,FALSE),2)),"")</f>
        <v>5250000</v>
      </c>
      <c r="H27" s="129">
        <f>IF($A27="","",IF(G27="","",IF($K$4="Media aritmética",(G27&lt;=$B27)*($E$5/$B$4)+(G27&gt;$B27)*0,IF(AND(ROUND(AVERAGE($C27,$E27,$G27,$I27,$K27,$M27,$O27,$Q27,$S27,$U27,#REF!,#REF!,#REF!,#REF!,#REF!),2)-$B27/2&lt;=G27,(ROUND(AVERAGE($C27,$E27,$G27,$I27,$K27,$M27,$O27,$Q27,$S27,$U27,#REF!,#REF!,#REF!,#REF!,#REF!),2)+$B27/2&gt;=G27)),($E$5/$B$4),0))))</f>
        <v>0</v>
      </c>
      <c r="I27" s="128">
        <f>IF($I$8="Habilitado",IF($A27="","",ROUND(VLOOKUP($A27,'Presupuesto Consolidado'!$AE$12:$AJ$80,6,FALSE),2)),"")</f>
        <v>5250000</v>
      </c>
      <c r="J27" s="129">
        <f>IF($A27="","",IF(I27="","",IF($K$4="Media aritmética",(I27&lt;=$B27)*($E$5/$B$4)+(I27&gt;$B27)*0,IF(AND(ROUND(AVERAGE($C27,$E27,$G27,$I27,$K27,$M27,$O27,$Q27,$S27,$U27,#REF!,#REF!,#REF!,#REF!,#REF!),2)-$B27/2&lt;=I27,(ROUND(AVERAGE($C27,$E27,$G27,$I27,$K27,$M27,$O27,$Q27,$S27,$U27,#REF!,#REF!,#REF!,#REF!,#REF!),2)+$B27/2&gt;=I27)),($E$5/$B$4),0))))</f>
        <v>0</v>
      </c>
      <c r="K27" s="128">
        <f>IF($K$8="Habilitado",IF($A27="","",ROUND(VLOOKUP($A27,'Presupuesto Consolidado'!$AO$12:$AT$80,6,FALSE),2)),"")</f>
        <v>3915000</v>
      </c>
      <c r="L27" s="129">
        <f>IF($A27="","",IF(K27="","",IF($K$4="Media aritmética",(K27&lt;=$B27)*($E$5/$B$4)+(K27&gt;$B27)*0,IF(AND(ROUND(AVERAGE($C27,$E27,$G27,$I27,$K27,$M27,$O27,$Q27,$S27,$U27,#REF!,#REF!,#REF!,#REF!,#REF!),2)-$B27/2&lt;=K27,(ROUND(AVERAGE($C27,$E27,$G27,$I27,$K27,$M27,$O27,$Q27,$S27,$U27,#REF!,#REF!,#REF!,#REF!,#REF!),2)+$B27/2&gt;=K27)),($E$5/$B$4),0))))</f>
        <v>7.0588235294117645</v>
      </c>
      <c r="M27" s="128" t="str">
        <f>IF($M$8="Habilitado",IF($A27="","",ROUND(VLOOKUP($A27,'Presupuesto Consolidado'!$AY$12:$BD$80,6,FALSE),2)),"")</f>
        <v/>
      </c>
      <c r="N27" s="129" t="str">
        <f>IF($A27="","",IF(M27="","",IF($K$4="Media aritmética",(M27&lt;=$B27)*($E$5/$B$4)+(M27&gt;$B27)*0,IF(AND(ROUND(AVERAGE($C27,$E27,$G27,$I27,$K27,$M27,$O27,$Q27,$S27,$U27,#REF!,#REF!,#REF!,#REF!,#REF!),2)-$B27/2&lt;=M27,(ROUND(AVERAGE($C27,$E27,$G27,$I27,$K27,$M27,$O27,$Q27,$S27,$U27,#REF!,#REF!,#REF!,#REF!,#REF!),2)+$B27/2&gt;=M27)),($E$5/$B$4),0))))</f>
        <v/>
      </c>
      <c r="O27" s="128">
        <f>IF($O$8="Habilitado",IF($A27="","",ROUND(VLOOKUP($A27,'Presupuesto Consolidado'!$BI$12:$BN$80,6,FALSE),2)),"")</f>
        <v>3897000</v>
      </c>
      <c r="P27" s="129">
        <f>IF($A27="","",IF(O27="","",IF($K$4="Media aritmética",(O27&lt;=$B27)*($E$5/$B$4)+(O27&gt;$B27)*0,IF(AND(ROUND(AVERAGE($C27,$E27,$G27,$I27,$K27,$M27,$O27,$Q27,$S27,$U27,#REF!,#REF!,#REF!,#REF!,#REF!),2)-$B27/2&lt;=O27,(ROUND(AVERAGE($C27,$E27,$G27,$I27,$K27,$M27,$O27,$Q27,$S27,$U27,#REF!,#REF!,#REF!,#REF!,#REF!),2)+$B27/2&gt;=O27)),($E$5/$B$4),0))))</f>
        <v>7.0588235294117645</v>
      </c>
      <c r="Q27" s="128">
        <f>IF($Q$8="Habilitado",IF($A27="","",ROUND(VLOOKUP($A27,'Presupuesto Consolidado'!$BS$12:$BX$80,6,FALSE),2)),"")</f>
        <v>3885000</v>
      </c>
      <c r="R27" s="129">
        <f>IF($A27="","",IF(Q27="","",IF($K$4="Media aritmética",(Q27&lt;=$B27)*($E$5/$B$4)+(Q27&gt;$B27)*0,IF(AND(ROUND(AVERAGE($C27,$E27,$G27,$I27,$K27,$M27,$O27,$Q27,$S27,$U27,#REF!,#REF!,#REF!,#REF!,#REF!),2)-$B27/2&lt;=Q27,(ROUND(AVERAGE($C27,$E27,$G27,$I27,$K27,$M27,$O27,$Q27,$S27,$U27,#REF!,#REF!,#REF!,#REF!,#REF!),2)+$B27/2&gt;=Q27)),($E$5/$B$4),0))))</f>
        <v>7.0588235294117645</v>
      </c>
      <c r="S27" s="128">
        <f>IF($S$8="Habilitado",IF($A27="","",ROUND(VLOOKUP($A27,'Presupuesto Consolidado'!$CC$12:$CH$80,6,FALSE),2)),"")</f>
        <v>3906750</v>
      </c>
      <c r="T27" s="129">
        <f>IF($A27="","",IF(S27="","",IF($K$4="Media aritmética",(S27&lt;=$B27)*($E$5/$B$4)+(S27&gt;$B27)*0,IF(AND(ROUND(AVERAGE($C27,$E27,$G27,$I27,$K27,$M27,$O27,$Q27,$S27,$U27,#REF!,#REF!,#REF!,#REF!,#REF!),2)-$B27/2&lt;=S27,(ROUND(AVERAGE($C27,$E27,$G27,$I27,$K27,$M27,$O27,$Q27,$S27,$U27,#REF!,#REF!,#REF!,#REF!,#REF!),2)+$B27/2&gt;=S27)),($E$5/$B$4),0))))</f>
        <v>7.0588235294117645</v>
      </c>
      <c r="U27" s="128" t="str">
        <f>IF($U$8="Habilitado",IF($A27="","",ROUND(VLOOKUP($A27,'Presupuesto Consolidado'!$CM$12:$CR$80,6,FALSE),2)),"")</f>
        <v/>
      </c>
      <c r="V27" s="129" t="str">
        <f>IF($A27="","",IF(U27="","",IF($K$4="Media aritmética",(U27&lt;=$B27)*($E$5/$B$4)+(U27&gt;$B27)*0,IF(AND(ROUND(AVERAGE($C27,$E27,$G27,$I27,$K27,$M27,$O27,$Q27,$S27,$U27,#REF!,#REF!,#REF!,#REF!,#REF!),2)-$B27/2&lt;=U27,(ROUND(AVERAGE($C27,$E27,$G27,$I27,$K27,$M27,$O27,$Q27,$S27,$U27,#REF!,#REF!,#REF!,#REF!,#REF!),2)+$B27/2&gt;=U27)),($E$5/$B$4),0))))</f>
        <v/>
      </c>
      <c r="X27" s="221"/>
      <c r="Y27" s="222"/>
      <c r="Z27" s="222"/>
    </row>
    <row r="28" spans="1:26" s="122" customFormat="1" ht="21" customHeight="1">
      <c r="A28" s="257" t="str">
        <f>+'Presupuesto Consolidado'!A51</f>
        <v>7.2</v>
      </c>
      <c r="B28" s="127">
        <f t="shared" si="8"/>
        <v>11063793.5</v>
      </c>
      <c r="C28" s="128">
        <f>IF($C$8="Habilitado",IF($A28="","",ROUND(VLOOKUP($A28,'Presupuesto Consolidado'!$A$12:$F$80,6,FALSE),2)),"")</f>
        <v>12207840</v>
      </c>
      <c r="D28" s="129">
        <f>IF($A28="","",IF(C28="","",IF($K$4="Media aritmética",(C28&lt;=$B28)*($E$5/$B$4)+(C28&gt;$B28)*0,IF(AND(ROUND(AVERAGE($C28,$E28,$G28,$I28,$K28,$M28,$O28,$Q28,$S28,$U28,#REF!,#REF!,#REF!,#REF!,#REF!),2)-$B28/2&lt;=C28,(ROUND(AVERAGE($C28,$E28,$G28,$I28,$K28,$M28,$O28,$Q28,$S28,$U28,#REF!,#REF!,#REF!,#REF!,#REF!),2)+$B28/2&gt;=C28)),($E$5/$B$4),0))))</f>
        <v>0</v>
      </c>
      <c r="E28" s="128">
        <f>IF($E$8="Habilitado",IF($A28="","",ROUND(VLOOKUP($A28,'Presupuesto Consolidado'!$K$12:$P$80,6,FALSE),2)),"")</f>
        <v>10488920</v>
      </c>
      <c r="F28" s="129">
        <f>IF($A28="","",IF(E28="","",IF($K$4="Media aritmética",(E28&lt;=$B28)*($E$5/$B$4)+(E28&gt;$B28)*0,IF(AND(ROUND(AVERAGE($C28,$E28,$G28,$I28,$K28,$M28,$O28,$Q28,$S28,$U28,#REF!,#REF!,#REF!,#REF!,#REF!),2)-$B28/2&lt;=E28,(ROUND(AVERAGE($C28,$E28,$G28,$I28,$K28,$M28,$O28,$Q28,$S28,$U28,#REF!,#REF!,#REF!,#REF!,#REF!),2)+$B28/2&gt;=E28)),($E$5/$B$4),0))))</f>
        <v>7.0588235294117645</v>
      </c>
      <c r="G28" s="128">
        <f>IF($G$8="Habilitado",IF($A28="","",ROUND(VLOOKUP($A28,'Presupuesto Consolidado'!$U$12:$Z$80,6,FALSE),2)),"")</f>
        <v>13681200</v>
      </c>
      <c r="H28" s="129">
        <f>IF($A28="","",IF(G28="","",IF($K$4="Media aritmética",(G28&lt;=$B28)*($E$5/$B$4)+(G28&gt;$B28)*0,IF(AND(ROUND(AVERAGE($C28,$E28,$G28,$I28,$K28,$M28,$O28,$Q28,$S28,$U28,#REF!,#REF!,#REF!,#REF!,#REF!),2)-$B28/2&lt;=G28,(ROUND(AVERAGE($C28,$E28,$G28,$I28,$K28,$M28,$O28,$Q28,$S28,$U28,#REF!,#REF!,#REF!,#REF!,#REF!),2)+$B28/2&gt;=G28)),($E$5/$B$4),0))))</f>
        <v>0</v>
      </c>
      <c r="I28" s="128">
        <f>IF($I$8="Habilitado",IF($A28="","",ROUND(VLOOKUP($A28,'Presupuesto Consolidado'!$AE$12:$AJ$80,6,FALSE),2)),"")</f>
        <v>13155000</v>
      </c>
      <c r="J28" s="129">
        <f>IF($A28="","",IF(I28="","",IF($K$4="Media aritmética",(I28&lt;=$B28)*($E$5/$B$4)+(I28&gt;$B28)*0,IF(AND(ROUND(AVERAGE($C28,$E28,$G28,$I28,$K28,$M28,$O28,$Q28,$S28,$U28,#REF!,#REF!,#REF!,#REF!,#REF!),2)-$B28/2&lt;=I28,(ROUND(AVERAGE($C28,$E28,$G28,$I28,$K28,$M28,$O28,$Q28,$S28,$U28,#REF!,#REF!,#REF!,#REF!,#REF!),2)+$B28/2&gt;=I28)),($E$5/$B$4),0))))</f>
        <v>0</v>
      </c>
      <c r="K28" s="128">
        <f>IF($K$8="Habilitado",IF($A28="","",ROUND(VLOOKUP($A28,'Presupuesto Consolidado'!$AO$12:$AT$80,6,FALSE),2)),"")</f>
        <v>9576840</v>
      </c>
      <c r="L28" s="129">
        <f>IF($A28="","",IF(K28="","",IF($K$4="Media aritmética",(K28&lt;=$B28)*($E$5/$B$4)+(K28&gt;$B28)*0,IF(AND(ROUND(AVERAGE($C28,$E28,$G28,$I28,$K28,$M28,$O28,$Q28,$S28,$U28,#REF!,#REF!,#REF!,#REF!,#REF!),2)-$B28/2&lt;=K28,(ROUND(AVERAGE($C28,$E28,$G28,$I28,$K28,$M28,$O28,$Q28,$S28,$U28,#REF!,#REF!,#REF!,#REF!,#REF!),2)+$B28/2&gt;=K28)),($E$5/$B$4),0))))</f>
        <v>7.0588235294117645</v>
      </c>
      <c r="M28" s="128" t="str">
        <f>IF($M$8="Habilitado",IF($A28="","",ROUND(VLOOKUP($A28,'Presupuesto Consolidado'!$AY$12:$BD$80,6,FALSE),2)),"")</f>
        <v/>
      </c>
      <c r="N28" s="129" t="str">
        <f>IF($A28="","",IF(M28="","",IF($K$4="Media aritmética",(M28&lt;=$B28)*($E$5/$B$4)+(M28&gt;$B28)*0,IF(AND(ROUND(AVERAGE($C28,$E28,$G28,$I28,$K28,$M28,$O28,$Q28,$S28,$U28,#REF!,#REF!,#REF!,#REF!,#REF!),2)-$B28/2&lt;=M28,(ROUND(AVERAGE($C28,$E28,$G28,$I28,$K28,$M28,$O28,$Q28,$S28,$U28,#REF!,#REF!,#REF!,#REF!,#REF!),2)+$B28/2&gt;=M28)),($E$5/$B$4),0))))</f>
        <v/>
      </c>
      <c r="O28" s="128">
        <f>IF($O$8="Habilitado",IF($A28="","",ROUND(VLOOKUP($A28,'Presupuesto Consolidado'!$BI$12:$BN$80,6,FALSE),2)),"")</f>
        <v>9804860</v>
      </c>
      <c r="P28" s="129">
        <f>IF($A28="","",IF(O28="","",IF($K$4="Media aritmética",(O28&lt;=$B28)*($E$5/$B$4)+(O28&gt;$B28)*0,IF(AND(ROUND(AVERAGE($C28,$E28,$G28,$I28,$K28,$M28,$O28,$Q28,$S28,$U28,#REF!,#REF!,#REF!,#REF!,#REF!),2)-$B28/2&lt;=O28,(ROUND(AVERAGE($C28,$E28,$G28,$I28,$K28,$M28,$O28,$Q28,$S28,$U28,#REF!,#REF!,#REF!,#REF!,#REF!),2)+$B28/2&gt;=O28)),($E$5/$B$4),0))))</f>
        <v>7.0588235294117645</v>
      </c>
      <c r="Q28" s="128">
        <f>IF($Q$8="Habilitado",IF($A28="","",ROUND(VLOOKUP($A28,'Presupuesto Consolidado'!$BS$12:$BX$80,6,FALSE),2)),"")</f>
        <v>9717160</v>
      </c>
      <c r="R28" s="129">
        <f>IF($A28="","",IF(Q28="","",IF($K$4="Media aritmética",(Q28&lt;=$B28)*($E$5/$B$4)+(Q28&gt;$B28)*0,IF(AND(ROUND(AVERAGE($C28,$E28,$G28,$I28,$K28,$M28,$O28,$Q28,$S28,$U28,#REF!,#REF!,#REF!,#REF!,#REF!),2)-$B28/2&lt;=Q28,(ROUND(AVERAGE($C28,$E28,$G28,$I28,$K28,$M28,$O28,$Q28,$S28,$U28,#REF!,#REF!,#REF!,#REF!,#REF!),2)+$B28/2&gt;=Q28)),($E$5/$B$4),0))))</f>
        <v>7.0588235294117645</v>
      </c>
      <c r="S28" s="128">
        <f>IF($S$8="Habilitado",IF($A28="","",ROUND(VLOOKUP($A28,'Presupuesto Consolidado'!$CC$12:$CH$80,6,FALSE),2)),"")</f>
        <v>9878528</v>
      </c>
      <c r="T28" s="129">
        <f>IF($A28="","",IF(S28="","",IF($K$4="Media aritmética",(S28&lt;=$B28)*($E$5/$B$4)+(S28&gt;$B28)*0,IF(AND(ROUND(AVERAGE($C28,$E28,$G28,$I28,$K28,$M28,$O28,$Q28,$S28,$U28,#REF!,#REF!,#REF!,#REF!,#REF!),2)-$B28/2&lt;=S28,(ROUND(AVERAGE($C28,$E28,$G28,$I28,$K28,$M28,$O28,$Q28,$S28,$U28,#REF!,#REF!,#REF!,#REF!,#REF!),2)+$B28/2&gt;=S28)),($E$5/$B$4),0))))</f>
        <v>7.0588235294117645</v>
      </c>
      <c r="U28" s="128" t="str">
        <f>IF($U$8="Habilitado",IF($A28="","",ROUND(VLOOKUP($A28,'Presupuesto Consolidado'!$CM$12:$CR$80,6,FALSE),2)),"")</f>
        <v/>
      </c>
      <c r="V28" s="129" t="str">
        <f>IF($A28="","",IF(U28="","",IF($K$4="Media aritmética",(U28&lt;=$B28)*($E$5/$B$4)+(U28&gt;$B28)*0,IF(AND(ROUND(AVERAGE($C28,$E28,$G28,$I28,$K28,$M28,$O28,$Q28,$S28,$U28,#REF!,#REF!,#REF!,#REF!,#REF!),2)-$B28/2&lt;=U28,(ROUND(AVERAGE($C28,$E28,$G28,$I28,$K28,$M28,$O28,$Q28,$S28,$U28,#REF!,#REF!,#REF!,#REF!,#REF!),2)+$B28/2&gt;=U28)),($E$5/$B$4),0))))</f>
        <v/>
      </c>
      <c r="X28" s="221"/>
      <c r="Y28" s="222"/>
      <c r="Z28" s="222"/>
    </row>
    <row r="29" spans="1:26" s="122" customFormat="1" ht="21" customHeight="1">
      <c r="A29" s="257" t="str">
        <f>+'Presupuesto Consolidado'!A61</f>
        <v>8.8</v>
      </c>
      <c r="B29" s="127">
        <f t="shared" si="8"/>
        <v>2223585</v>
      </c>
      <c r="C29" s="128">
        <f>IF($C$8="Habilitado",IF($A29="","",ROUND(VLOOKUP($A29,'Presupuesto Consolidado'!$A$12:$F$80,6,FALSE),2)),"")</f>
        <v>2371500</v>
      </c>
      <c r="D29" s="129">
        <f>IF($A29="","",IF(C29="","",IF($K$4="Media aritmética",(C29&lt;=$B29)*($E$5/$B$4)+(C29&gt;$B29)*0,IF(AND(ROUND(AVERAGE($C29,$E29,$G29,$I29,$K29,$M29,$O29,$Q29,$S29,$U29,#REF!,#REF!,#REF!,#REF!,#REF!),2)-$B29/2&lt;=C29,(ROUND(AVERAGE($C29,$E29,$G29,$I29,$K29,$M29,$O29,$Q29,$S29,$U29,#REF!,#REF!,#REF!,#REF!,#REF!),2)+$B29/2&gt;=C29)),($E$5/$B$4),0))))</f>
        <v>0</v>
      </c>
      <c r="E29" s="128">
        <f>IF($E$8="Habilitado",IF($A29="","",ROUND(VLOOKUP($A29,'Presupuesto Consolidado'!$K$12:$P$80,6,FALSE),2)),"")</f>
        <v>1096000</v>
      </c>
      <c r="F29" s="129">
        <f>IF($A29="","",IF(E29="","",IF($K$4="Media aritmética",(E29&lt;=$B29)*($E$5/$B$4)+(E29&gt;$B29)*0,IF(AND(ROUND(AVERAGE($C29,$E29,$G29,$I29,$K29,$M29,$O29,$Q29,$S29,$U29,#REF!,#REF!,#REF!,#REF!,#REF!),2)-$B29/2&lt;=E29,(ROUND(AVERAGE($C29,$E29,$G29,$I29,$K29,$M29,$O29,$Q29,$S29,$U29,#REF!,#REF!,#REF!,#REF!,#REF!),2)+$B29/2&gt;=E29)),($E$5/$B$4),0))))</f>
        <v>7.0588235294117645</v>
      </c>
      <c r="G29" s="128">
        <f>IF($G$8="Habilitado",IF($A29="","",ROUND(VLOOKUP($A29,'Presupuesto Consolidado'!$U$12:$Z$80,6,FALSE),2)),"")</f>
        <v>3169396</v>
      </c>
      <c r="H29" s="129">
        <f>IF($A29="","",IF(G29="","",IF($K$4="Media aritmética",(G29&lt;=$B29)*($E$5/$B$4)+(G29&gt;$B29)*0,IF(AND(ROUND(AVERAGE($C29,$E29,$G29,$I29,$K29,$M29,$O29,$Q29,$S29,$U29,#REF!,#REF!,#REF!,#REF!,#REF!),2)-$B29/2&lt;=G29,(ROUND(AVERAGE($C29,$E29,$G29,$I29,$K29,$M29,$O29,$Q29,$S29,$U29,#REF!,#REF!,#REF!,#REF!,#REF!),2)+$B29/2&gt;=G29)),($E$5/$B$4),0))))</f>
        <v>0</v>
      </c>
      <c r="I29" s="128">
        <f>IF($I$8="Habilitado",IF($A29="","",ROUND(VLOOKUP($A29,'Presupuesto Consolidado'!$AE$12:$AJ$80,6,FALSE),2)),"")</f>
        <v>5000000</v>
      </c>
      <c r="J29" s="129">
        <f>IF($A29="","",IF(I29="","",IF($K$4="Media aritmética",(I29&lt;=$B29)*($E$5/$B$4)+(I29&gt;$B29)*0,IF(AND(ROUND(AVERAGE($C29,$E29,$G29,$I29,$K29,$M29,$O29,$Q29,$S29,$U29,#REF!,#REF!,#REF!,#REF!,#REF!),2)-$B29/2&lt;=I29,(ROUND(AVERAGE($C29,$E29,$G29,$I29,$K29,$M29,$O29,$Q29,$S29,$U29,#REF!,#REF!,#REF!,#REF!,#REF!),2)+$B29/2&gt;=I29)),($E$5/$B$4),0))))</f>
        <v>0</v>
      </c>
      <c r="K29" s="128">
        <f>IF($K$8="Habilitado",IF($A29="","",ROUND(VLOOKUP($A29,'Presupuesto Consolidado'!$AO$12:$AT$80,6,FALSE),2)),"")</f>
        <v>1508460</v>
      </c>
      <c r="L29" s="129">
        <f>IF($A29="","",IF(K29="","",IF($K$4="Media aritmética",(K29&lt;=$B29)*($E$5/$B$4)+(K29&gt;$B29)*0,IF(AND(ROUND(AVERAGE($C29,$E29,$G29,$I29,$K29,$M29,$O29,$Q29,$S29,$U29,#REF!,#REF!,#REF!,#REF!,#REF!),2)-$B29/2&lt;=K29,(ROUND(AVERAGE($C29,$E29,$G29,$I29,$K29,$M29,$O29,$Q29,$S29,$U29,#REF!,#REF!,#REF!,#REF!,#REF!),2)+$B29/2&gt;=K29)),($E$5/$B$4),0))))</f>
        <v>7.0588235294117645</v>
      </c>
      <c r="M29" s="128" t="str">
        <f>IF($M$8="Habilitado",IF($A29="","",ROUND(VLOOKUP($A29,'Presupuesto Consolidado'!$AY$12:$BD$80,6,FALSE),2)),"")</f>
        <v/>
      </c>
      <c r="N29" s="129" t="str">
        <f>IF($A29="","",IF(M29="","",IF($K$4="Media aritmética",(M29&lt;=$B29)*($E$5/$B$4)+(M29&gt;$B29)*0,IF(AND(ROUND(AVERAGE($C29,$E29,$G29,$I29,$K29,$M29,$O29,$Q29,$S29,$U29,#REF!,#REF!,#REF!,#REF!,#REF!),2)-$B29/2&lt;=M29,(ROUND(AVERAGE($C29,$E29,$G29,$I29,$K29,$M29,$O29,$Q29,$S29,$U29,#REF!,#REF!,#REF!,#REF!,#REF!),2)+$B29/2&gt;=M29)),($E$5/$B$4),0))))</f>
        <v/>
      </c>
      <c r="O29" s="128">
        <f>IF($O$8="Habilitado",IF($A29="","",ROUND(VLOOKUP($A29,'Presupuesto Consolidado'!$BI$12:$BN$80,6,FALSE),2)),"")</f>
        <v>1580864</v>
      </c>
      <c r="P29" s="129">
        <f>IF($A29="","",IF(O29="","",IF($K$4="Media aritmética",(O29&lt;=$B29)*($E$5/$B$4)+(O29&gt;$B29)*0,IF(AND(ROUND(AVERAGE($C29,$E29,$G29,$I29,$K29,$M29,$O29,$Q29,$S29,$U29,#REF!,#REF!,#REF!,#REF!,#REF!),2)-$B29/2&lt;=O29,(ROUND(AVERAGE($C29,$E29,$G29,$I29,$K29,$M29,$O29,$Q29,$S29,$U29,#REF!,#REF!,#REF!,#REF!,#REF!),2)+$B29/2&gt;=O29)),($E$5/$B$4),0))))</f>
        <v>7.0588235294117645</v>
      </c>
      <c r="Q29" s="128">
        <f>IF($Q$8="Habilitado",IF($A29="","",ROUND(VLOOKUP($A29,'Presupuesto Consolidado'!$BS$12:$BX$80,6,FALSE),2)),"")</f>
        <v>1522400</v>
      </c>
      <c r="R29" s="129">
        <f>IF($A29="","",IF(Q29="","",IF($K$4="Media aritmética",(Q29&lt;=$B29)*($E$5/$B$4)+(Q29&gt;$B29)*0,IF(AND(ROUND(AVERAGE($C29,$E29,$G29,$I29,$K29,$M29,$O29,$Q29,$S29,$U29,#REF!,#REF!,#REF!,#REF!,#REF!),2)-$B29/2&lt;=Q29,(ROUND(AVERAGE($C29,$E29,$G29,$I29,$K29,$M29,$O29,$Q29,$S29,$U29,#REF!,#REF!,#REF!,#REF!,#REF!),2)+$B29/2&gt;=Q29)),($E$5/$B$4),0))))</f>
        <v>7.0588235294117645</v>
      </c>
      <c r="S29" s="128">
        <f>IF($S$8="Habilitado",IF($A29="","",ROUND(VLOOKUP($A29,'Presupuesto Consolidado'!$CC$12:$CH$80,6,FALSE),2)),"")</f>
        <v>1540060</v>
      </c>
      <c r="T29" s="129">
        <f>IF($A29="","",IF(S29="","",IF($K$4="Media aritmética",(S29&lt;=$B29)*($E$5/$B$4)+(S29&gt;$B29)*0,IF(AND(ROUND(AVERAGE($C29,$E29,$G29,$I29,$K29,$M29,$O29,$Q29,$S29,$U29,#REF!,#REF!,#REF!,#REF!,#REF!),2)-$B29/2&lt;=S29,(ROUND(AVERAGE($C29,$E29,$G29,$I29,$K29,$M29,$O29,$Q29,$S29,$U29,#REF!,#REF!,#REF!,#REF!,#REF!),2)+$B29/2&gt;=S29)),($E$5/$B$4),0))))</f>
        <v>7.0588235294117645</v>
      </c>
      <c r="U29" s="128" t="str">
        <f>IF($U$8="Habilitado",IF($A29="","",ROUND(VLOOKUP($A29,'Presupuesto Consolidado'!$CM$12:$CR$80,6,FALSE),2)),"")</f>
        <v/>
      </c>
      <c r="V29" s="129" t="str">
        <f>IF($A29="","",IF(U29="","",IF($K$4="Media aritmética",(U29&lt;=$B29)*($E$5/$B$4)+(U29&gt;$B29)*0,IF(AND(ROUND(AVERAGE($C29,$E29,$G29,$I29,$K29,$M29,$O29,$Q29,$S29,$U29,#REF!,#REF!,#REF!,#REF!,#REF!),2)-$B29/2&lt;=U29,(ROUND(AVERAGE($C29,$E29,$G29,$I29,$K29,$M29,$O29,$Q29,$S29,$U29,#REF!,#REF!,#REF!,#REF!,#REF!),2)+$B29/2&gt;=U29)),($E$5/$B$4),0))))</f>
        <v/>
      </c>
      <c r="X29" s="221"/>
      <c r="Y29" s="222"/>
      <c r="Z29" s="222"/>
    </row>
    <row r="30" spans="1:26" s="122" customFormat="1" ht="21" customHeight="1">
      <c r="A30" s="257" t="str">
        <f>+'Presupuesto Consolidado'!A62</f>
        <v>8.9</v>
      </c>
      <c r="B30" s="127">
        <f t="shared" si="8"/>
        <v>2013100.63</v>
      </c>
      <c r="C30" s="128">
        <f>IF($C$8="Habilitado",IF($A30="","",ROUND(VLOOKUP($A30,'Presupuesto Consolidado'!$A$12:$F$80,6,FALSE),2)),"")</f>
        <v>1494500</v>
      </c>
      <c r="D30" s="129">
        <f>IF($A30="","",IF(C30="","",IF($K$4="Media aritmética",(C30&lt;=$B30)*($E$5/$B$4)+(C30&gt;$B30)*0,IF(AND(ROUND(AVERAGE($C30,$E30,$G30,$I30,$K30,$M30,$O30,$Q30,$S30,$U30,#REF!,#REF!,#REF!,#REF!,#REF!),2)-$B30/2&lt;=C30,(ROUND(AVERAGE($C30,$E30,$G30,$I30,$K30,$M30,$O30,$Q30,$S30,$U30,#REF!,#REF!,#REF!,#REF!,#REF!),2)+$B30/2&gt;=C30)),($E$5/$B$4),0))))</f>
        <v>7.0588235294117645</v>
      </c>
      <c r="E30" s="128">
        <f>IF($E$8="Habilitado",IF($A30="","",ROUND(VLOOKUP($A30,'Presupuesto Consolidado'!$K$12:$P$80,6,FALSE),2)),"")</f>
        <v>1850000</v>
      </c>
      <c r="F30" s="129">
        <f>IF($A30="","",IF(E30="","",IF($K$4="Media aritmética",(E30&lt;=$B30)*($E$5/$B$4)+(E30&gt;$B30)*0,IF(AND(ROUND(AVERAGE($C30,$E30,$G30,$I30,$K30,$M30,$O30,$Q30,$S30,$U30,#REF!,#REF!,#REF!,#REF!,#REF!),2)-$B30/2&lt;=E30,(ROUND(AVERAGE($C30,$E30,$G30,$I30,$K30,$M30,$O30,$Q30,$S30,$U30,#REF!,#REF!,#REF!,#REF!,#REF!),2)+$B30/2&gt;=E30)),($E$5/$B$4),0))))</f>
        <v>7.0588235294117645</v>
      </c>
      <c r="G30" s="128">
        <f>IF($G$8="Habilitado",IF($A30="","",ROUND(VLOOKUP($A30,'Presupuesto Consolidado'!$U$12:$Z$80,6,FALSE),2)),"")</f>
        <v>1798999</v>
      </c>
      <c r="H30" s="129">
        <f>IF($A30="","",IF(G30="","",IF($K$4="Media aritmética",(G30&lt;=$B30)*($E$5/$B$4)+(G30&gt;$B30)*0,IF(AND(ROUND(AVERAGE($C30,$E30,$G30,$I30,$K30,$M30,$O30,$Q30,$S30,$U30,#REF!,#REF!,#REF!,#REF!,#REF!),2)-$B30/2&lt;=G30,(ROUND(AVERAGE($C30,$E30,$G30,$I30,$K30,$M30,$O30,$Q30,$S30,$U30,#REF!,#REF!,#REF!,#REF!,#REF!),2)+$B30/2&gt;=G30)),($E$5/$B$4),0))))</f>
        <v>7.0588235294117645</v>
      </c>
      <c r="I30" s="128">
        <f>IF($I$8="Habilitado",IF($A30="","",ROUND(VLOOKUP($A30,'Presupuesto Consolidado'!$AE$12:$AJ$80,6,FALSE),2)),"")</f>
        <v>3200000</v>
      </c>
      <c r="J30" s="129">
        <f>IF($A30="","",IF(I30="","",IF($K$4="Media aritmética",(I30&lt;=$B30)*($E$5/$B$4)+(I30&gt;$B30)*0,IF(AND(ROUND(AVERAGE($C30,$E30,$G30,$I30,$K30,$M30,$O30,$Q30,$S30,$U30,#REF!,#REF!,#REF!,#REF!,#REF!),2)-$B30/2&lt;=I30,(ROUND(AVERAGE($C30,$E30,$G30,$I30,$K30,$M30,$O30,$Q30,$S30,$U30,#REF!,#REF!,#REF!,#REF!,#REF!),2)+$B30/2&gt;=I30)),($E$5/$B$4),0))))</f>
        <v>0</v>
      </c>
      <c r="K30" s="128">
        <f>IF($K$8="Habilitado",IF($A30="","",ROUND(VLOOKUP($A30,'Presupuesto Consolidado'!$AO$12:$AT$80,6,FALSE),2)),"")</f>
        <v>1850000</v>
      </c>
      <c r="L30" s="129">
        <f>IF($A30="","",IF(K30="","",IF($K$4="Media aritmética",(K30&lt;=$B30)*($E$5/$B$4)+(K30&gt;$B30)*0,IF(AND(ROUND(AVERAGE($C30,$E30,$G30,$I30,$K30,$M30,$O30,$Q30,$S30,$U30,#REF!,#REF!,#REF!,#REF!,#REF!),2)-$B30/2&lt;=K30,(ROUND(AVERAGE($C30,$E30,$G30,$I30,$K30,$M30,$O30,$Q30,$S30,$U30,#REF!,#REF!,#REF!,#REF!,#REF!),2)+$B30/2&gt;=K30)),($E$5/$B$4),0))))</f>
        <v>7.0588235294117645</v>
      </c>
      <c r="M30" s="128" t="str">
        <f>IF($M$8="Habilitado",IF($A30="","",ROUND(VLOOKUP($A30,'Presupuesto Consolidado'!$AY$12:$BD$80,6,FALSE),2)),"")</f>
        <v/>
      </c>
      <c r="N30" s="129" t="str">
        <f>IF($A30="","",IF(M30="","",IF($K$4="Media aritmética",(M30&lt;=$B30)*($E$5/$B$4)+(M30&gt;$B30)*0,IF(AND(ROUND(AVERAGE($C30,$E30,$G30,$I30,$K30,$M30,$O30,$Q30,$S30,$U30,#REF!,#REF!,#REF!,#REF!,#REF!),2)-$B30/2&lt;=M30,(ROUND(AVERAGE($C30,$E30,$G30,$I30,$K30,$M30,$O30,$Q30,$S30,$U30,#REF!,#REF!,#REF!,#REF!,#REF!),2)+$B30/2&gt;=M30)),($E$5/$B$4),0))))</f>
        <v/>
      </c>
      <c r="O30" s="128">
        <f>IF($O$8="Habilitado",IF($A30="","",ROUND(VLOOKUP($A30,'Presupuesto Consolidado'!$BI$12:$BN$80,6,FALSE),2)),"")</f>
        <v>1980430</v>
      </c>
      <c r="P30" s="129">
        <f>IF($A30="","",IF(O30="","",IF($K$4="Media aritmética",(O30&lt;=$B30)*($E$5/$B$4)+(O30&gt;$B30)*0,IF(AND(ROUND(AVERAGE($C30,$E30,$G30,$I30,$K30,$M30,$O30,$Q30,$S30,$U30,#REF!,#REF!,#REF!,#REF!,#REF!),2)-$B30/2&lt;=O30,(ROUND(AVERAGE($C30,$E30,$G30,$I30,$K30,$M30,$O30,$Q30,$S30,$U30,#REF!,#REF!,#REF!,#REF!,#REF!),2)+$B30/2&gt;=O30)),($E$5/$B$4),0))))</f>
        <v>7.0588235294117645</v>
      </c>
      <c r="Q30" s="128">
        <f>IF($Q$8="Habilitado",IF($A30="","",ROUND(VLOOKUP($A30,'Presupuesto Consolidado'!$BS$12:$BX$80,6,FALSE),2)),"")</f>
        <v>1920000</v>
      </c>
      <c r="R30" s="129">
        <f>IF($A30="","",IF(Q30="","",IF($K$4="Media aritmética",(Q30&lt;=$B30)*($E$5/$B$4)+(Q30&gt;$B30)*0,IF(AND(ROUND(AVERAGE($C30,$E30,$G30,$I30,$K30,$M30,$O30,$Q30,$S30,$U30,#REF!,#REF!,#REF!,#REF!,#REF!),2)-$B30/2&lt;=Q30,(ROUND(AVERAGE($C30,$E30,$G30,$I30,$K30,$M30,$O30,$Q30,$S30,$U30,#REF!,#REF!,#REF!,#REF!,#REF!),2)+$B30/2&gt;=Q30)),($E$5/$B$4),0))))</f>
        <v>7.0588235294117645</v>
      </c>
      <c r="S30" s="128">
        <f>IF($S$8="Habilitado",IF($A30="","",ROUND(VLOOKUP($A30,'Presupuesto Consolidado'!$CC$12:$CH$80,6,FALSE),2)),"")</f>
        <v>2010876</v>
      </c>
      <c r="T30" s="129">
        <f>IF($A30="","",IF(S30="","",IF($K$4="Media aritmética",(S30&lt;=$B30)*($E$5/$B$4)+(S30&gt;$B30)*0,IF(AND(ROUND(AVERAGE($C30,$E30,$G30,$I30,$K30,$M30,$O30,$Q30,$S30,$U30,#REF!,#REF!,#REF!,#REF!,#REF!),2)-$B30/2&lt;=S30,(ROUND(AVERAGE($C30,$E30,$G30,$I30,$K30,$M30,$O30,$Q30,$S30,$U30,#REF!,#REF!,#REF!,#REF!,#REF!),2)+$B30/2&gt;=S30)),($E$5/$B$4),0))))</f>
        <v>7.0588235294117645</v>
      </c>
      <c r="U30" s="128" t="str">
        <f>IF($U$8="Habilitado",IF($A30="","",ROUND(VLOOKUP($A30,'Presupuesto Consolidado'!$CM$12:$CR$80,6,FALSE),2)),"")</f>
        <v/>
      </c>
      <c r="V30" s="129" t="str">
        <f>IF($A30="","",IF(U30="","",IF($K$4="Media aritmética",(U30&lt;=$B30)*($E$5/$B$4)+(U30&gt;$B30)*0,IF(AND(ROUND(AVERAGE($C30,$E30,$G30,$I30,$K30,$M30,$O30,$Q30,$S30,$U30,#REF!,#REF!,#REF!,#REF!,#REF!),2)-$B30/2&lt;=U30,(ROUND(AVERAGE($C30,$E30,$G30,$I30,$K30,$M30,$O30,$Q30,$S30,$U30,#REF!,#REF!,#REF!,#REF!,#REF!),2)+$B30/2&gt;=U30)),($E$5/$B$4),0))))</f>
        <v/>
      </c>
      <c r="X30" s="221"/>
      <c r="Y30" s="222"/>
      <c r="Z30" s="222"/>
    </row>
    <row r="31" spans="1:26" s="122" customFormat="1" ht="21" customHeight="1">
      <c r="A31" s="257"/>
      <c r="B31" s="127" t="str">
        <f t="shared" si="8"/>
        <v/>
      </c>
      <c r="C31" s="128" t="str">
        <f>IF($C$8="Habilitado",IF($A31="","",ROUND(VLOOKUP($A31,'Presupuesto Consolidado'!$A$12:$F$80,6,FALSE),2)),"")</f>
        <v/>
      </c>
      <c r="D31" s="129" t="str">
        <f>IF($A31="","",IF(C31="","",IF($K$4="Media aritmética",(C31&lt;=$B31)*($E$5/$B$4)+(C31&gt;$B31)*0,IF(AND(ROUND(AVERAGE($C31,$E31,$G31,$I31,$K31,$M31,$O31,$Q31,$S31,$U31,#REF!,#REF!,#REF!,#REF!,#REF!),2)-$B31/2&lt;=C31,(ROUND(AVERAGE($C31,$E31,$G31,$I31,$K31,$M31,$O31,$Q31,$S31,$U31,#REF!,#REF!,#REF!,#REF!,#REF!),2)+$B31/2&gt;=C31)),($E$5/$B$4),0))))</f>
        <v/>
      </c>
      <c r="E31" s="128" t="str">
        <f>IF($E$8="Habilitado",IF($A31="","",ROUND(VLOOKUP($A31,'Presupuesto Consolidado'!$K$12:$P$80,6,FALSE),2)),"")</f>
        <v/>
      </c>
      <c r="F31" s="129" t="str">
        <f>IF($A31="","",IF(E31="","",IF($K$4="Media aritmética",(E31&lt;=$B31)*($E$5/$B$4)+(E31&gt;$B31)*0,IF(AND(ROUND(AVERAGE($C31,$E31,$G31,$I31,$K31,$M31,$O31,$Q31,$S31,$U31,#REF!,#REF!,#REF!,#REF!,#REF!),2)-$B31/2&lt;=E31,(ROUND(AVERAGE($C31,$E31,$G31,$I31,$K31,$M31,$O31,$Q31,$S31,$U31,#REF!,#REF!,#REF!,#REF!,#REF!),2)+$B31/2&gt;=E31)),($E$5/$B$4),0))))</f>
        <v/>
      </c>
      <c r="G31" s="128" t="str">
        <f>IF($G$8="Habilitado",IF($A31="","",ROUND(VLOOKUP($A31,'Presupuesto Consolidado'!$U$12:$Z$80,6,FALSE),2)),"")</f>
        <v/>
      </c>
      <c r="H31" s="129" t="str">
        <f>IF($A31="","",IF(G31="","",IF($K$4="Media aritmética",(G31&lt;=$B31)*($E$5/$B$4)+(G31&gt;$B31)*0,IF(AND(ROUND(AVERAGE($C31,$E31,$G31,$I31,$K31,$M31,$O31,$Q31,$S31,$U31,#REF!,#REF!,#REF!,#REF!,#REF!),2)-$B31/2&lt;=G31,(ROUND(AVERAGE($C31,$E31,$G31,$I31,$K31,$M31,$O31,$Q31,$S31,$U31,#REF!,#REF!,#REF!,#REF!,#REF!),2)+$B31/2&gt;=G31)),($E$5/$B$4),0))))</f>
        <v/>
      </c>
      <c r="I31" s="128" t="str">
        <f>IF($I$8="Habilitado",IF($A31="","",ROUND(VLOOKUP($A31,'Presupuesto Consolidado'!$AE$12:$AJ$80,6,FALSE),2)),"")</f>
        <v/>
      </c>
      <c r="J31" s="129" t="str">
        <f>IF($A31="","",IF(I31="","",IF($K$4="Media aritmética",(I31&lt;=$B31)*($E$5/$B$4)+(I31&gt;$B31)*0,IF(AND(ROUND(AVERAGE($C31,$E31,$G31,$I31,$K31,$M31,$O31,$Q31,$S31,$U31,#REF!,#REF!,#REF!,#REF!,#REF!),2)-$B31/2&lt;=I31,(ROUND(AVERAGE($C31,$E31,$G31,$I31,$K31,$M31,$O31,$Q31,$S31,$U31,#REF!,#REF!,#REF!,#REF!,#REF!),2)+$B31/2&gt;=I31)),($E$5/$B$4),0))))</f>
        <v/>
      </c>
      <c r="K31" s="128" t="str">
        <f>IF($K$8="Habilitado",IF($A31="","",ROUND(VLOOKUP($A31,'Presupuesto Consolidado'!$AO$12:$AT$80,6,FALSE),2)),"")</f>
        <v/>
      </c>
      <c r="L31" s="129" t="str">
        <f>IF($A31="","",IF(K31="","",IF($K$4="Media aritmética",(K31&lt;=$B31)*($E$5/$B$4)+(K31&gt;$B31)*0,IF(AND(ROUND(AVERAGE($C31,$E31,$G31,$I31,$K31,$M31,$O31,$Q31,$S31,$U31,#REF!,#REF!,#REF!,#REF!,#REF!),2)-$B31/2&lt;=K31,(ROUND(AVERAGE($C31,$E31,$G31,$I31,$K31,$M31,$O31,$Q31,$S31,$U31,#REF!,#REF!,#REF!,#REF!,#REF!),2)+$B31/2&gt;=K31)),($E$5/$B$4),0))))</f>
        <v/>
      </c>
      <c r="M31" s="128" t="str">
        <f>IF($M$8="Habilitado",IF($A31="","",ROUND(VLOOKUP($A31,'Presupuesto Consolidado'!$AY$12:$BD$80,6,FALSE),2)),"")</f>
        <v/>
      </c>
      <c r="N31" s="129" t="str">
        <f>IF($A31="","",IF(M31="","",IF($K$4="Media aritmética",(M31&lt;=$B31)*($E$5/$B$4)+(M31&gt;$B31)*0,IF(AND(ROUND(AVERAGE($C31,$E31,$G31,$I31,$K31,$M31,$O31,$Q31,$S31,$U31,#REF!,#REF!,#REF!,#REF!,#REF!),2)-$B31/2&lt;=M31,(ROUND(AVERAGE($C31,$E31,$G31,$I31,$K31,$M31,$O31,$Q31,$S31,$U31,#REF!,#REF!,#REF!,#REF!,#REF!),2)+$B31/2&gt;=M31)),($E$5/$B$4),0))))</f>
        <v/>
      </c>
      <c r="O31" s="128" t="str">
        <f>IF($O$8="Habilitado",IF($A31="","",ROUND(VLOOKUP($A31,'Presupuesto Consolidado'!$BI$12:$BN$80,6,FALSE),2)),"")</f>
        <v/>
      </c>
      <c r="P31" s="129" t="str">
        <f>IF($A31="","",IF(O31="","",IF($K$4="Media aritmética",(O31&lt;=$B31)*($E$5/$B$4)+(O31&gt;$B31)*0,IF(AND(ROUND(AVERAGE($C31,$E31,$G31,$I31,$K31,$M31,$O31,$Q31,$S31,$U31,#REF!,#REF!,#REF!,#REF!,#REF!),2)-$B31/2&lt;=O31,(ROUND(AVERAGE($C31,$E31,$G31,$I31,$K31,$M31,$O31,$Q31,$S31,$U31,#REF!,#REF!,#REF!,#REF!,#REF!),2)+$B31/2&gt;=O31)),($E$5/$B$4),0))))</f>
        <v/>
      </c>
      <c r="Q31" s="128" t="str">
        <f>IF($Q$8="Habilitado",IF($A31="","",ROUND(VLOOKUP($A31,'Presupuesto Consolidado'!$BS$12:$BX$80,6,FALSE),2)),"")</f>
        <v/>
      </c>
      <c r="R31" s="129" t="str">
        <f>IF($A31="","",IF(Q31="","",IF($K$4="Media aritmética",(Q31&lt;=$B31)*($E$5/$B$4)+(Q31&gt;$B31)*0,IF(AND(ROUND(AVERAGE($C31,$E31,$G31,$I31,$K31,$M31,$O31,$Q31,$S31,$U31,#REF!,#REF!,#REF!,#REF!,#REF!),2)-$B31/2&lt;=Q31,(ROUND(AVERAGE($C31,$E31,$G31,$I31,$K31,$M31,$O31,$Q31,$S31,$U31,#REF!,#REF!,#REF!,#REF!,#REF!),2)+$B31/2&gt;=Q31)),($E$5/$B$4),0))))</f>
        <v/>
      </c>
      <c r="S31" s="128" t="str">
        <f>IF($S$8="Habilitado",IF($A31="","",ROUND(VLOOKUP($A31,'Presupuesto Consolidado'!$CC$12:$CH$80,6,FALSE),2)),"")</f>
        <v/>
      </c>
      <c r="T31" s="129" t="str">
        <f>IF($A31="","",IF(S31="","",IF($K$4="Media aritmética",(S31&lt;=$B31)*($E$5/$B$4)+(S31&gt;$B31)*0,IF(AND(ROUND(AVERAGE($C31,$E31,$G31,$I31,$K31,$M31,$O31,$Q31,$S31,$U31,#REF!,#REF!,#REF!,#REF!,#REF!),2)-$B31/2&lt;=S31,(ROUND(AVERAGE($C31,$E31,$G31,$I31,$K31,$M31,$O31,$Q31,$S31,$U31,#REF!,#REF!,#REF!,#REF!,#REF!),2)+$B31/2&gt;=S31)),($E$5/$B$4),0))))</f>
        <v/>
      </c>
      <c r="U31" s="128" t="str">
        <f>IF($U$8="Habilitado",IF($A31="","",ROUND(VLOOKUP($A31,'Presupuesto Consolidado'!$CM$12:$CR$80,6,FALSE),2)),"")</f>
        <v/>
      </c>
      <c r="V31" s="129" t="str">
        <f>IF($A31="","",IF(U31="","",IF($K$4="Media aritmética",(U31&lt;=$B31)*($E$5/$B$4)+(U31&gt;$B31)*0,IF(AND(ROUND(AVERAGE($C31,$E31,$G31,$I31,$K31,$M31,$O31,$Q31,$S31,$U31,#REF!,#REF!,#REF!,#REF!,#REF!),2)-$B31/2&lt;=U31,(ROUND(AVERAGE($C31,$E31,$G31,$I31,$K31,$M31,$O31,$Q31,$S31,$U31,#REF!,#REF!,#REF!,#REF!,#REF!),2)+$B31/2&gt;=U31)),($E$5/$B$4),0))))</f>
        <v/>
      </c>
      <c r="X31" s="221"/>
      <c r="Y31" s="222"/>
      <c r="Z31" s="222"/>
    </row>
    <row r="32" spans="1:26" s="122" customFormat="1" ht="21" customHeight="1">
      <c r="A32" s="257"/>
      <c r="B32" s="127" t="str">
        <f t="shared" si="8"/>
        <v/>
      </c>
      <c r="C32" s="128" t="str">
        <f>IF($C$8="Habilitado",IF($A32="","",ROUND(VLOOKUP($A32,'Presupuesto Consolidado'!$A$12:$F$80,6,FALSE),2)),"")</f>
        <v/>
      </c>
      <c r="D32" s="129" t="str">
        <f>IF($A32="","",IF(C32="","",IF($K$4="Media aritmética",(C32&lt;=$B32)*($E$5/$B$4)+(C32&gt;$B32)*0,IF(AND(ROUND(AVERAGE($C32,$E32,$G32,$I32,$K32,$M32,$O32,$Q32,$S32,$U32,#REF!,#REF!,#REF!,#REF!,#REF!),2)-$B32/2&lt;=C32,(ROUND(AVERAGE($C32,$E32,$G32,$I32,$K32,$M32,$O32,$Q32,$S32,$U32,#REF!,#REF!,#REF!,#REF!,#REF!),2)+$B32/2&gt;=C32)),($E$5/$B$4),0))))</f>
        <v/>
      </c>
      <c r="E32" s="128" t="str">
        <f>IF($E$8="Habilitado",IF($A32="","",ROUND(VLOOKUP($A32,'Presupuesto Consolidado'!$K$12:$P$80,6,FALSE),2)),"")</f>
        <v/>
      </c>
      <c r="F32" s="129" t="str">
        <f>IF($A32="","",IF(E32="","",IF($K$4="Media aritmética",(E32&lt;=$B32)*($E$5/$B$4)+(E32&gt;$B32)*0,IF(AND(ROUND(AVERAGE($C32,$E32,$G32,$I32,$K32,$M32,$O32,$Q32,$S32,$U32,#REF!,#REF!,#REF!,#REF!,#REF!),2)-$B32/2&lt;=E32,(ROUND(AVERAGE($C32,$E32,$G32,$I32,$K32,$M32,$O32,$Q32,$S32,$U32,#REF!,#REF!,#REF!,#REF!,#REF!),2)+$B32/2&gt;=E32)),($E$5/$B$4),0))))</f>
        <v/>
      </c>
      <c r="G32" s="128" t="str">
        <f>IF($G$8="Habilitado",IF($A32="","",ROUND(VLOOKUP($A32,'Presupuesto Consolidado'!$U$12:$Z$80,6,FALSE),2)),"")</f>
        <v/>
      </c>
      <c r="H32" s="129" t="str">
        <f>IF($A32="","",IF(G32="","",IF($K$4="Media aritmética",(G32&lt;=$B32)*($E$5/$B$4)+(G32&gt;$B32)*0,IF(AND(ROUND(AVERAGE($C32,$E32,$G32,$I32,$K32,$M32,$O32,$Q32,$S32,$U32,#REF!,#REF!,#REF!,#REF!,#REF!),2)-$B32/2&lt;=G32,(ROUND(AVERAGE($C32,$E32,$G32,$I32,$K32,$M32,$O32,$Q32,$S32,$U32,#REF!,#REF!,#REF!,#REF!,#REF!),2)+$B32/2&gt;=G32)),($E$5/$B$4),0))))</f>
        <v/>
      </c>
      <c r="I32" s="128" t="str">
        <f>IF($I$8="Habilitado",IF($A32="","",ROUND(VLOOKUP($A32,'Presupuesto Consolidado'!$AE$12:$AJ$80,6,FALSE),2)),"")</f>
        <v/>
      </c>
      <c r="J32" s="129" t="str">
        <f>IF($A32="","",IF(I32="","",IF($K$4="Media aritmética",(I32&lt;=$B32)*($E$5/$B$4)+(I32&gt;$B32)*0,IF(AND(ROUND(AVERAGE($C32,$E32,$G32,$I32,$K32,$M32,$O32,$Q32,$S32,$U32,#REF!,#REF!,#REF!,#REF!,#REF!),2)-$B32/2&lt;=I32,(ROUND(AVERAGE($C32,$E32,$G32,$I32,$K32,$M32,$O32,$Q32,$S32,$U32,#REF!,#REF!,#REF!,#REF!,#REF!),2)+$B32/2&gt;=I32)),($E$5/$B$4),0))))</f>
        <v/>
      </c>
      <c r="K32" s="128" t="str">
        <f>IF($K$8="Habilitado",IF($A32="","",ROUND(VLOOKUP($A32,'Presupuesto Consolidado'!$AO$12:$AT$80,6,FALSE),2)),"")</f>
        <v/>
      </c>
      <c r="L32" s="129" t="str">
        <f>IF($A32="","",IF(K32="","",IF($K$4="Media aritmética",(K32&lt;=$B32)*($E$5/$B$4)+(K32&gt;$B32)*0,IF(AND(ROUND(AVERAGE($C32,$E32,$G32,$I32,$K32,$M32,$O32,$Q32,$S32,$U32,#REF!,#REF!,#REF!,#REF!,#REF!),2)-$B32/2&lt;=K32,(ROUND(AVERAGE($C32,$E32,$G32,$I32,$K32,$M32,$O32,$Q32,$S32,$U32,#REF!,#REF!,#REF!,#REF!,#REF!),2)+$B32/2&gt;=K32)),($E$5/$B$4),0))))</f>
        <v/>
      </c>
      <c r="M32" s="128" t="str">
        <f>IF($M$8="Habilitado",IF($A32="","",ROUND(VLOOKUP($A32,'Presupuesto Consolidado'!$AY$12:$BD$80,6,FALSE),2)),"")</f>
        <v/>
      </c>
      <c r="N32" s="129" t="str">
        <f>IF($A32="","",IF(M32="","",IF($K$4="Media aritmética",(M32&lt;=$B32)*($E$5/$B$4)+(M32&gt;$B32)*0,IF(AND(ROUND(AVERAGE($C32,$E32,$G32,$I32,$K32,$M32,$O32,$Q32,$S32,$U32,#REF!,#REF!,#REF!,#REF!,#REF!),2)-$B32/2&lt;=M32,(ROUND(AVERAGE($C32,$E32,$G32,$I32,$K32,$M32,$O32,$Q32,$S32,$U32,#REF!,#REF!,#REF!,#REF!,#REF!),2)+$B32/2&gt;=M32)),($E$5/$B$4),0))))</f>
        <v/>
      </c>
      <c r="O32" s="128" t="str">
        <f>IF($O$8="Habilitado",IF($A32="","",ROUND(VLOOKUP($A32,'Presupuesto Consolidado'!$BI$12:$BN$80,6,FALSE),2)),"")</f>
        <v/>
      </c>
      <c r="P32" s="129" t="str">
        <f>IF($A32="","",IF(O32="","",IF($K$4="Media aritmética",(O32&lt;=$B32)*($E$5/$B$4)+(O32&gt;$B32)*0,IF(AND(ROUND(AVERAGE($C32,$E32,$G32,$I32,$K32,$M32,$O32,$Q32,$S32,$U32,#REF!,#REF!,#REF!,#REF!,#REF!),2)-$B32/2&lt;=O32,(ROUND(AVERAGE($C32,$E32,$G32,$I32,$K32,$M32,$O32,$Q32,$S32,$U32,#REF!,#REF!,#REF!,#REF!,#REF!),2)+$B32/2&gt;=O32)),($E$5/$B$4),0))))</f>
        <v/>
      </c>
      <c r="Q32" s="128" t="str">
        <f>IF($Q$8="Habilitado",IF($A32="","",ROUND(VLOOKUP($A32,'Presupuesto Consolidado'!$BS$12:$BX$80,6,FALSE),2)),"")</f>
        <v/>
      </c>
      <c r="R32" s="129" t="str">
        <f>IF($A32="","",IF(Q32="","",IF($K$4="Media aritmética",(Q32&lt;=$B32)*($E$5/$B$4)+(Q32&gt;$B32)*0,IF(AND(ROUND(AVERAGE($C32,$E32,$G32,$I32,$K32,$M32,$O32,$Q32,$S32,$U32,#REF!,#REF!,#REF!,#REF!,#REF!),2)-$B32/2&lt;=Q32,(ROUND(AVERAGE($C32,$E32,$G32,$I32,$K32,$M32,$O32,$Q32,$S32,$U32,#REF!,#REF!,#REF!,#REF!,#REF!),2)+$B32/2&gt;=Q32)),($E$5/$B$4),0))))</f>
        <v/>
      </c>
      <c r="S32" s="128" t="str">
        <f>IF($S$8="Habilitado",IF($A32="","",ROUND(VLOOKUP($A32,'Presupuesto Consolidado'!$CC$12:$CH$80,6,FALSE),2)),"")</f>
        <v/>
      </c>
      <c r="T32" s="129" t="str">
        <f>IF($A32="","",IF(S32="","",IF($K$4="Media aritmética",(S32&lt;=$B32)*($E$5/$B$4)+(S32&gt;$B32)*0,IF(AND(ROUND(AVERAGE($C32,$E32,$G32,$I32,$K32,$M32,$O32,$Q32,$S32,$U32,#REF!,#REF!,#REF!,#REF!,#REF!),2)-$B32/2&lt;=S32,(ROUND(AVERAGE($C32,$E32,$G32,$I32,$K32,$M32,$O32,$Q32,$S32,$U32,#REF!,#REF!,#REF!,#REF!,#REF!),2)+$B32/2&gt;=S32)),($E$5/$B$4),0))))</f>
        <v/>
      </c>
      <c r="U32" s="128" t="str">
        <f>IF($U$8="Habilitado",IF($A32="","",ROUND(VLOOKUP($A32,'Presupuesto Consolidado'!$CM$12:$CR$80,6,FALSE),2)),"")</f>
        <v/>
      </c>
      <c r="V32" s="129" t="str">
        <f>IF($A32="","",IF(U32="","",IF($K$4="Media aritmética",(U32&lt;=$B32)*($E$5/$B$4)+(U32&gt;$B32)*0,IF(AND(ROUND(AVERAGE($C32,$E32,$G32,$I32,$K32,$M32,$O32,$Q32,$S32,$U32,#REF!,#REF!,#REF!,#REF!,#REF!),2)-$B32/2&lt;=U32,(ROUND(AVERAGE($C32,$E32,$G32,$I32,$K32,$M32,$O32,$Q32,$S32,$U32,#REF!,#REF!,#REF!,#REF!,#REF!),2)+$B32/2&gt;=U32)),($E$5/$B$4),0))))</f>
        <v/>
      </c>
      <c r="X32" s="221"/>
      <c r="Y32" s="222"/>
      <c r="Z32" s="222"/>
    </row>
    <row r="33" spans="1:26" s="122" customFormat="1" ht="21" customHeight="1">
      <c r="A33" s="257"/>
      <c r="B33" s="127" t="str">
        <f t="shared" si="8"/>
        <v/>
      </c>
      <c r="C33" s="128" t="str">
        <f>IF($C$8="Habilitado",IF($A33="","",ROUND(VLOOKUP($A33,'Presupuesto Consolidado'!$A$12:$F$80,6,FALSE),2)),"")</f>
        <v/>
      </c>
      <c r="D33" s="129" t="str">
        <f>IF($A33="","",IF(C33="","",IF($K$4="Media aritmética",(C33&lt;=$B33)*($E$5/$B$4)+(C33&gt;$B33)*0,IF(AND(ROUND(AVERAGE($C33,$E33,$G33,$I33,$K33,$M33,$O33,$Q33,$S33,$U33,#REF!,#REF!,#REF!,#REF!,#REF!),2)-$B33/2&lt;=C33,(ROUND(AVERAGE($C33,$E33,$G33,$I33,$K33,$M33,$O33,$Q33,$S33,$U33,#REF!,#REF!,#REF!,#REF!,#REF!),2)+$B33/2&gt;=C33)),($E$5/$B$4),0))))</f>
        <v/>
      </c>
      <c r="E33" s="128" t="str">
        <f>IF($E$8="Habilitado",IF($A33="","",ROUND(VLOOKUP($A33,'Presupuesto Consolidado'!$K$12:$P$80,6,FALSE),2)),"")</f>
        <v/>
      </c>
      <c r="F33" s="129" t="str">
        <f>IF($A33="","",IF(E33="","",IF($K$4="Media aritmética",(E33&lt;=$B33)*($E$5/$B$4)+(E33&gt;$B33)*0,IF(AND(ROUND(AVERAGE($C33,$E33,$G33,$I33,$K33,$M33,$O33,$Q33,$S33,$U33,#REF!,#REF!,#REF!,#REF!,#REF!),2)-$B33/2&lt;=E33,(ROUND(AVERAGE($C33,$E33,$G33,$I33,$K33,$M33,$O33,$Q33,$S33,$U33,#REF!,#REF!,#REF!,#REF!,#REF!),2)+$B33/2&gt;=E33)),($E$5/$B$4),0))))</f>
        <v/>
      </c>
      <c r="G33" s="128" t="str">
        <f>IF($G$8="Habilitado",IF($A33="","",ROUND(VLOOKUP($A33,'Presupuesto Consolidado'!$U$12:$Z$80,6,FALSE),2)),"")</f>
        <v/>
      </c>
      <c r="H33" s="129" t="str">
        <f>IF($A33="","",IF(G33="","",IF($K$4="Media aritmética",(G33&lt;=$B33)*($E$5/$B$4)+(G33&gt;$B33)*0,IF(AND(ROUND(AVERAGE($C33,$E33,$G33,$I33,$K33,$M33,$O33,$Q33,$S33,$U33,#REF!,#REF!,#REF!,#REF!,#REF!),2)-$B33/2&lt;=G33,(ROUND(AVERAGE($C33,$E33,$G33,$I33,$K33,$M33,$O33,$Q33,$S33,$U33,#REF!,#REF!,#REF!,#REF!,#REF!),2)+$B33/2&gt;=G33)),($E$5/$B$4),0))))</f>
        <v/>
      </c>
      <c r="I33" s="128" t="str">
        <f>IF($I$8="Habilitado",IF($A33="","",ROUND(VLOOKUP($A33,'Presupuesto Consolidado'!$AE$12:$AJ$80,6,FALSE),2)),"")</f>
        <v/>
      </c>
      <c r="J33" s="129" t="str">
        <f>IF($A33="","",IF(I33="","",IF($K$4="Media aritmética",(I33&lt;=$B33)*($E$5/$B$4)+(I33&gt;$B33)*0,IF(AND(ROUND(AVERAGE($C33,$E33,$G33,$I33,$K33,$M33,$O33,$Q33,$S33,$U33,#REF!,#REF!,#REF!,#REF!,#REF!),2)-$B33/2&lt;=I33,(ROUND(AVERAGE($C33,$E33,$G33,$I33,$K33,$M33,$O33,$Q33,$S33,$U33,#REF!,#REF!,#REF!,#REF!,#REF!),2)+$B33/2&gt;=I33)),($E$5/$B$4),0))))</f>
        <v/>
      </c>
      <c r="K33" s="128" t="str">
        <f>IF($K$8="Habilitado",IF($A33="","",ROUND(VLOOKUP($A33,'Presupuesto Consolidado'!$AO$12:$AT$80,6,FALSE),2)),"")</f>
        <v/>
      </c>
      <c r="L33" s="129" t="str">
        <f>IF($A33="","",IF(K33="","",IF($K$4="Media aritmética",(K33&lt;=$B33)*($E$5/$B$4)+(K33&gt;$B33)*0,IF(AND(ROUND(AVERAGE($C33,$E33,$G33,$I33,$K33,$M33,$O33,$Q33,$S33,$U33,#REF!,#REF!,#REF!,#REF!,#REF!),2)-$B33/2&lt;=K33,(ROUND(AVERAGE($C33,$E33,$G33,$I33,$K33,$M33,$O33,$Q33,$S33,$U33,#REF!,#REF!,#REF!,#REF!,#REF!),2)+$B33/2&gt;=K33)),($E$5/$B$4),0))))</f>
        <v/>
      </c>
      <c r="M33" s="128" t="str">
        <f>IF($M$8="Habilitado",IF($A33="","",ROUND(VLOOKUP($A33,'Presupuesto Consolidado'!$AY$12:$BD$80,6,FALSE),2)),"")</f>
        <v/>
      </c>
      <c r="N33" s="129" t="str">
        <f>IF($A33="","",IF(M33="","",IF($K$4="Media aritmética",(M33&lt;=$B33)*($E$5/$B$4)+(M33&gt;$B33)*0,IF(AND(ROUND(AVERAGE($C33,$E33,$G33,$I33,$K33,$M33,$O33,$Q33,$S33,$U33,#REF!,#REF!,#REF!,#REF!,#REF!),2)-$B33/2&lt;=M33,(ROUND(AVERAGE($C33,$E33,$G33,$I33,$K33,$M33,$O33,$Q33,$S33,$U33,#REF!,#REF!,#REF!,#REF!,#REF!),2)+$B33/2&gt;=M33)),($E$5/$B$4),0))))</f>
        <v/>
      </c>
      <c r="O33" s="128" t="str">
        <f>IF($O$8="Habilitado",IF($A33="","",ROUND(VLOOKUP($A33,'Presupuesto Consolidado'!$BI$12:$BN$80,6,FALSE),2)),"")</f>
        <v/>
      </c>
      <c r="P33" s="129" t="str">
        <f>IF($A33="","",IF(O33="","",IF($K$4="Media aritmética",(O33&lt;=$B33)*($E$5/$B$4)+(O33&gt;$B33)*0,IF(AND(ROUND(AVERAGE($C33,$E33,$G33,$I33,$K33,$M33,$O33,$Q33,$S33,$U33,#REF!,#REF!,#REF!,#REF!,#REF!),2)-$B33/2&lt;=O33,(ROUND(AVERAGE($C33,$E33,$G33,$I33,$K33,$M33,$O33,$Q33,$S33,$U33,#REF!,#REF!,#REF!,#REF!,#REF!),2)+$B33/2&gt;=O33)),($E$5/$B$4),0))))</f>
        <v/>
      </c>
      <c r="Q33" s="128" t="str">
        <f>IF($Q$8="Habilitado",IF($A33="","",ROUND(VLOOKUP($A33,'Presupuesto Consolidado'!$BS$12:$BX$80,6,FALSE),2)),"")</f>
        <v/>
      </c>
      <c r="R33" s="129" t="str">
        <f>IF($A33="","",IF(Q33="","",IF($K$4="Media aritmética",(Q33&lt;=$B33)*($E$5/$B$4)+(Q33&gt;$B33)*0,IF(AND(ROUND(AVERAGE($C33,$E33,$G33,$I33,$K33,$M33,$O33,$Q33,$S33,$U33,#REF!,#REF!,#REF!,#REF!,#REF!),2)-$B33/2&lt;=Q33,(ROUND(AVERAGE($C33,$E33,$G33,$I33,$K33,$M33,$O33,$Q33,$S33,$U33,#REF!,#REF!,#REF!,#REF!,#REF!),2)+$B33/2&gt;=Q33)),($E$5/$B$4),0))))</f>
        <v/>
      </c>
      <c r="S33" s="128" t="str">
        <f>IF($S$8="Habilitado",IF($A33="","",ROUND(VLOOKUP($A33,'Presupuesto Consolidado'!$CC$12:$CH$80,6,FALSE),2)),"")</f>
        <v/>
      </c>
      <c r="T33" s="129" t="str">
        <f>IF($A33="","",IF(S33="","",IF($K$4="Media aritmética",(S33&lt;=$B33)*($E$5/$B$4)+(S33&gt;$B33)*0,IF(AND(ROUND(AVERAGE($C33,$E33,$G33,$I33,$K33,$M33,$O33,$Q33,$S33,$U33,#REF!,#REF!,#REF!,#REF!,#REF!),2)-$B33/2&lt;=S33,(ROUND(AVERAGE($C33,$E33,$G33,$I33,$K33,$M33,$O33,$Q33,$S33,$U33,#REF!,#REF!,#REF!,#REF!,#REF!),2)+$B33/2&gt;=S33)),($E$5/$B$4),0))))</f>
        <v/>
      </c>
      <c r="U33" s="128" t="str">
        <f>IF($U$8="Habilitado",IF($A33="","",ROUND(VLOOKUP($A33,'Presupuesto Consolidado'!$CM$12:$CR$80,6,FALSE),2)),"")</f>
        <v/>
      </c>
      <c r="V33" s="129" t="str">
        <f>IF($A33="","",IF(U33="","",IF($K$4="Media aritmética",(U33&lt;=$B33)*($E$5/$B$4)+(U33&gt;$B33)*0,IF(AND(ROUND(AVERAGE($C33,$E33,$G33,$I33,$K33,$M33,$O33,$Q33,$S33,$U33,#REF!,#REF!,#REF!,#REF!,#REF!),2)-$B33/2&lt;=U33,(ROUND(AVERAGE($C33,$E33,$G33,$I33,$K33,$M33,$O33,$Q33,$S33,$U33,#REF!,#REF!,#REF!,#REF!,#REF!),2)+$B33/2&gt;=U33)),($E$5/$B$4),0))))</f>
        <v/>
      </c>
      <c r="X33" s="221"/>
      <c r="Y33" s="765"/>
      <c r="Z33" s="222"/>
    </row>
    <row r="34" spans="1:26" ht="21" customHeight="1">
      <c r="B34" s="119" t="str">
        <f>IF(A34="","",IF($K$4="Media aritmética",AVERAGE(C34,E34,G34,I34,K34,M34,O34,Q34,S34,U34,#REF!,#REF!,#REF!,#REF!,#REF!),_xlfn.STDEV.P(C34,E34,G34,I34,K34,M34,O34,Q34,S34,U34,#REF!,#REF!,#REF!,#REF!,#REF!)))</f>
        <v/>
      </c>
    </row>
    <row r="35" spans="1:26" ht="21.75" customHeight="1">
      <c r="A35" s="894" t="s">
        <v>107</v>
      </c>
      <c r="B35" s="894"/>
      <c r="C35" s="894"/>
      <c r="D35" s="894"/>
      <c r="E35" s="894"/>
      <c r="F35" s="894"/>
      <c r="G35" s="894"/>
      <c r="H35" s="894"/>
      <c r="I35" s="894"/>
      <c r="J35" s="894"/>
      <c r="K35" s="894"/>
      <c r="L35" s="894"/>
      <c r="M35" s="894"/>
      <c r="N35" s="894"/>
      <c r="O35" s="894"/>
      <c r="P35" s="894"/>
      <c r="Q35" s="894"/>
      <c r="R35" s="894"/>
      <c r="S35" s="894"/>
      <c r="T35" s="894"/>
      <c r="U35" s="894"/>
      <c r="V35" s="894"/>
    </row>
    <row r="36" spans="1:26" s="122" customFormat="1" ht="21" customHeight="1">
      <c r="A36" s="256" t="str">
        <f>+'Presupuesto Consolidado'!A12</f>
        <v>1.1</v>
      </c>
      <c r="B36" s="127">
        <f t="shared" ref="B36:B85" si="9">IF(A36="","",IF($K$4="Media aritmética",ROUND(AVERAGE(C36,E36,G36,I36,K36,M36,O36,Q36,S36,U36),2),ROUND(_xlfn.STDEV.P(C36,E36,G36,I36,K36,M36,O36,Q36,S36,U36),2)))</f>
        <v>802208.75</v>
      </c>
      <c r="C36" s="128">
        <f>IF($C$8="Habilitado",IF($A36="","",ROUND(VLOOKUP($A36,'Presupuesto Consolidado'!$A$12:$F$80,6,FALSE),2)),"")</f>
        <v>868000</v>
      </c>
      <c r="D36" s="129">
        <f>IF($A36="","",IF(C36="","",IF($K$4="Media aritmética",(C36&lt;=$B36)*($G$5/$B$5)+(C36&gt;$B36)*0,IF(AND(ROUND(AVERAGE($C36,$E36,$G36,$I36,$K36,$M36,$O36,$Q36,$S36,$U36,#REF!,#REF!,#REF!,#REF!,#REF!),2)-$B36/2&lt;=C36,(ROUND(AVERAGE($C36,$E36,$G36,$I36,$K36,$M36,$O36,$Q36,$S36,$U36,#REF!,#REF!,#REF!,#REF!,#REF!),2)+$B36/2&gt;=C36)),($G$5/$B$5),0))))</f>
        <v>0</v>
      </c>
      <c r="E36" s="128">
        <f>IF($E$8="Habilitado",IF($A36="","",ROUND(VLOOKUP($A36,'Presupuesto Consolidado'!$K$12:$P$80,6,FALSE),2)),"")</f>
        <v>770000</v>
      </c>
      <c r="F36" s="129">
        <f>IF($A36="","",IF(E36="","",IF($K$4="Media aritmética",(E36&lt;=$B36)*($G$5/$B$5)+(E36&gt;$B36)*0,IF(AND(ROUND(AVERAGE($C36,$E36,$G36,$I36,$K36,$M36,$O36,$Q36,$S36,$U36,#REF!,#REF!,#REF!,#REF!,#REF!),2)-$B36/2&lt;=E36,(ROUND(AVERAGE($C36,$E36,$G36,$I36,$K36,$M36,$O36,$Q36,$S36,$U36,#REF!,#REF!,#REF!,#REF!,#REF!),2)+$B36/2&gt;=E36)),($G$5/$B$5),0))))</f>
        <v>1.8604651162790697</v>
      </c>
      <c r="G36" s="128">
        <f>IF($G$8="Habilitado",IF($A36="","",ROUND(VLOOKUP($A36,'Presupuesto Consolidado'!$U$12:$Z$80,6,FALSE),2)),"")</f>
        <v>894670</v>
      </c>
      <c r="H36" s="129">
        <f>IF($A36="","",IF(G36="","",IF($K$4="Media aritmética",(G36&lt;=$B36)*($G$5/$B$5)+(G36&gt;$B36)*0,IF(AND(ROUND(AVERAGE($C36,$E36,$G36,$I36,$K36,$M36,$O36,$Q36,$S36,$U36,#REF!,#REF!,#REF!,#REF!,#REF!),2)-$B36/2&lt;=G36,(ROUND(AVERAGE($C36,$E36,$G36,$I36,$K36,$M36,$O36,$Q36,$S36,$U36,#REF!,#REF!,#REF!,#REF!,#REF!),2)+$B36/2&gt;=G36)),($G$5/$B$5),0))))</f>
        <v>0</v>
      </c>
      <c r="I36" s="128">
        <f>IF($I$8="Habilitado",IF($A36="","",ROUND(VLOOKUP($A36,'Presupuesto Consolidado'!$AE$12:$AJ$80,6,FALSE),2)),"")</f>
        <v>700000</v>
      </c>
      <c r="J36" s="129">
        <f>IF($A36="","",IF(I36="","",IF($K$4="Media aritmética",(I36&lt;=$B36)*($G$5/$B$5)+(I36&gt;$B36)*0,IF(AND(ROUND(AVERAGE($C36,$E36,$G36,$I36,$K36,$M36,$O36,$Q36,$S36,$U36,#REF!,#REF!,#REF!,#REF!,#REF!),2)-$B36/2&lt;=I36,(ROUND(AVERAGE($C36,$E36,$G36,$I36,$K36,$M36,$O36,$Q36,$S36,$U36,#REF!,#REF!,#REF!,#REF!,#REF!),2)+$B36/2&gt;=I36)),($G$5/$B$5),0))))</f>
        <v>1.8604651162790697</v>
      </c>
      <c r="K36" s="128">
        <f>IF($K$8="Habilitado",IF($A36="","",ROUND(VLOOKUP($A36,'Presupuesto Consolidado'!$AO$12:$AT$80,6,FALSE),2)),"")</f>
        <v>714000</v>
      </c>
      <c r="L36" s="129">
        <f>IF($A36="","",IF(K36="","",IF($K$4="Media aritmética",(K36&lt;=$B36)*($G$5/$B$5)+(K36&gt;$B36)*0,IF(AND(ROUND(AVERAGE($C36,$E36,$G36,$I36,$K36,$M36,$O36,$Q36,$S36,$U36,#REF!,#REF!,#REF!,#REF!,#REF!),2)-$B36/2&lt;=K36,(ROUND(AVERAGE($C36,$E36,$G36,$I36,$K36,$M36,$O36,$Q36,$S36,$U36,#REF!,#REF!,#REF!,#REF!,#REF!),2)+$B36/2&gt;=K36)),($G$5/$B$5),0))))</f>
        <v>1.8604651162790697</v>
      </c>
      <c r="M36" s="128" t="str">
        <f>IF($M$8="Habilitado",IF($A36="","",ROUND(VLOOKUP($A36,'Presupuesto Consolidado'!$AY$12:$BD$80,6,FALSE),2)),"")</f>
        <v/>
      </c>
      <c r="N36" s="129" t="str">
        <f>IF($A36="","",IF(M36="","",IF($K$4="Media aritmética",(M36&lt;=$B36)*($G$5/$B$5)+(M36&gt;$B36)*0,IF(AND(ROUND(AVERAGE($C36,$E36,$G36,$I36,$K36,$M36,$O36,$Q36,$S36,$U36,#REF!,#REF!,#REF!,#REF!,#REF!),2)-$B36/2&lt;=M36,(ROUND(AVERAGE($C36,$E36,$G36,$I36,$K36,$M36,$O36,$Q36,$S36,$U36,#REF!,#REF!,#REF!,#REF!,#REF!),2)+$B36/2&gt;=M36)),($G$5/$B$5),0))))</f>
        <v/>
      </c>
      <c r="O36" s="128">
        <f>IF($O$8="Habilitado",IF($A36="","",ROUND(VLOOKUP($A36,'Presupuesto Consolidado'!$BI$12:$BN$80,6,FALSE),2)),"")</f>
        <v>917000</v>
      </c>
      <c r="P36" s="129">
        <f>IF($A36="","",IF(O36="","",IF($K$4="Media aritmética",(O36&lt;=$B36)*($G$5/$B$5)+(O36&gt;$B36)*0,IF(AND(ROUND(AVERAGE($C36,$E36,$G36,$I36,$K36,$M36,$O36,$Q36,$S36,$U36,#REF!,#REF!,#REF!,#REF!,#REF!),2)-$B36/2&lt;=O36,(ROUND(AVERAGE($C36,$E36,$G36,$I36,$K36,$M36,$O36,$Q36,$S36,$U36,#REF!,#REF!,#REF!,#REF!,#REF!),2)+$B36/2&gt;=O36)),($G$5/$B$5),0))))</f>
        <v>0</v>
      </c>
      <c r="Q36" s="128">
        <f>IF($Q$8="Habilitado",IF($A36="","",ROUND(VLOOKUP($A36,'Presupuesto Consolidado'!$BS$12:$BX$80,6,FALSE),2)),"")</f>
        <v>798000</v>
      </c>
      <c r="R36" s="129">
        <f>IF($A36="","",IF(Q36="","",IF($K$4="Media aritmética",(Q36&lt;=$B36)*($G$5/$B$5)+(Q36&gt;$B36)*0,IF(AND(ROUND(AVERAGE($C36,$E36,$G36,$I36,$K36,$M36,$O36,$Q36,$S36,$U36,#REF!,#REF!,#REF!,#REF!,#REF!),2)-$B36/2&lt;=Q36,(ROUND(AVERAGE($C36,$E36,$G36,$I36,$K36,$M36,$O36,$Q36,$S36,$U36,#REF!,#REF!,#REF!,#REF!,#REF!),2)+$B36/2&gt;=Q36)),($G$5/$B$5),0))))</f>
        <v>1.8604651162790697</v>
      </c>
      <c r="S36" s="128">
        <f>IF($S$8="Habilitado",IF($A36="","",ROUND(VLOOKUP($A36,'Presupuesto Consolidado'!$CC$12:$CH$80,6,FALSE),2)),"")</f>
        <v>756000</v>
      </c>
      <c r="T36" s="129">
        <f>IF($A36="","",IF(S36="","",IF($K$4="Media aritmética",(S36&lt;=$B36)*($G$5/$B$5)+(S36&gt;$B36)*0,IF(AND(ROUND(AVERAGE($C36,$E36,$G36,$I36,$K36,$M36,$O36,$Q36,$S36,$U36,#REF!,#REF!,#REF!,#REF!,#REF!),2)-$B36/2&lt;=S36,(ROUND(AVERAGE($C36,$E36,$G36,$I36,$K36,$M36,$O36,$Q36,$S36,$U36,#REF!,#REF!,#REF!,#REF!,#REF!),2)+$B36/2&gt;=S36)),($G$5/$B$5),0))))</f>
        <v>1.8604651162790697</v>
      </c>
      <c r="U36" s="128" t="str">
        <f>IF($U$8="Habilitado",IF($A36="","",ROUND(VLOOKUP($A36,'Presupuesto Consolidado'!$CM$12:$CR$80,6,FALSE),2)),"")</f>
        <v/>
      </c>
      <c r="V36" s="129" t="str">
        <f>IF($A36="","",IF(U36="","",IF($K$4="Media aritmética",(U36&lt;=$B36)*($G$5/$B$5)+(U36&gt;$B36)*0,IF(AND(ROUND(AVERAGE($C36,$E36,$G36,$I36,$K36,$M36,$O36,$Q36,$S36,$U36,#REF!,#REF!,#REF!,#REF!,#REF!),2)-$B36/2&lt;=U36,(ROUND(AVERAGE($C36,$E36,$G36,$I36,$K36,$M36,$O36,$Q36,$S36,$U36,#REF!,#REF!,#REF!,#REF!,#REF!),2)+$B36/2&gt;=U36)),($G$5/$B$5),0))))</f>
        <v/>
      </c>
    </row>
    <row r="37" spans="1:26" s="122" customFormat="1" ht="21" customHeight="1">
      <c r="A37" s="256" t="str">
        <f>+'Presupuesto Consolidado'!A13</f>
        <v>1.2</v>
      </c>
      <c r="B37" s="127">
        <f t="shared" si="9"/>
        <v>3393001</v>
      </c>
      <c r="C37" s="128">
        <f>IF($C$8="Habilitado",IF($A37="","",ROUND(VLOOKUP($A37,'Presupuesto Consolidado'!$A$12:$F$80,6,FALSE),2)),"")</f>
        <v>4011798</v>
      </c>
      <c r="D37" s="129">
        <f>IF($A37="","",IF(C37="","",IF($K$4="Media aritmética",(C37&lt;=$B37)*($G$5/$B$5)+(C37&gt;$B37)*0,IF(AND(ROUND(AVERAGE($C37,$E37,$G37,$I37,$K37,$M37,$O37,$Q37,$S37,$U37,#REF!,#REF!,#REF!,#REF!,#REF!),2)-$B37/2&lt;=C37,(ROUND(AVERAGE($C37,$E37,$G37,$I37,$K37,$M37,$O37,$Q37,$S37,$U37,#REF!,#REF!,#REF!,#REF!,#REF!),2)+$B37/2&gt;=C37)),($G$5/$B$5),0))))</f>
        <v>0</v>
      </c>
      <c r="E37" s="128">
        <f>IF($E$8="Habilitado",IF($A37="","",ROUND(VLOOKUP($A37,'Presupuesto Consolidado'!$K$12:$P$80,6,FALSE),2)),"")</f>
        <v>3903820</v>
      </c>
      <c r="F37" s="129">
        <f>IF($A37="","",IF(E37="","",IF($K$4="Media aritmética",(E37&lt;=$B37)*($G$5/$B$5)+(E37&gt;$B37)*0,IF(AND(ROUND(AVERAGE($C37,$E37,$G37,$I37,$K37,$M37,$O37,$Q37,$S37,$U37,#REF!,#REF!,#REF!,#REF!,#REF!),2)-$B37/2&lt;=E37,(ROUND(AVERAGE($C37,$E37,$G37,$I37,$K37,$M37,$O37,$Q37,$S37,$U37,#REF!,#REF!,#REF!,#REF!,#REF!),2)+$B37/2&gt;=E37)),($G$5/$B$5),0))))</f>
        <v>0</v>
      </c>
      <c r="G37" s="128">
        <f>IF($G$8="Habilitado",IF($A37="","",ROUND(VLOOKUP($A37,'Presupuesto Consolidado'!$U$12:$Z$80,6,FALSE),2)),"")</f>
        <v>2973548</v>
      </c>
      <c r="H37" s="129">
        <f>IF($A37="","",IF(G37="","",IF($K$4="Media aritmética",(G37&lt;=$B37)*($G$5/$B$5)+(G37&gt;$B37)*0,IF(AND(ROUND(AVERAGE($C37,$E37,$G37,$I37,$K37,$M37,$O37,$Q37,$S37,$U37,#REF!,#REF!,#REF!,#REF!,#REF!),2)-$B37/2&lt;=G37,(ROUND(AVERAGE($C37,$E37,$G37,$I37,$K37,$M37,$O37,$Q37,$S37,$U37,#REF!,#REF!,#REF!,#REF!,#REF!),2)+$B37/2&gt;=G37)),($G$5/$B$5),0))))</f>
        <v>1.8604651162790697</v>
      </c>
      <c r="I37" s="128">
        <f>IF($I$8="Habilitado",IF($A37="","",ROUND(VLOOKUP($A37,'Presupuesto Consolidado'!$AE$12:$AJ$80,6,FALSE),2)),"")</f>
        <v>2907100</v>
      </c>
      <c r="J37" s="129">
        <f>IF($A37="","",IF(I37="","",IF($K$4="Media aritmética",(I37&lt;=$B37)*($G$5/$B$5)+(I37&gt;$B37)*0,IF(AND(ROUND(AVERAGE($C37,$E37,$G37,$I37,$K37,$M37,$O37,$Q37,$S37,$U37,#REF!,#REF!,#REF!,#REF!,#REF!),2)-$B37/2&lt;=I37,(ROUND(AVERAGE($C37,$E37,$G37,$I37,$K37,$M37,$O37,$Q37,$S37,$U37,#REF!,#REF!,#REF!,#REF!,#REF!),2)+$B37/2&gt;=I37)),($G$5/$B$5),0))))</f>
        <v>1.8604651162790697</v>
      </c>
      <c r="K37" s="128">
        <f>IF($K$8="Habilitado",IF($A37="","",ROUND(VLOOKUP($A37,'Presupuesto Consolidado'!$AO$12:$AT$80,6,FALSE),2)),"")</f>
        <v>3430378</v>
      </c>
      <c r="L37" s="129">
        <f>IF($A37="","",IF(K37="","",IF($K$4="Media aritmética",(K37&lt;=$B37)*($G$5/$B$5)+(K37&gt;$B37)*0,IF(AND(ROUND(AVERAGE($C37,$E37,$G37,$I37,$K37,$M37,$O37,$Q37,$S37,$U37,#REF!,#REF!,#REF!,#REF!,#REF!),2)-$B37/2&lt;=K37,(ROUND(AVERAGE($C37,$E37,$G37,$I37,$K37,$M37,$O37,$Q37,$S37,$U37,#REF!,#REF!,#REF!,#REF!,#REF!),2)+$B37/2&gt;=K37)),($G$5/$B$5),0))))</f>
        <v>0</v>
      </c>
      <c r="M37" s="128" t="str">
        <f>IF($M$8="Habilitado",IF($A37="","",ROUND(VLOOKUP($A37,'Presupuesto Consolidado'!$AY$12:$BD$80,6,FALSE),2)),"")</f>
        <v/>
      </c>
      <c r="N37" s="129" t="str">
        <f>IF($A37="","",IF(M37="","",IF($K$4="Media aritmética",(M37&lt;=$B37)*($G$5/$B$5)+(M37&gt;$B37)*0,IF(AND(ROUND(AVERAGE($C37,$E37,$G37,$I37,$K37,$M37,$O37,$Q37,$S37,$U37,#REF!,#REF!,#REF!,#REF!,#REF!),2)-$B37/2&lt;=M37,(ROUND(AVERAGE($C37,$E37,$G37,$I37,$K37,$M37,$O37,$Q37,$S37,$U37,#REF!,#REF!,#REF!,#REF!,#REF!),2)+$B37/2&gt;=M37)),($G$5/$B$5),0))))</f>
        <v/>
      </c>
      <c r="O37" s="128">
        <f>IF($O$8="Habilitado",IF($A37="","",ROUND(VLOOKUP($A37,'Presupuesto Consolidado'!$BI$12:$BN$80,6,FALSE),2)),"")</f>
        <v>3231034</v>
      </c>
      <c r="P37" s="129">
        <f>IF($A37="","",IF(O37="","",IF($K$4="Media aritmética",(O37&lt;=$B37)*($G$5/$B$5)+(O37&gt;$B37)*0,IF(AND(ROUND(AVERAGE($C37,$E37,$G37,$I37,$K37,$M37,$O37,$Q37,$S37,$U37,#REF!,#REF!,#REF!,#REF!,#REF!),2)-$B37/2&lt;=O37,(ROUND(AVERAGE($C37,$E37,$G37,$I37,$K37,$M37,$O37,$Q37,$S37,$U37,#REF!,#REF!,#REF!,#REF!,#REF!),2)+$B37/2&gt;=O37)),($G$5/$B$5),0))))</f>
        <v>1.8604651162790697</v>
      </c>
      <c r="Q37" s="128">
        <f>IF($Q$8="Habilitado",IF($A37="","",ROUND(VLOOKUP($A37,'Presupuesto Consolidado'!$BS$12:$BX$80,6,FALSE),2)),"")</f>
        <v>3388848</v>
      </c>
      <c r="R37" s="129">
        <f>IF($A37="","",IF(Q37="","",IF($K$4="Media aritmética",(Q37&lt;=$B37)*($G$5/$B$5)+(Q37&gt;$B37)*0,IF(AND(ROUND(AVERAGE($C37,$E37,$G37,$I37,$K37,$M37,$O37,$Q37,$S37,$U37,#REF!,#REF!,#REF!,#REF!,#REF!),2)-$B37/2&lt;=Q37,(ROUND(AVERAGE($C37,$E37,$G37,$I37,$K37,$M37,$O37,$Q37,$S37,$U37,#REF!,#REF!,#REF!,#REF!,#REF!),2)+$B37/2&gt;=Q37)),($G$5/$B$5),0))))</f>
        <v>1.8604651162790697</v>
      </c>
      <c r="S37" s="128">
        <f>IF($S$8="Habilitado",IF($A37="","",ROUND(VLOOKUP($A37,'Presupuesto Consolidado'!$CC$12:$CH$80,6,FALSE),2)),"")</f>
        <v>3297482</v>
      </c>
      <c r="T37" s="129">
        <f>IF($A37="","",IF(S37="","",IF($K$4="Media aritmética",(S37&lt;=$B37)*($G$5/$B$5)+(S37&gt;$B37)*0,IF(AND(ROUND(AVERAGE($C37,$E37,$G37,$I37,$K37,$M37,$O37,$Q37,$S37,$U37,#REF!,#REF!,#REF!,#REF!,#REF!),2)-$B37/2&lt;=S37,(ROUND(AVERAGE($C37,$E37,$G37,$I37,$K37,$M37,$O37,$Q37,$S37,$U37,#REF!,#REF!,#REF!,#REF!,#REF!),2)+$B37/2&gt;=S37)),($G$5/$B$5),0))))</f>
        <v>1.8604651162790697</v>
      </c>
      <c r="U37" s="128" t="str">
        <f>IF($U$8="Habilitado",IF($A37="","",ROUND(VLOOKUP($A37,'Presupuesto Consolidado'!$CM$12:$CR$80,6,FALSE),2)),"")</f>
        <v/>
      </c>
      <c r="V37" s="129" t="str">
        <f>IF($A37="","",IF(U37="","",IF($K$4="Media aritmética",(U37&lt;=$B37)*($G$5/$B$5)+(U37&gt;$B37)*0,IF(AND(ROUND(AVERAGE($C37,$E37,$G37,$I37,$K37,$M37,$O37,$Q37,$S37,$U37,#REF!,#REF!,#REF!,#REF!,#REF!),2)-$B37/2&lt;=U37,(ROUND(AVERAGE($C37,$E37,$G37,$I37,$K37,$M37,$O37,$Q37,$S37,$U37,#REF!,#REF!,#REF!,#REF!,#REF!),2)+$B37/2&gt;=U37)),($G$5/$B$5),0))))</f>
        <v/>
      </c>
    </row>
    <row r="38" spans="1:26" s="122" customFormat="1" ht="21" customHeight="1">
      <c r="A38" s="256" t="str">
        <f>+'Presupuesto Consolidado'!A15</f>
        <v>1.4</v>
      </c>
      <c r="B38" s="127">
        <f t="shared" si="9"/>
        <v>44020.5</v>
      </c>
      <c r="C38" s="128">
        <f>IF($C$8="Habilitado",IF($A38="","",ROUND(VLOOKUP($A38,'Presupuesto Consolidado'!$A$12:$F$80,6,FALSE),2)),"")</f>
        <v>36000</v>
      </c>
      <c r="D38" s="129">
        <f>IF($A38="","",IF(C38="","",IF($K$4="Media aritmética",(C38&lt;=$B38)*($G$5/$B$5)+(C38&gt;$B38)*0,IF(AND(ROUND(AVERAGE($C38,$E38,$G38,$I38,$K38,$M38,$O38,$Q38,$S38,$U38,#REF!,#REF!,#REF!,#REF!,#REF!),2)-$B38/2&lt;=C38,(ROUND(AVERAGE($C38,$E38,$G38,$I38,$K38,$M38,$O38,$Q38,$S38,$U38,#REF!,#REF!,#REF!,#REF!,#REF!),2)+$B38/2&gt;=C38)),($G$5/$B$5),0))))</f>
        <v>1.8604651162790697</v>
      </c>
      <c r="E38" s="128">
        <f>IF($E$8="Habilitado",IF($A38="","",ROUND(VLOOKUP($A38,'Presupuesto Consolidado'!$K$12:$P$80,6,FALSE),2)),"")</f>
        <v>36000</v>
      </c>
      <c r="F38" s="129">
        <f>IF($A38="","",IF(E38="","",IF($K$4="Media aritmética",(E38&lt;=$B38)*($G$5/$B$5)+(E38&gt;$B38)*0,IF(AND(ROUND(AVERAGE($C38,$E38,$G38,$I38,$K38,$M38,$O38,$Q38,$S38,$U38,#REF!,#REF!,#REF!,#REF!,#REF!),2)-$B38/2&lt;=E38,(ROUND(AVERAGE($C38,$E38,$G38,$I38,$K38,$M38,$O38,$Q38,$S38,$U38,#REF!,#REF!,#REF!,#REF!,#REF!),2)+$B38/2&gt;=E38)),($G$5/$B$5),0))))</f>
        <v>1.8604651162790697</v>
      </c>
      <c r="G38" s="128">
        <f>IF($G$8="Habilitado",IF($A38="","",ROUND(VLOOKUP($A38,'Presupuesto Consolidado'!$U$12:$Z$80,6,FALSE),2)),"")</f>
        <v>52764</v>
      </c>
      <c r="H38" s="129">
        <f>IF($A38="","",IF(G38="","",IF($K$4="Media aritmética",(G38&lt;=$B38)*($G$5/$B$5)+(G38&gt;$B38)*0,IF(AND(ROUND(AVERAGE($C38,$E38,$G38,$I38,$K38,$M38,$O38,$Q38,$S38,$U38,#REF!,#REF!,#REF!,#REF!,#REF!),2)-$B38/2&lt;=G38,(ROUND(AVERAGE($C38,$E38,$G38,$I38,$K38,$M38,$O38,$Q38,$S38,$U38,#REF!,#REF!,#REF!,#REF!,#REF!),2)+$B38/2&gt;=G38)),($G$5/$B$5),0))))</f>
        <v>0</v>
      </c>
      <c r="I38" s="128">
        <f>IF($I$8="Habilitado",IF($A38="","",ROUND(VLOOKUP($A38,'Presupuesto Consolidado'!$AE$12:$AJ$80,6,FALSE),2)),"")</f>
        <v>66000</v>
      </c>
      <c r="J38" s="129">
        <f>IF($A38="","",IF(I38="","",IF($K$4="Media aritmética",(I38&lt;=$B38)*($G$5/$B$5)+(I38&gt;$B38)*0,IF(AND(ROUND(AVERAGE($C38,$E38,$G38,$I38,$K38,$M38,$O38,$Q38,$S38,$U38,#REF!,#REF!,#REF!,#REF!,#REF!),2)-$B38/2&lt;=I38,(ROUND(AVERAGE($C38,$E38,$G38,$I38,$K38,$M38,$O38,$Q38,$S38,$U38,#REF!,#REF!,#REF!,#REF!,#REF!),2)+$B38/2&gt;=I38)),($G$5/$B$5),0))))</f>
        <v>0</v>
      </c>
      <c r="K38" s="128">
        <f>IF($K$8="Habilitado",IF($A38="","",ROUND(VLOOKUP($A38,'Presupuesto Consolidado'!$AO$12:$AT$80,6,FALSE),2)),"")</f>
        <v>42900</v>
      </c>
      <c r="L38" s="129">
        <f>IF($A38="","",IF(K38="","",IF($K$4="Media aritmética",(K38&lt;=$B38)*($G$5/$B$5)+(K38&gt;$B38)*0,IF(AND(ROUND(AVERAGE($C38,$E38,$G38,$I38,$K38,$M38,$O38,$Q38,$S38,$U38,#REF!,#REF!,#REF!,#REF!,#REF!),2)-$B38/2&lt;=K38,(ROUND(AVERAGE($C38,$E38,$G38,$I38,$K38,$M38,$O38,$Q38,$S38,$U38,#REF!,#REF!,#REF!,#REF!,#REF!),2)+$B38/2&gt;=K38)),($G$5/$B$5),0))))</f>
        <v>1.8604651162790697</v>
      </c>
      <c r="M38" s="128" t="str">
        <f>IF($M$8="Habilitado",IF($A38="","",ROUND(VLOOKUP($A38,'Presupuesto Consolidado'!$AY$12:$BD$80,6,FALSE),2)),"")</f>
        <v/>
      </c>
      <c r="N38" s="129" t="str">
        <f>IF($A38="","",IF(M38="","",IF($K$4="Media aritmética",(M38&lt;=$B38)*($G$5/$B$5)+(M38&gt;$B38)*0,IF(AND(ROUND(AVERAGE($C38,$E38,$G38,$I38,$K38,$M38,$O38,$Q38,$S38,$U38,#REF!,#REF!,#REF!,#REF!,#REF!),2)-$B38/2&lt;=M38,(ROUND(AVERAGE($C38,$E38,$G38,$I38,$K38,$M38,$O38,$Q38,$S38,$U38,#REF!,#REF!,#REF!,#REF!,#REF!),2)+$B38/2&gt;=M38)),($G$5/$B$5),0))))</f>
        <v/>
      </c>
      <c r="O38" s="128">
        <f>IF($O$8="Habilitado",IF($A38="","",ROUND(VLOOKUP($A38,'Presupuesto Consolidado'!$BI$12:$BN$80,6,FALSE),2)),"")</f>
        <v>39300</v>
      </c>
      <c r="P38" s="129">
        <f>IF($A38="","",IF(O38="","",IF($K$4="Media aritmética",(O38&lt;=$B38)*($G$5/$B$5)+(O38&gt;$B38)*0,IF(AND(ROUND(AVERAGE($C38,$E38,$G38,$I38,$K38,$M38,$O38,$Q38,$S38,$U38,#REF!,#REF!,#REF!,#REF!,#REF!),2)-$B38/2&lt;=O38,(ROUND(AVERAGE($C38,$E38,$G38,$I38,$K38,$M38,$O38,$Q38,$S38,$U38,#REF!,#REF!,#REF!,#REF!,#REF!),2)+$B38/2&gt;=O38)),($G$5/$B$5),0))))</f>
        <v>1.8604651162790697</v>
      </c>
      <c r="Q38" s="128">
        <f>IF($Q$8="Habilitado",IF($A38="","",ROUND(VLOOKUP($A38,'Presupuesto Consolidado'!$BS$12:$BX$80,6,FALSE),2)),"")</f>
        <v>41700</v>
      </c>
      <c r="R38" s="129">
        <f>IF($A38="","",IF(Q38="","",IF($K$4="Media aritmética",(Q38&lt;=$B38)*($G$5/$B$5)+(Q38&gt;$B38)*0,IF(AND(ROUND(AVERAGE($C38,$E38,$G38,$I38,$K38,$M38,$O38,$Q38,$S38,$U38,#REF!,#REF!,#REF!,#REF!,#REF!),2)-$B38/2&lt;=Q38,(ROUND(AVERAGE($C38,$E38,$G38,$I38,$K38,$M38,$O38,$Q38,$S38,$U38,#REF!,#REF!,#REF!,#REF!,#REF!),2)+$B38/2&gt;=Q38)),($G$5/$B$5),0))))</f>
        <v>1.8604651162790697</v>
      </c>
      <c r="S38" s="128">
        <f>IF($S$8="Habilitado",IF($A38="","",ROUND(VLOOKUP($A38,'Presupuesto Consolidado'!$CC$12:$CH$80,6,FALSE),2)),"")</f>
        <v>37500</v>
      </c>
      <c r="T38" s="129">
        <f>IF($A38="","",IF(S38="","",IF($K$4="Media aritmética",(S38&lt;=$B38)*($G$5/$B$5)+(S38&gt;$B38)*0,IF(AND(ROUND(AVERAGE($C38,$E38,$G38,$I38,$K38,$M38,$O38,$Q38,$S38,$U38,#REF!,#REF!,#REF!,#REF!,#REF!),2)-$B38/2&lt;=S38,(ROUND(AVERAGE($C38,$E38,$G38,$I38,$K38,$M38,$O38,$Q38,$S38,$U38,#REF!,#REF!,#REF!,#REF!,#REF!),2)+$B38/2&gt;=S38)),($G$5/$B$5),0))))</f>
        <v>1.8604651162790697</v>
      </c>
      <c r="U38" s="128" t="str">
        <f>IF($U$8="Habilitado",IF($A38="","",ROUND(VLOOKUP($A38,'Presupuesto Consolidado'!$CM$12:$CR$80,6,FALSE),2)),"")</f>
        <v/>
      </c>
      <c r="V38" s="129" t="str">
        <f>IF($A38="","",IF(U38="","",IF($K$4="Media aritmética",(U38&lt;=$B38)*($G$5/$B$5)+(U38&gt;$B38)*0,IF(AND(ROUND(AVERAGE($C38,$E38,$G38,$I38,$K38,$M38,$O38,$Q38,$S38,$U38,#REF!,#REF!,#REF!,#REF!,#REF!),2)-$B38/2&lt;=U38,(ROUND(AVERAGE($C38,$E38,$G38,$I38,$K38,$M38,$O38,$Q38,$S38,$U38,#REF!,#REF!,#REF!,#REF!,#REF!),2)+$B38/2&gt;=U38)),($G$5/$B$5),0))))</f>
        <v/>
      </c>
    </row>
    <row r="39" spans="1:26" s="122" customFormat="1" ht="21" customHeight="1">
      <c r="A39" s="256" t="str">
        <f>+'Presupuesto Consolidado'!A16</f>
        <v>1.5</v>
      </c>
      <c r="B39" s="127">
        <f t="shared" si="9"/>
        <v>830352.13</v>
      </c>
      <c r="C39" s="128">
        <f>IF($C$8="Habilitado",IF($A39="","",ROUND(VLOOKUP($A39,'Presupuesto Consolidado'!$A$12:$F$80,6,FALSE),2)),"")</f>
        <v>633420</v>
      </c>
      <c r="D39" s="129">
        <f>IF($A39="","",IF(C39="","",IF($K$4="Media aritmética",(C39&lt;=$B39)*($G$5/$B$5)+(C39&gt;$B39)*0,IF(AND(ROUND(AVERAGE($C39,$E39,$G39,$I39,$K39,$M39,$O39,$Q39,$S39,$U39,#REF!,#REF!,#REF!,#REF!,#REF!),2)-$B39/2&lt;=C39,(ROUND(AVERAGE($C39,$E39,$G39,$I39,$K39,$M39,$O39,$Q39,$S39,$U39,#REF!,#REF!,#REF!,#REF!,#REF!),2)+$B39/2&gt;=C39)),($G$5/$B$5),0))))</f>
        <v>1.8604651162790697</v>
      </c>
      <c r="E39" s="128">
        <f>IF($E$8="Habilitado",IF($A39="","",ROUND(VLOOKUP($A39,'Presupuesto Consolidado'!$K$12:$P$80,6,FALSE),2)),"")</f>
        <v>1055700</v>
      </c>
      <c r="F39" s="129">
        <f>IF($A39="","",IF(E39="","",IF($K$4="Media aritmética",(E39&lt;=$B39)*($G$5/$B$5)+(E39&gt;$B39)*0,IF(AND(ROUND(AVERAGE($C39,$E39,$G39,$I39,$K39,$M39,$O39,$Q39,$S39,$U39,#REF!,#REF!,#REF!,#REF!,#REF!),2)-$B39/2&lt;=E39,(ROUND(AVERAGE($C39,$E39,$G39,$I39,$K39,$M39,$O39,$Q39,$S39,$U39,#REF!,#REF!,#REF!,#REF!,#REF!),2)+$B39/2&gt;=E39)),($G$5/$B$5),0))))</f>
        <v>0</v>
      </c>
      <c r="G39" s="128">
        <f>IF($G$8="Habilitado",IF($A39="","",ROUND(VLOOKUP($A39,'Presupuesto Consolidado'!$U$12:$Z$80,6,FALSE),2)),"")</f>
        <v>1243263</v>
      </c>
      <c r="H39" s="129">
        <f>IF($A39="","",IF(G39="","",IF($K$4="Media aritmética",(G39&lt;=$B39)*($G$5/$B$5)+(G39&gt;$B39)*0,IF(AND(ROUND(AVERAGE($C39,$E39,$G39,$I39,$K39,$M39,$O39,$Q39,$S39,$U39,#REF!,#REF!,#REF!,#REF!,#REF!),2)-$B39/2&lt;=G39,(ROUND(AVERAGE($C39,$E39,$G39,$I39,$K39,$M39,$O39,$Q39,$S39,$U39,#REF!,#REF!,#REF!,#REF!,#REF!),2)+$B39/2&gt;=G39)),($G$5/$B$5),0))))</f>
        <v>0</v>
      </c>
      <c r="I39" s="128">
        <f>IF($I$8="Habilitado",IF($A39="","",ROUND(VLOOKUP($A39,'Presupuesto Consolidado'!$AE$12:$AJ$80,6,FALSE),2)),"")</f>
        <v>1055700</v>
      </c>
      <c r="J39" s="129">
        <f>IF($A39="","",IF(I39="","",IF($K$4="Media aritmética",(I39&lt;=$B39)*($G$5/$B$5)+(I39&gt;$B39)*0,IF(AND(ROUND(AVERAGE($C39,$E39,$G39,$I39,$K39,$M39,$O39,$Q39,$S39,$U39,#REF!,#REF!,#REF!,#REF!,#REF!),2)-$B39/2&lt;=I39,(ROUND(AVERAGE($C39,$E39,$G39,$I39,$K39,$M39,$O39,$Q39,$S39,$U39,#REF!,#REF!,#REF!,#REF!,#REF!),2)+$B39/2&gt;=I39)),($G$5/$B$5),0))))</f>
        <v>0</v>
      </c>
      <c r="K39" s="128">
        <f>IF($K$8="Habilitado",IF($A39="","",ROUND(VLOOKUP($A39,'Presupuesto Consolidado'!$AO$12:$AT$80,6,FALSE),2)),"")</f>
        <v>689724</v>
      </c>
      <c r="L39" s="129">
        <f>IF($A39="","",IF(K39="","",IF($K$4="Media aritmética",(K39&lt;=$B39)*($G$5/$B$5)+(K39&gt;$B39)*0,IF(AND(ROUND(AVERAGE($C39,$E39,$G39,$I39,$K39,$M39,$O39,$Q39,$S39,$U39,#REF!,#REF!,#REF!,#REF!,#REF!),2)-$B39/2&lt;=K39,(ROUND(AVERAGE($C39,$E39,$G39,$I39,$K39,$M39,$O39,$Q39,$S39,$U39,#REF!,#REF!,#REF!,#REF!,#REF!),2)+$B39/2&gt;=K39)),($G$5/$B$5),0))))</f>
        <v>1.8604651162790697</v>
      </c>
      <c r="M39" s="128" t="str">
        <f>IF($M$8="Habilitado",IF($A39="","",ROUND(VLOOKUP($A39,'Presupuesto Consolidado'!$AY$12:$BD$80,6,FALSE),2)),"")</f>
        <v/>
      </c>
      <c r="N39" s="129" t="str">
        <f>IF($A39="","",IF(M39="","",IF($K$4="Media aritmética",(M39&lt;=$B39)*($G$5/$B$5)+(M39&gt;$B39)*0,IF(AND(ROUND(AVERAGE($C39,$E39,$G39,$I39,$K39,$M39,$O39,$Q39,$S39,$U39,#REF!,#REF!,#REF!,#REF!,#REF!),2)-$B39/2&lt;=M39,(ROUND(AVERAGE($C39,$E39,$G39,$I39,$K39,$M39,$O39,$Q39,$S39,$U39,#REF!,#REF!,#REF!,#REF!,#REF!),2)+$B39/2&gt;=M39)),($G$5/$B$5),0))))</f>
        <v/>
      </c>
      <c r="O39" s="128">
        <f>IF($O$8="Habilitado",IF($A39="","",ROUND(VLOOKUP($A39,'Presupuesto Consolidado'!$BI$12:$BN$80,6,FALSE),2)),"")</f>
        <v>640458</v>
      </c>
      <c r="P39" s="129">
        <f>IF($A39="","",IF(O39="","",IF($K$4="Media aritmética",(O39&lt;=$B39)*($G$5/$B$5)+(O39&gt;$B39)*0,IF(AND(ROUND(AVERAGE($C39,$E39,$G39,$I39,$K39,$M39,$O39,$Q39,$S39,$U39,#REF!,#REF!,#REF!,#REF!,#REF!),2)-$B39/2&lt;=O39,(ROUND(AVERAGE($C39,$E39,$G39,$I39,$K39,$M39,$O39,$Q39,$S39,$U39,#REF!,#REF!,#REF!,#REF!,#REF!),2)+$B39/2&gt;=O39)),($G$5/$B$5),0))))</f>
        <v>1.8604651162790697</v>
      </c>
      <c r="Q39" s="128">
        <f>IF($Q$8="Habilitado",IF($A39="","",ROUND(VLOOKUP($A39,'Presupuesto Consolidado'!$BS$12:$BX$80,6,FALSE),2)),"")</f>
        <v>668610</v>
      </c>
      <c r="R39" s="129">
        <f>IF($A39="","",IF(Q39="","",IF($K$4="Media aritmética",(Q39&lt;=$B39)*($G$5/$B$5)+(Q39&gt;$B39)*0,IF(AND(ROUND(AVERAGE($C39,$E39,$G39,$I39,$K39,$M39,$O39,$Q39,$S39,$U39,#REF!,#REF!,#REF!,#REF!,#REF!),2)-$B39/2&lt;=Q39,(ROUND(AVERAGE($C39,$E39,$G39,$I39,$K39,$M39,$O39,$Q39,$S39,$U39,#REF!,#REF!,#REF!,#REF!,#REF!),2)+$B39/2&gt;=Q39)),($G$5/$B$5),0))))</f>
        <v>1.8604651162790697</v>
      </c>
      <c r="S39" s="128">
        <f>IF($S$8="Habilitado",IF($A39="","",ROUND(VLOOKUP($A39,'Presupuesto Consolidado'!$CC$12:$CH$80,6,FALSE),2)),"")</f>
        <v>655942</v>
      </c>
      <c r="T39" s="129">
        <f>IF($A39="","",IF(S39="","",IF($K$4="Media aritmética",(S39&lt;=$B39)*($G$5/$B$5)+(S39&gt;$B39)*0,IF(AND(ROUND(AVERAGE($C39,$E39,$G39,$I39,$K39,$M39,$O39,$Q39,$S39,$U39,#REF!,#REF!,#REF!,#REF!,#REF!),2)-$B39/2&lt;=S39,(ROUND(AVERAGE($C39,$E39,$G39,$I39,$K39,$M39,$O39,$Q39,$S39,$U39,#REF!,#REF!,#REF!,#REF!,#REF!),2)+$B39/2&gt;=S39)),($G$5/$B$5),0))))</f>
        <v>1.8604651162790697</v>
      </c>
      <c r="U39" s="128" t="str">
        <f>IF($U$8="Habilitado",IF($A39="","",ROUND(VLOOKUP($A39,'Presupuesto Consolidado'!$CM$12:$CR$80,6,FALSE),2)),"")</f>
        <v/>
      </c>
      <c r="V39" s="129" t="str">
        <f>IF($A39="","",IF(U39="","",IF($K$4="Media aritmética",(U39&lt;=$B39)*($G$5/$B$5)+(U39&gt;$B39)*0,IF(AND(ROUND(AVERAGE($C39,$E39,$G39,$I39,$K39,$M39,$O39,$Q39,$S39,$U39,#REF!,#REF!,#REF!,#REF!,#REF!),2)-$B39/2&lt;=U39,(ROUND(AVERAGE($C39,$E39,$G39,$I39,$K39,$M39,$O39,$Q39,$S39,$U39,#REF!,#REF!,#REF!,#REF!,#REF!),2)+$B39/2&gt;=U39)),($G$5/$B$5),0))))</f>
        <v/>
      </c>
    </row>
    <row r="40" spans="1:26" s="122" customFormat="1" ht="21" customHeight="1">
      <c r="A40" s="256" t="str">
        <f>+'Presupuesto Consolidado'!A17</f>
        <v>1.6</v>
      </c>
      <c r="B40" s="127">
        <f t="shared" si="9"/>
        <v>779031</v>
      </c>
      <c r="C40" s="128">
        <f>IF($C$8="Habilitado",IF($A40="","",ROUND(VLOOKUP($A40,'Presupuesto Consolidado'!$A$12:$F$80,6,FALSE),2)),"")</f>
        <v>971800</v>
      </c>
      <c r="D40" s="129">
        <f>IF($A40="","",IF(C40="","",IF($K$4="Media aritmética",(C40&lt;=$B40)*($G$5/$B$5)+(C40&gt;$B40)*0,IF(AND(ROUND(AVERAGE($C40,$E40,$G40,$I40,$K40,$M40,$O40,$Q40,$S40,$U40,#REF!,#REF!,#REF!,#REF!,#REF!),2)-$B40/2&lt;=C40,(ROUND(AVERAGE($C40,$E40,$G40,$I40,$K40,$M40,$O40,$Q40,$S40,$U40,#REF!,#REF!,#REF!,#REF!,#REF!),2)+$B40/2&gt;=C40)),($G$5/$B$5),0))))</f>
        <v>0</v>
      </c>
      <c r="E40" s="128">
        <f>IF($E$8="Habilitado",IF($A40="","",ROUND(VLOOKUP($A40,'Presupuesto Consolidado'!$K$12:$P$80,6,FALSE),2)),"")</f>
        <v>1376000</v>
      </c>
      <c r="F40" s="129">
        <f>IF($A40="","",IF(E40="","",IF($K$4="Media aritmética",(E40&lt;=$B40)*($G$5/$B$5)+(E40&gt;$B40)*0,IF(AND(ROUND(AVERAGE($C40,$E40,$G40,$I40,$K40,$M40,$O40,$Q40,$S40,$U40,#REF!,#REF!,#REF!,#REF!,#REF!),2)-$B40/2&lt;=E40,(ROUND(AVERAGE($C40,$E40,$G40,$I40,$K40,$M40,$O40,$Q40,$S40,$U40,#REF!,#REF!,#REF!,#REF!,#REF!),2)+$B40/2&gt;=E40)),($G$5/$B$5),0))))</f>
        <v>0</v>
      </c>
      <c r="G40" s="128">
        <f>IF($G$8="Habilitado",IF($A40="","",ROUND(VLOOKUP($A40,'Presupuesto Consolidado'!$U$12:$Z$80,6,FALSE),2)),"")</f>
        <v>1085148</v>
      </c>
      <c r="H40" s="129">
        <f>IF($A40="","",IF(G40="","",IF($K$4="Media aritmética",(G40&lt;=$B40)*($G$5/$B$5)+(G40&gt;$B40)*0,IF(AND(ROUND(AVERAGE($C40,$E40,$G40,$I40,$K40,$M40,$O40,$Q40,$S40,$U40,#REF!,#REF!,#REF!,#REF!,#REF!),2)-$B40/2&lt;=G40,(ROUND(AVERAGE($C40,$E40,$G40,$I40,$K40,$M40,$O40,$Q40,$S40,$U40,#REF!,#REF!,#REF!,#REF!,#REF!),2)+$B40/2&gt;=G40)),($G$5/$B$5),0))))</f>
        <v>0</v>
      </c>
      <c r="I40" s="128">
        <f>IF($I$8="Habilitado",IF($A40="","",ROUND(VLOOKUP($A40,'Presupuesto Consolidado'!$AE$12:$AJ$80,6,FALSE),2)),"")</f>
        <v>774000</v>
      </c>
      <c r="J40" s="129">
        <f>IF($A40="","",IF(I40="","",IF($K$4="Media aritmética",(I40&lt;=$B40)*($G$5/$B$5)+(I40&gt;$B40)*0,IF(AND(ROUND(AVERAGE($C40,$E40,$G40,$I40,$K40,$M40,$O40,$Q40,$S40,$U40,#REF!,#REF!,#REF!,#REF!,#REF!),2)-$B40/2&lt;=I40,(ROUND(AVERAGE($C40,$E40,$G40,$I40,$K40,$M40,$O40,$Q40,$S40,$U40,#REF!,#REF!,#REF!,#REF!,#REF!),2)+$B40/2&gt;=I40)),($G$5/$B$5),0))))</f>
        <v>1.8604651162790697</v>
      </c>
      <c r="K40" s="128">
        <f>IF($K$8="Habilitado",IF($A40="","",ROUND(VLOOKUP($A40,'Presupuesto Consolidado'!$AO$12:$AT$80,6,FALSE),2)),"")</f>
        <v>528900</v>
      </c>
      <c r="L40" s="129">
        <f>IF($A40="","",IF(K40="","",IF($K$4="Media aritmética",(K40&lt;=$B40)*($G$5/$B$5)+(K40&gt;$B40)*0,IF(AND(ROUND(AVERAGE($C40,$E40,$G40,$I40,$K40,$M40,$O40,$Q40,$S40,$U40,#REF!,#REF!,#REF!,#REF!,#REF!),2)-$B40/2&lt;=K40,(ROUND(AVERAGE($C40,$E40,$G40,$I40,$K40,$M40,$O40,$Q40,$S40,$U40,#REF!,#REF!,#REF!,#REF!,#REF!),2)+$B40/2&gt;=K40)),($G$5/$B$5),0))))</f>
        <v>1.8604651162790697</v>
      </c>
      <c r="M40" s="128" t="str">
        <f>IF($M$8="Habilitado",IF($A40="","",ROUND(VLOOKUP($A40,'Presupuesto Consolidado'!$AY$12:$BD$80,6,FALSE),2)),"")</f>
        <v/>
      </c>
      <c r="N40" s="129" t="str">
        <f>IF($A40="","",IF(M40="","",IF($K$4="Media aritmética",(M40&lt;=$B40)*($G$5/$B$5)+(M40&gt;$B40)*0,IF(AND(ROUND(AVERAGE($C40,$E40,$G40,$I40,$K40,$M40,$O40,$Q40,$S40,$U40,#REF!,#REF!,#REF!,#REF!,#REF!),2)-$B40/2&lt;=M40,(ROUND(AVERAGE($C40,$E40,$G40,$I40,$K40,$M40,$O40,$Q40,$S40,$U40,#REF!,#REF!,#REF!,#REF!,#REF!),2)+$B40/2&gt;=M40)),($G$5/$B$5),0))))</f>
        <v/>
      </c>
      <c r="O40" s="128">
        <f>IF($O$8="Habilitado",IF($A40="","",ROUND(VLOOKUP($A40,'Presupuesto Consolidado'!$BI$12:$BN$80,6,FALSE),2)),"")</f>
        <v>468700</v>
      </c>
      <c r="P40" s="129">
        <f>IF($A40="","",IF(O40="","",IF($K$4="Media aritmética",(O40&lt;=$B40)*($G$5/$B$5)+(O40&gt;$B40)*0,IF(AND(ROUND(AVERAGE($C40,$E40,$G40,$I40,$K40,$M40,$O40,$Q40,$S40,$U40,#REF!,#REF!,#REF!,#REF!,#REF!),2)-$B40/2&lt;=O40,(ROUND(AVERAGE($C40,$E40,$G40,$I40,$K40,$M40,$O40,$Q40,$S40,$U40,#REF!,#REF!,#REF!,#REF!,#REF!),2)+$B40/2&gt;=O40)),($G$5/$B$5),0))))</f>
        <v>1.8604651162790697</v>
      </c>
      <c r="Q40" s="128">
        <f>IF($Q$8="Habilitado",IF($A40="","",ROUND(VLOOKUP($A40,'Presupuesto Consolidado'!$BS$12:$BX$80,6,FALSE),2)),"")</f>
        <v>520300</v>
      </c>
      <c r="R40" s="129">
        <f>IF($A40="","",IF(Q40="","",IF($K$4="Media aritmética",(Q40&lt;=$B40)*($G$5/$B$5)+(Q40&gt;$B40)*0,IF(AND(ROUND(AVERAGE($C40,$E40,$G40,$I40,$K40,$M40,$O40,$Q40,$S40,$U40,#REF!,#REF!,#REF!,#REF!,#REF!),2)-$B40/2&lt;=Q40,(ROUND(AVERAGE($C40,$E40,$G40,$I40,$K40,$M40,$O40,$Q40,$S40,$U40,#REF!,#REF!,#REF!,#REF!,#REF!),2)+$B40/2&gt;=Q40)),($G$5/$B$5),0))))</f>
        <v>1.8604651162790697</v>
      </c>
      <c r="S40" s="128">
        <f>IF($S$8="Habilitado",IF($A40="","",ROUND(VLOOKUP($A40,'Presupuesto Consolidado'!$CC$12:$CH$80,6,FALSE),2)),"")</f>
        <v>507400</v>
      </c>
      <c r="T40" s="129">
        <f>IF($A40="","",IF(S40="","",IF($K$4="Media aritmética",(S40&lt;=$B40)*($G$5/$B$5)+(S40&gt;$B40)*0,IF(AND(ROUND(AVERAGE($C40,$E40,$G40,$I40,$K40,$M40,$O40,$Q40,$S40,$U40,#REF!,#REF!,#REF!,#REF!,#REF!),2)-$B40/2&lt;=S40,(ROUND(AVERAGE($C40,$E40,$G40,$I40,$K40,$M40,$O40,$Q40,$S40,$U40,#REF!,#REF!,#REF!,#REF!,#REF!),2)+$B40/2&gt;=S40)),($G$5/$B$5),0))))</f>
        <v>1.8604651162790697</v>
      </c>
      <c r="U40" s="128" t="str">
        <f>IF($U$8="Habilitado",IF($A40="","",ROUND(VLOOKUP($A40,'Presupuesto Consolidado'!$CM$12:$CR$80,6,FALSE),2)),"")</f>
        <v/>
      </c>
      <c r="V40" s="129" t="str">
        <f>IF($A40="","",IF(U40="","",IF($K$4="Media aritmética",(U40&lt;=$B40)*($G$5/$B$5)+(U40&gt;$B40)*0,IF(AND(ROUND(AVERAGE($C40,$E40,$G40,$I40,$K40,$M40,$O40,$Q40,$S40,$U40,#REF!,#REF!,#REF!,#REF!,#REF!),2)-$B40/2&lt;=U40,(ROUND(AVERAGE($C40,$E40,$G40,$I40,$K40,$M40,$O40,$Q40,$S40,$U40,#REF!,#REF!,#REF!,#REF!,#REF!),2)+$B40/2&gt;=U40)),($G$5/$B$5),0))))</f>
        <v/>
      </c>
    </row>
    <row r="41" spans="1:26" s="122" customFormat="1" ht="21" customHeight="1">
      <c r="A41" s="256" t="str">
        <f>+'Presupuesto Consolidado'!A18</f>
        <v>1.7</v>
      </c>
      <c r="B41" s="127">
        <f t="shared" si="9"/>
        <v>1065922.3799999999</v>
      </c>
      <c r="C41" s="128">
        <f>IF($C$8="Habilitado",IF($A41="","",ROUND(VLOOKUP($A41,'Presupuesto Consolidado'!$A$12:$F$80,6,FALSE),2)),"")</f>
        <v>991134</v>
      </c>
      <c r="D41" s="129">
        <f>IF($A41="","",IF(C41="","",IF($K$4="Media aritmética",(C41&lt;=$B41)*($G$5/$B$5)+(C41&gt;$B41)*0,IF(AND(ROUND(AVERAGE($C41,$E41,$G41,$I41,$K41,$M41,$O41,$Q41,$S41,$U41,#REF!,#REF!,#REF!,#REF!,#REF!),2)-$B41/2&lt;=C41,(ROUND(AVERAGE($C41,$E41,$G41,$I41,$K41,$M41,$O41,$Q41,$S41,$U41,#REF!,#REF!,#REF!,#REF!,#REF!),2)+$B41/2&gt;=C41)),($G$5/$B$5),0))))</f>
        <v>1.8604651162790697</v>
      </c>
      <c r="E41" s="128">
        <f>IF($E$8="Habilitado",IF($A41="","",ROUND(VLOOKUP($A41,'Presupuesto Consolidado'!$K$12:$P$80,6,FALSE),2)),"")</f>
        <v>1051569</v>
      </c>
      <c r="F41" s="129">
        <f>IF($A41="","",IF(E41="","",IF($K$4="Media aritmética",(E41&lt;=$B41)*($G$5/$B$5)+(E41&gt;$B41)*0,IF(AND(ROUND(AVERAGE($C41,$E41,$G41,$I41,$K41,$M41,$O41,$Q41,$S41,$U41,#REF!,#REF!,#REF!,#REF!,#REF!),2)-$B41/2&lt;=E41,(ROUND(AVERAGE($C41,$E41,$G41,$I41,$K41,$M41,$O41,$Q41,$S41,$U41,#REF!,#REF!,#REF!,#REF!,#REF!),2)+$B41/2&gt;=E41)),($G$5/$B$5),0))))</f>
        <v>1.8604651162790697</v>
      </c>
      <c r="G41" s="128">
        <f>IF($G$8="Habilitado",IF($A41="","",ROUND(VLOOKUP($A41,'Presupuesto Consolidado'!$U$12:$Z$80,6,FALSE),2)),"")</f>
        <v>1148265</v>
      </c>
      <c r="H41" s="129">
        <f>IF($A41="","",IF(G41="","",IF($K$4="Media aritmética",(G41&lt;=$B41)*($G$5/$B$5)+(G41&gt;$B41)*0,IF(AND(ROUND(AVERAGE($C41,$E41,$G41,$I41,$K41,$M41,$O41,$Q41,$S41,$U41,#REF!,#REF!,#REF!,#REF!,#REF!),2)-$B41/2&lt;=G41,(ROUND(AVERAGE($C41,$E41,$G41,$I41,$K41,$M41,$O41,$Q41,$S41,$U41,#REF!,#REF!,#REF!,#REF!,#REF!),2)+$B41/2&gt;=G41)),($G$5/$B$5),0))))</f>
        <v>0</v>
      </c>
      <c r="I41" s="128">
        <f>IF($I$8="Habilitado",IF($A41="","",ROUND(VLOOKUP($A41,'Presupuesto Consolidado'!$AE$12:$AJ$80,6,FALSE),2)),"")</f>
        <v>1450440</v>
      </c>
      <c r="J41" s="129">
        <f>IF($A41="","",IF(I41="","",IF($K$4="Media aritmética",(I41&lt;=$B41)*($G$5/$B$5)+(I41&gt;$B41)*0,IF(AND(ROUND(AVERAGE($C41,$E41,$G41,$I41,$K41,$M41,$O41,$Q41,$S41,$U41,#REF!,#REF!,#REF!,#REF!,#REF!),2)-$B41/2&lt;=I41,(ROUND(AVERAGE($C41,$E41,$G41,$I41,$K41,$M41,$O41,$Q41,$S41,$U41,#REF!,#REF!,#REF!,#REF!,#REF!),2)+$B41/2&gt;=I41)),($G$5/$B$5),0))))</f>
        <v>0</v>
      </c>
      <c r="K41" s="128">
        <f>IF($K$8="Habilitado",IF($A41="","",ROUND(VLOOKUP($A41,'Presupuesto Consolidado'!$AO$12:$AT$80,6,FALSE),2)),"")</f>
        <v>966960</v>
      </c>
      <c r="L41" s="129">
        <f>IF($A41="","",IF(K41="","",IF($K$4="Media aritmética",(K41&lt;=$B41)*($G$5/$B$5)+(K41&gt;$B41)*0,IF(AND(ROUND(AVERAGE($C41,$E41,$G41,$I41,$K41,$M41,$O41,$Q41,$S41,$U41,#REF!,#REF!,#REF!,#REF!,#REF!),2)-$B41/2&lt;=K41,(ROUND(AVERAGE($C41,$E41,$G41,$I41,$K41,$M41,$O41,$Q41,$S41,$U41,#REF!,#REF!,#REF!,#REF!,#REF!),2)+$B41/2&gt;=K41)),($G$5/$B$5),0))))</f>
        <v>1.8604651162790697</v>
      </c>
      <c r="M41" s="128" t="str">
        <f>IF($M$8="Habilitado",IF($A41="","",ROUND(VLOOKUP($A41,'Presupuesto Consolidado'!$AY$12:$BD$80,6,FALSE),2)),"")</f>
        <v/>
      </c>
      <c r="N41" s="129" t="str">
        <f>IF($A41="","",IF(M41="","",IF($K$4="Media aritmética",(M41&lt;=$B41)*($G$5/$B$5)+(M41&gt;$B41)*0,IF(AND(ROUND(AVERAGE($C41,$E41,$G41,$I41,$K41,$M41,$O41,$Q41,$S41,$U41,#REF!,#REF!,#REF!,#REF!,#REF!),2)-$B41/2&lt;=M41,(ROUND(AVERAGE($C41,$E41,$G41,$I41,$K41,$M41,$O41,$Q41,$S41,$U41,#REF!,#REF!,#REF!,#REF!,#REF!),2)+$B41/2&gt;=M41)),($G$5/$B$5),0))))</f>
        <v/>
      </c>
      <c r="O41" s="128">
        <f>IF($O$8="Habilitado",IF($A41="","",ROUND(VLOOKUP($A41,'Presupuesto Consolidado'!$BI$12:$BN$80,6,FALSE),2)),"")</f>
        <v>966960</v>
      </c>
      <c r="P41" s="129">
        <f>IF($A41="","",IF(O41="","",IF($K$4="Media aritmética",(O41&lt;=$B41)*($G$5/$B$5)+(O41&gt;$B41)*0,IF(AND(ROUND(AVERAGE($C41,$E41,$G41,$I41,$K41,$M41,$O41,$Q41,$S41,$U41,#REF!,#REF!,#REF!,#REF!,#REF!),2)-$B41/2&lt;=O41,(ROUND(AVERAGE($C41,$E41,$G41,$I41,$K41,$M41,$O41,$Q41,$S41,$U41,#REF!,#REF!,#REF!,#REF!,#REF!),2)+$B41/2&gt;=O41)),($G$5/$B$5),0))))</f>
        <v>1.8604651162790697</v>
      </c>
      <c r="Q41" s="128">
        <f>IF($Q$8="Habilitado",IF($A41="","",ROUND(VLOOKUP($A41,'Presupuesto Consolidado'!$BS$12:$BX$80,6,FALSE),2)),"")</f>
        <v>991134</v>
      </c>
      <c r="R41" s="129">
        <f>IF($A41="","",IF(Q41="","",IF($K$4="Media aritmética",(Q41&lt;=$B41)*($G$5/$B$5)+(Q41&gt;$B41)*0,IF(AND(ROUND(AVERAGE($C41,$E41,$G41,$I41,$K41,$M41,$O41,$Q41,$S41,$U41,#REF!,#REF!,#REF!,#REF!,#REF!),2)-$B41/2&lt;=Q41,(ROUND(AVERAGE($C41,$E41,$G41,$I41,$K41,$M41,$O41,$Q41,$S41,$U41,#REF!,#REF!,#REF!,#REF!,#REF!),2)+$B41/2&gt;=Q41)),($G$5/$B$5),0))))</f>
        <v>1.8604651162790697</v>
      </c>
      <c r="S41" s="128">
        <f>IF($S$8="Habilitado",IF($A41="","",ROUND(VLOOKUP($A41,'Presupuesto Consolidado'!$CC$12:$CH$80,6,FALSE),2)),"")</f>
        <v>960917</v>
      </c>
      <c r="T41" s="129">
        <f>IF($A41="","",IF(S41="","",IF($K$4="Media aritmética",(S41&lt;=$B41)*($G$5/$B$5)+(S41&gt;$B41)*0,IF(AND(ROUND(AVERAGE($C41,$E41,$G41,$I41,$K41,$M41,$O41,$Q41,$S41,$U41,#REF!,#REF!,#REF!,#REF!,#REF!),2)-$B41/2&lt;=S41,(ROUND(AVERAGE($C41,$E41,$G41,$I41,$K41,$M41,$O41,$Q41,$S41,$U41,#REF!,#REF!,#REF!,#REF!,#REF!),2)+$B41/2&gt;=S41)),($G$5/$B$5),0))))</f>
        <v>1.8604651162790697</v>
      </c>
      <c r="U41" s="128" t="str">
        <f>IF($U$8="Habilitado",IF($A41="","",ROUND(VLOOKUP($A41,'Presupuesto Consolidado'!$CM$12:$CR$80,6,FALSE),2)),"")</f>
        <v/>
      </c>
      <c r="V41" s="129" t="str">
        <f>IF($A41="","",IF(U41="","",IF($K$4="Media aritmética",(U41&lt;=$B41)*($G$5/$B$5)+(U41&gt;$B41)*0,IF(AND(ROUND(AVERAGE($C41,$E41,$G41,$I41,$K41,$M41,$O41,$Q41,$S41,$U41,#REF!,#REF!,#REF!,#REF!,#REF!),2)-$B41/2&lt;=U41,(ROUND(AVERAGE($C41,$E41,$G41,$I41,$K41,$M41,$O41,$Q41,$S41,$U41,#REF!,#REF!,#REF!,#REF!,#REF!),2)+$B41/2&gt;=U41)),($G$5/$B$5),0))))</f>
        <v/>
      </c>
    </row>
    <row r="42" spans="1:26" s="122" customFormat="1" ht="21" customHeight="1">
      <c r="A42" s="256" t="str">
        <f>+'Presupuesto Consolidado'!A19</f>
        <v>1.8</v>
      </c>
      <c r="B42" s="127">
        <f t="shared" si="9"/>
        <v>2506911.25</v>
      </c>
      <c r="C42" s="128">
        <f>IF($C$8="Habilitado",IF($A42="","",ROUND(VLOOKUP($A42,'Presupuesto Consolidado'!$A$12:$F$80,6,FALSE),2)),"")</f>
        <v>2628000</v>
      </c>
      <c r="D42" s="129">
        <f>IF($A42="","",IF(C42="","",IF($K$4="Media aritmética",(C42&lt;=$B42)*($G$5/$B$5)+(C42&gt;$B42)*0,IF(AND(ROUND(AVERAGE($C42,$E42,$G42,$I42,$K42,$M42,$O42,$Q42,$S42,$U42,#REF!,#REF!,#REF!,#REF!,#REF!),2)-$B42/2&lt;=C42,(ROUND(AVERAGE($C42,$E42,$G42,$I42,$K42,$M42,$O42,$Q42,$S42,$U42,#REF!,#REF!,#REF!,#REF!,#REF!),2)+$B42/2&gt;=C42)),($G$5/$B$5),0))))</f>
        <v>0</v>
      </c>
      <c r="E42" s="128">
        <f>IF($E$8="Habilitado",IF($A42="","",ROUND(VLOOKUP($A42,'Presupuesto Consolidado'!$K$12:$P$80,6,FALSE),2)),"")</f>
        <v>2263000</v>
      </c>
      <c r="F42" s="129">
        <f>IF($A42="","",IF(E42="","",IF($K$4="Media aritmética",(E42&lt;=$B42)*($G$5/$B$5)+(E42&gt;$B42)*0,IF(AND(ROUND(AVERAGE($C42,$E42,$G42,$I42,$K42,$M42,$O42,$Q42,$S42,$U42,#REF!,#REF!,#REF!,#REF!,#REF!),2)-$B42/2&lt;=E42,(ROUND(AVERAGE($C42,$E42,$G42,$I42,$K42,$M42,$O42,$Q42,$S42,$U42,#REF!,#REF!,#REF!,#REF!,#REF!),2)+$B42/2&gt;=E42)),($G$5/$B$5),0))))</f>
        <v>1.8604651162790697</v>
      </c>
      <c r="G42" s="128">
        <f>IF($G$8="Habilitado",IF($A42="","",ROUND(VLOOKUP($A42,'Presupuesto Consolidado'!$U$12:$Z$80,6,FALSE),2)),"")</f>
        <v>2097290</v>
      </c>
      <c r="H42" s="129">
        <f>IF($A42="","",IF(G42="","",IF($K$4="Media aritmética",(G42&lt;=$B42)*($G$5/$B$5)+(G42&gt;$B42)*0,IF(AND(ROUND(AVERAGE($C42,$E42,$G42,$I42,$K42,$M42,$O42,$Q42,$S42,$U42,#REF!,#REF!,#REF!,#REF!,#REF!),2)-$B42/2&lt;=G42,(ROUND(AVERAGE($C42,$E42,$G42,$I42,$K42,$M42,$O42,$Q42,$S42,$U42,#REF!,#REF!,#REF!,#REF!,#REF!),2)+$B42/2&gt;=G42)),($G$5/$B$5),0))))</f>
        <v>1.8604651162790697</v>
      </c>
      <c r="I42" s="128">
        <f>IF($I$8="Habilitado",IF($A42="","",ROUND(VLOOKUP($A42,'Presupuesto Consolidado'!$AE$12:$AJ$80,6,FALSE),2)),"")</f>
        <v>2920000</v>
      </c>
      <c r="J42" s="129">
        <f>IF($A42="","",IF(I42="","",IF($K$4="Media aritmética",(I42&lt;=$B42)*($G$5/$B$5)+(I42&gt;$B42)*0,IF(AND(ROUND(AVERAGE($C42,$E42,$G42,$I42,$K42,$M42,$O42,$Q42,$S42,$U42,#REF!,#REF!,#REF!,#REF!,#REF!),2)-$B42/2&lt;=I42,(ROUND(AVERAGE($C42,$E42,$G42,$I42,$K42,$M42,$O42,$Q42,$S42,$U42,#REF!,#REF!,#REF!,#REF!,#REF!),2)+$B42/2&gt;=I42)),($G$5/$B$5),0))))</f>
        <v>0</v>
      </c>
      <c r="K42" s="128">
        <f>IF($K$8="Habilitado",IF($A42="","",ROUND(VLOOKUP($A42,'Presupuesto Consolidado'!$AO$12:$AT$80,6,FALSE),2)),"")</f>
        <v>2336000</v>
      </c>
      <c r="L42" s="129">
        <f>IF($A42="","",IF(K42="","",IF($K$4="Media aritmética",(K42&lt;=$B42)*($G$5/$B$5)+(K42&gt;$B42)*0,IF(AND(ROUND(AVERAGE($C42,$E42,$G42,$I42,$K42,$M42,$O42,$Q42,$S42,$U42,#REF!,#REF!,#REF!,#REF!,#REF!),2)-$B42/2&lt;=K42,(ROUND(AVERAGE($C42,$E42,$G42,$I42,$K42,$M42,$O42,$Q42,$S42,$U42,#REF!,#REF!,#REF!,#REF!,#REF!),2)+$B42/2&gt;=K42)),($G$5/$B$5),0))))</f>
        <v>1.8604651162790697</v>
      </c>
      <c r="M42" s="128" t="str">
        <f>IF($M$8="Habilitado",IF($A42="","",ROUND(VLOOKUP($A42,'Presupuesto Consolidado'!$AY$12:$BD$80,6,FALSE),2)),"")</f>
        <v/>
      </c>
      <c r="N42" s="129" t="str">
        <f>IF($A42="","",IF(M42="","",IF($K$4="Media aritmética",(M42&lt;=$B42)*($G$5/$B$5)+(M42&gt;$B42)*0,IF(AND(ROUND(AVERAGE($C42,$E42,$G42,$I42,$K42,$M42,$O42,$Q42,$S42,$U42,#REF!,#REF!,#REF!,#REF!,#REF!),2)-$B42/2&lt;=M42,(ROUND(AVERAGE($C42,$E42,$G42,$I42,$K42,$M42,$O42,$Q42,$S42,$U42,#REF!,#REF!,#REF!,#REF!,#REF!),2)+$B42/2&gt;=M42)),($G$5/$B$5),0))))</f>
        <v/>
      </c>
      <c r="O42" s="128">
        <f>IF($O$8="Habilitado",IF($A42="","",ROUND(VLOOKUP($A42,'Presupuesto Consolidado'!$BI$12:$BN$80,6,FALSE),2)),"")</f>
        <v>2620700</v>
      </c>
      <c r="P42" s="129">
        <f>IF($A42="","",IF(O42="","",IF($K$4="Media aritmética",(O42&lt;=$B42)*($G$5/$B$5)+(O42&gt;$B42)*0,IF(AND(ROUND(AVERAGE($C42,$E42,$G42,$I42,$K42,$M42,$O42,$Q42,$S42,$U42,#REF!,#REF!,#REF!,#REF!,#REF!),2)-$B42/2&lt;=O42,(ROUND(AVERAGE($C42,$E42,$G42,$I42,$K42,$M42,$O42,$Q42,$S42,$U42,#REF!,#REF!,#REF!,#REF!,#REF!),2)+$B42/2&gt;=O42)),($G$5/$B$5),0))))</f>
        <v>0</v>
      </c>
      <c r="Q42" s="128">
        <f>IF($Q$8="Habilitado",IF($A42="","",ROUND(VLOOKUP($A42,'Presupuesto Consolidado'!$BS$12:$BX$80,6,FALSE),2)),"")</f>
        <v>2555000</v>
      </c>
      <c r="R42" s="129">
        <f>IF($A42="","",IF(Q42="","",IF($K$4="Media aritmética",(Q42&lt;=$B42)*($G$5/$B$5)+(Q42&gt;$B42)*0,IF(AND(ROUND(AVERAGE($C42,$E42,$G42,$I42,$K42,$M42,$O42,$Q42,$S42,$U42,#REF!,#REF!,#REF!,#REF!,#REF!),2)-$B42/2&lt;=Q42,(ROUND(AVERAGE($C42,$E42,$G42,$I42,$K42,$M42,$O42,$Q42,$S42,$U42,#REF!,#REF!,#REF!,#REF!,#REF!),2)+$B42/2&gt;=Q42)),($G$5/$B$5),0))))</f>
        <v>0</v>
      </c>
      <c r="S42" s="128">
        <f>IF($S$8="Habilitado",IF($A42="","",ROUND(VLOOKUP($A42,'Presupuesto Consolidado'!$CC$12:$CH$80,6,FALSE),2)),"")</f>
        <v>2635300</v>
      </c>
      <c r="T42" s="129">
        <f>IF($A42="","",IF(S42="","",IF($K$4="Media aritmética",(S42&lt;=$B42)*($G$5/$B$5)+(S42&gt;$B42)*0,IF(AND(ROUND(AVERAGE($C42,$E42,$G42,$I42,$K42,$M42,$O42,$Q42,$S42,$U42,#REF!,#REF!,#REF!,#REF!,#REF!),2)-$B42/2&lt;=S42,(ROUND(AVERAGE($C42,$E42,$G42,$I42,$K42,$M42,$O42,$Q42,$S42,$U42,#REF!,#REF!,#REF!,#REF!,#REF!),2)+$B42/2&gt;=S42)),($G$5/$B$5),0))))</f>
        <v>0</v>
      </c>
      <c r="U42" s="128" t="str">
        <f>IF($U$8="Habilitado",IF($A42="","",ROUND(VLOOKUP($A42,'Presupuesto Consolidado'!$CM$12:$CR$80,6,FALSE),2)),"")</f>
        <v/>
      </c>
      <c r="V42" s="129" t="str">
        <f>IF($A42="","",IF(U42="","",IF($K$4="Media aritmética",(U42&lt;=$B42)*($G$5/$B$5)+(U42&gt;$B42)*0,IF(AND(ROUND(AVERAGE($C42,$E42,$G42,$I42,$K42,$M42,$O42,$Q42,$S42,$U42,#REF!,#REF!,#REF!,#REF!,#REF!),2)-$B42/2&lt;=U42,(ROUND(AVERAGE($C42,$E42,$G42,$I42,$K42,$M42,$O42,$Q42,$S42,$U42,#REF!,#REF!,#REF!,#REF!,#REF!),2)+$B42/2&gt;=U42)),($G$5/$B$5),0))))</f>
        <v/>
      </c>
    </row>
    <row r="43" spans="1:26" s="122" customFormat="1" ht="21" customHeight="1">
      <c r="A43" s="256">
        <f>+'Presupuesto Consolidado'!A21</f>
        <v>2.1</v>
      </c>
      <c r="B43" s="127">
        <f t="shared" si="9"/>
        <v>754635.75</v>
      </c>
      <c r="C43" s="128">
        <f>IF($C$8="Habilitado",IF($A43="","",ROUND(VLOOKUP($A43,'Presupuesto Consolidado'!$A$12:$F$80,6,FALSE),2)),"")</f>
        <v>800400</v>
      </c>
      <c r="D43" s="129">
        <f>IF($A43="","",IF(C43="","",IF($K$4="Media aritmética",(C43&lt;=$B43)*($G$5/$B$5)+(C43&gt;$B43)*0,IF(AND(ROUND(AVERAGE($C43,$E43,$G43,$I43,$K43,$M43,$O43,$Q43,$S43,$U43,#REF!,#REF!,#REF!,#REF!,#REF!),2)-$B43/2&lt;=C43,(ROUND(AVERAGE($C43,$E43,$G43,$I43,$K43,$M43,$O43,$Q43,$S43,$U43,#REF!,#REF!,#REF!,#REF!,#REF!),2)+$B43/2&gt;=C43)),($G$5/$B$5),0))))</f>
        <v>0</v>
      </c>
      <c r="E43" s="128">
        <f>IF($E$8="Habilitado",IF($A43="","",ROUND(VLOOKUP($A43,'Presupuesto Consolidado'!$K$12:$P$80,6,FALSE),2)),"")</f>
        <v>966000</v>
      </c>
      <c r="F43" s="129">
        <f>IF($A43="","",IF(E43="","",IF($K$4="Media aritmética",(E43&lt;=$B43)*($G$5/$B$5)+(E43&gt;$B43)*0,IF(AND(ROUND(AVERAGE($C43,$E43,$G43,$I43,$K43,$M43,$O43,$Q43,$S43,$U43,#REF!,#REF!,#REF!,#REF!,#REF!),2)-$B43/2&lt;=E43,(ROUND(AVERAGE($C43,$E43,$G43,$I43,$K43,$M43,$O43,$Q43,$S43,$U43,#REF!,#REF!,#REF!,#REF!,#REF!),2)+$B43/2&gt;=E43)),($G$5/$B$5),0))))</f>
        <v>0</v>
      </c>
      <c r="G43" s="128">
        <f>IF($G$8="Habilitado",IF($A43="","",ROUND(VLOOKUP($A43,'Presupuesto Consolidado'!$U$12:$Z$80,6,FALSE),2)),"")</f>
        <v>898886</v>
      </c>
      <c r="H43" s="129">
        <f>IF($A43="","",IF(G43="","",IF($K$4="Media aritmética",(G43&lt;=$B43)*($G$5/$B$5)+(G43&gt;$B43)*0,IF(AND(ROUND(AVERAGE($C43,$E43,$G43,$I43,$K43,$M43,$O43,$Q43,$S43,$U43,#REF!,#REF!,#REF!,#REF!,#REF!),2)-$B43/2&lt;=G43,(ROUND(AVERAGE($C43,$E43,$G43,$I43,$K43,$M43,$O43,$Q43,$S43,$U43,#REF!,#REF!,#REF!,#REF!,#REF!),2)+$B43/2&gt;=G43)),($G$5/$B$5),0))))</f>
        <v>0</v>
      </c>
      <c r="I43" s="128">
        <f>IF($I$8="Habilitado",IF($A43="","",ROUND(VLOOKUP($A43,'Presupuesto Consolidado'!$AE$12:$AJ$80,6,FALSE),2)),"")</f>
        <v>828000</v>
      </c>
      <c r="J43" s="129">
        <f>IF($A43="","",IF(I43="","",IF($K$4="Media aritmética",(I43&lt;=$B43)*($G$5/$B$5)+(I43&gt;$B43)*0,IF(AND(ROUND(AVERAGE($C43,$E43,$G43,$I43,$K43,$M43,$O43,$Q43,$S43,$U43,#REF!,#REF!,#REF!,#REF!,#REF!),2)-$B43/2&lt;=I43,(ROUND(AVERAGE($C43,$E43,$G43,$I43,$K43,$M43,$O43,$Q43,$S43,$U43,#REF!,#REF!,#REF!,#REF!,#REF!),2)+$B43/2&gt;=I43)),($G$5/$B$5),0))))</f>
        <v>0</v>
      </c>
      <c r="K43" s="128">
        <f>IF($K$8="Habilitado",IF($A43="","",ROUND(VLOOKUP($A43,'Presupuesto Consolidado'!$AO$12:$AT$80,6,FALSE),2)),"")</f>
        <v>653200</v>
      </c>
      <c r="L43" s="129">
        <f>IF($A43="","",IF(K43="","",IF($K$4="Media aritmética",(K43&lt;=$B43)*($G$5/$B$5)+(K43&gt;$B43)*0,IF(AND(ROUND(AVERAGE($C43,$E43,$G43,$I43,$K43,$M43,$O43,$Q43,$S43,$U43,#REF!,#REF!,#REF!,#REF!,#REF!),2)-$B43/2&lt;=K43,(ROUND(AVERAGE($C43,$E43,$G43,$I43,$K43,$M43,$O43,$Q43,$S43,$U43,#REF!,#REF!,#REF!,#REF!,#REF!),2)+$B43/2&gt;=K43)),($G$5/$B$5),0))))</f>
        <v>1.8604651162790697</v>
      </c>
      <c r="M43" s="128" t="str">
        <f>IF($M$8="Habilitado",IF($A43="","",ROUND(VLOOKUP($A43,'Presupuesto Consolidado'!$AY$12:$BD$80,6,FALSE),2)),"")</f>
        <v/>
      </c>
      <c r="N43" s="129" t="str">
        <f>IF($A43="","",IF(M43="","",IF($K$4="Media aritmética",(M43&lt;=$B43)*($G$5/$B$5)+(M43&gt;$B43)*0,IF(AND(ROUND(AVERAGE($C43,$E43,$G43,$I43,$K43,$M43,$O43,$Q43,$S43,$U43,#REF!,#REF!,#REF!,#REF!,#REF!),2)-$B43/2&lt;=M43,(ROUND(AVERAGE($C43,$E43,$G43,$I43,$K43,$M43,$O43,$Q43,$S43,$U43,#REF!,#REF!,#REF!,#REF!,#REF!),2)+$B43/2&gt;=M43)),($G$5/$B$5),0))))</f>
        <v/>
      </c>
      <c r="O43" s="128">
        <f>IF($O$8="Habilitado",IF($A43="","",ROUND(VLOOKUP($A43,'Presupuesto Consolidado'!$BI$12:$BN$80,6,FALSE),2)),"")</f>
        <v>648600</v>
      </c>
      <c r="P43" s="129">
        <f>IF($A43="","",IF(O43="","",IF($K$4="Media aritmética",(O43&lt;=$B43)*($G$5/$B$5)+(O43&gt;$B43)*0,IF(AND(ROUND(AVERAGE($C43,$E43,$G43,$I43,$K43,$M43,$O43,$Q43,$S43,$U43,#REF!,#REF!,#REF!,#REF!,#REF!),2)-$B43/2&lt;=O43,(ROUND(AVERAGE($C43,$E43,$G43,$I43,$K43,$M43,$O43,$Q43,$S43,$U43,#REF!,#REF!,#REF!,#REF!,#REF!),2)+$B43/2&gt;=O43)),($G$5/$B$5),0))))</f>
        <v>1.8604651162790697</v>
      </c>
      <c r="Q43" s="128">
        <f>IF($Q$8="Habilitado",IF($A43="","",ROUND(VLOOKUP($A43,'Presupuesto Consolidado'!$BS$12:$BX$80,6,FALSE),2)),"")</f>
        <v>634800</v>
      </c>
      <c r="R43" s="129">
        <f>IF($A43="","",IF(Q43="","",IF($K$4="Media aritmética",(Q43&lt;=$B43)*($G$5/$B$5)+(Q43&gt;$B43)*0,IF(AND(ROUND(AVERAGE($C43,$E43,$G43,$I43,$K43,$M43,$O43,$Q43,$S43,$U43,#REF!,#REF!,#REF!,#REF!,#REF!),2)-$B43/2&lt;=Q43,(ROUND(AVERAGE($C43,$E43,$G43,$I43,$K43,$M43,$O43,$Q43,$S43,$U43,#REF!,#REF!,#REF!,#REF!,#REF!),2)+$B43/2&gt;=Q43)),($G$5/$B$5),0))))</f>
        <v>1.8604651162790697</v>
      </c>
      <c r="S43" s="128">
        <f>IF($S$8="Habilitado",IF($A43="","",ROUND(VLOOKUP($A43,'Presupuesto Consolidado'!$CC$12:$CH$80,6,FALSE),2)),"")</f>
        <v>607200</v>
      </c>
      <c r="T43" s="129">
        <f>IF($A43="","",IF(S43="","",IF($K$4="Media aritmética",(S43&lt;=$B43)*($G$5/$B$5)+(S43&gt;$B43)*0,IF(AND(ROUND(AVERAGE($C43,$E43,$G43,$I43,$K43,$M43,$O43,$Q43,$S43,$U43,#REF!,#REF!,#REF!,#REF!,#REF!),2)-$B43/2&lt;=S43,(ROUND(AVERAGE($C43,$E43,$G43,$I43,$K43,$M43,$O43,$Q43,$S43,$U43,#REF!,#REF!,#REF!,#REF!,#REF!),2)+$B43/2&gt;=S43)),($G$5/$B$5),0))))</f>
        <v>1.8604651162790697</v>
      </c>
      <c r="U43" s="128" t="str">
        <f>IF($U$8="Habilitado",IF($A43="","",ROUND(VLOOKUP($A43,'Presupuesto Consolidado'!$CM$12:$CR$80,6,FALSE),2)),"")</f>
        <v/>
      </c>
      <c r="V43" s="129" t="str">
        <f>IF($A43="","",IF(U43="","",IF($K$4="Media aritmética",(U43&lt;=$B43)*($G$5/$B$5)+(U43&gt;$B43)*0,IF(AND(ROUND(AVERAGE($C43,$E43,$G43,$I43,$K43,$M43,$O43,$Q43,$S43,$U43,#REF!,#REF!,#REF!,#REF!,#REF!),2)-$B43/2&lt;=U43,(ROUND(AVERAGE($C43,$E43,$G43,$I43,$K43,$M43,$O43,$Q43,$S43,$U43,#REF!,#REF!,#REF!,#REF!,#REF!),2)+$B43/2&gt;=U43)),($G$5/$B$5),0))))</f>
        <v/>
      </c>
    </row>
    <row r="44" spans="1:26" s="122" customFormat="1" ht="21" customHeight="1">
      <c r="A44" s="256" t="str">
        <f>+'Presupuesto Consolidado'!A22</f>
        <v>2.2</v>
      </c>
      <c r="B44" s="127">
        <f t="shared" si="9"/>
        <v>2861625.88</v>
      </c>
      <c r="C44" s="128">
        <f>IF($C$8="Habilitado",IF($A44="","",ROUND(VLOOKUP($A44,'Presupuesto Consolidado'!$A$12:$F$80,6,FALSE),2)),"")</f>
        <v>2752776</v>
      </c>
      <c r="D44" s="129">
        <f>IF($A44="","",IF(C44="","",IF($K$4="Media aritmética",(C44&lt;=$B44)*($G$5/$B$5)+(C44&gt;$B44)*0,IF(AND(ROUND(AVERAGE($C44,$E44,$G44,$I44,$K44,$M44,$O44,$Q44,$S44,$U44,#REF!,#REF!,#REF!,#REF!,#REF!),2)-$B44/2&lt;=C44,(ROUND(AVERAGE($C44,$E44,$G44,$I44,$K44,$M44,$O44,$Q44,$S44,$U44,#REF!,#REF!,#REF!,#REF!,#REF!),2)+$B44/2&gt;=C44)),($G$5/$B$5),0))))</f>
        <v>1.8604651162790697</v>
      </c>
      <c r="E44" s="128">
        <f>IF($E$8="Habilitado",IF($A44="","",ROUND(VLOOKUP($A44,'Presupuesto Consolidado'!$K$12:$P$80,6,FALSE),2)),"")</f>
        <v>2631330</v>
      </c>
      <c r="F44" s="129">
        <f>IF($A44="","",IF(E44="","",IF($K$4="Media aritmética",(E44&lt;=$B44)*($G$5/$B$5)+(E44&gt;$B44)*0,IF(AND(ROUND(AVERAGE($C44,$E44,$G44,$I44,$K44,$M44,$O44,$Q44,$S44,$U44,#REF!,#REF!,#REF!,#REF!,#REF!),2)-$B44/2&lt;=E44,(ROUND(AVERAGE($C44,$E44,$G44,$I44,$K44,$M44,$O44,$Q44,$S44,$U44,#REF!,#REF!,#REF!,#REF!,#REF!),2)+$B44/2&gt;=E44)),($G$5/$B$5),0))))</f>
        <v>1.8604651162790697</v>
      </c>
      <c r="G44" s="128">
        <f>IF($G$8="Habilitado",IF($A44="","",ROUND(VLOOKUP($A44,'Presupuesto Consolidado'!$U$12:$Z$80,6,FALSE),2)),"")</f>
        <v>2801479</v>
      </c>
      <c r="H44" s="129">
        <f>IF($A44="","",IF(G44="","",IF($K$4="Media aritmética",(G44&lt;=$B44)*($G$5/$B$5)+(G44&gt;$B44)*0,IF(AND(ROUND(AVERAGE($C44,$E44,$G44,$I44,$K44,$M44,$O44,$Q44,$S44,$U44,#REF!,#REF!,#REF!,#REF!,#REF!),2)-$B44/2&lt;=G44,(ROUND(AVERAGE($C44,$E44,$G44,$I44,$K44,$M44,$O44,$Q44,$S44,$U44,#REF!,#REF!,#REF!,#REF!,#REF!),2)+$B44/2&gt;=G44)),($G$5/$B$5),0))))</f>
        <v>1.8604651162790697</v>
      </c>
      <c r="I44" s="128">
        <f>IF($I$8="Habilitado",IF($A44="","",ROUND(VLOOKUP($A44,'Presupuesto Consolidado'!$AE$12:$AJ$80,6,FALSE),2)),"")</f>
        <v>3736800</v>
      </c>
      <c r="J44" s="129">
        <f>IF($A44="","",IF(I44="","",IF($K$4="Media aritmética",(I44&lt;=$B44)*($G$5/$B$5)+(I44&gt;$B44)*0,IF(AND(ROUND(AVERAGE($C44,$E44,$G44,$I44,$K44,$M44,$O44,$Q44,$S44,$U44,#REF!,#REF!,#REF!,#REF!,#REF!),2)-$B44/2&lt;=I44,(ROUND(AVERAGE($C44,$E44,$G44,$I44,$K44,$M44,$O44,$Q44,$S44,$U44,#REF!,#REF!,#REF!,#REF!,#REF!),2)+$B44/2&gt;=I44)),($G$5/$B$5),0))))</f>
        <v>0</v>
      </c>
      <c r="K44" s="128">
        <f>IF($K$8="Habilitado",IF($A44="","",ROUND(VLOOKUP($A44,'Presupuesto Consolidado'!$AO$12:$AT$80,6,FALSE),2)),"")</f>
        <v>2659356</v>
      </c>
      <c r="L44" s="129">
        <f>IF($A44="","",IF(K44="","",IF($K$4="Media aritmética",(K44&lt;=$B44)*($G$5/$B$5)+(K44&gt;$B44)*0,IF(AND(ROUND(AVERAGE($C44,$E44,$G44,$I44,$K44,$M44,$O44,$Q44,$S44,$U44,#REF!,#REF!,#REF!,#REF!,#REF!),2)-$B44/2&lt;=K44,(ROUND(AVERAGE($C44,$E44,$G44,$I44,$K44,$M44,$O44,$Q44,$S44,$U44,#REF!,#REF!,#REF!,#REF!,#REF!),2)+$B44/2&gt;=K44)),($G$5/$B$5),0))))</f>
        <v>1.8604651162790697</v>
      </c>
      <c r="M44" s="128" t="str">
        <f>IF($M$8="Habilitado",IF($A44="","",ROUND(VLOOKUP($A44,'Presupuesto Consolidado'!$AY$12:$BD$80,6,FALSE),2)),"")</f>
        <v/>
      </c>
      <c r="N44" s="129" t="str">
        <f>IF($A44="","",IF(M44="","",IF($K$4="Media aritmética",(M44&lt;=$B44)*($G$5/$B$5)+(M44&gt;$B44)*0,IF(AND(ROUND(AVERAGE($C44,$E44,$G44,$I44,$K44,$M44,$O44,$Q44,$S44,$U44,#REF!,#REF!,#REF!,#REF!,#REF!),2)-$B44/2&lt;=M44,(ROUND(AVERAGE($C44,$E44,$G44,$I44,$K44,$M44,$O44,$Q44,$S44,$U44,#REF!,#REF!,#REF!,#REF!,#REF!),2)+$B44/2&gt;=M44)),($G$5/$B$5),0))))</f>
        <v/>
      </c>
      <c r="O44" s="128">
        <f>IF($O$8="Habilitado",IF($A44="","",ROUND(VLOOKUP($A44,'Presupuesto Consolidado'!$BI$12:$BN$80,6,FALSE),2)),"")</f>
        <v>2815056</v>
      </c>
      <c r="P44" s="129">
        <f>IF($A44="","",IF(O44="","",IF($K$4="Media aritmética",(O44&lt;=$B44)*($G$5/$B$5)+(O44&gt;$B44)*0,IF(AND(ROUND(AVERAGE($C44,$E44,$G44,$I44,$K44,$M44,$O44,$Q44,$S44,$U44,#REF!,#REF!,#REF!,#REF!,#REF!),2)-$B44/2&lt;=O44,(ROUND(AVERAGE($C44,$E44,$G44,$I44,$K44,$M44,$O44,$Q44,$S44,$U44,#REF!,#REF!,#REF!,#REF!,#REF!),2)+$B44/2&gt;=O44)),($G$5/$B$5),0))))</f>
        <v>1.8604651162790697</v>
      </c>
      <c r="Q44" s="128">
        <f>IF($Q$8="Habilitado",IF($A44="","",ROUND(VLOOKUP($A44,'Presupuesto Consolidado'!$BS$12:$BX$80,6,FALSE),2)),"")</f>
        <v>2715408</v>
      </c>
      <c r="R44" s="129">
        <f>IF($A44="","",IF(Q44="","",IF($K$4="Media aritmética",(Q44&lt;=$B44)*($G$5/$B$5)+(Q44&gt;$B44)*0,IF(AND(ROUND(AVERAGE($C44,$E44,$G44,$I44,$K44,$M44,$O44,$Q44,$S44,$U44,#REF!,#REF!,#REF!,#REF!,#REF!),2)-$B44/2&lt;=Q44,(ROUND(AVERAGE($C44,$E44,$G44,$I44,$K44,$M44,$O44,$Q44,$S44,$U44,#REF!,#REF!,#REF!,#REF!,#REF!),2)+$B44/2&gt;=Q44)),($G$5/$B$5),0))))</f>
        <v>1.8604651162790697</v>
      </c>
      <c r="S44" s="128">
        <f>IF($S$8="Habilitado",IF($A44="","",ROUND(VLOOKUP($A44,'Presupuesto Consolidado'!$CC$12:$CH$80,6,FALSE),2)),"")</f>
        <v>2780802</v>
      </c>
      <c r="T44" s="129">
        <f>IF($A44="","",IF(S44="","",IF($K$4="Media aritmética",(S44&lt;=$B44)*($G$5/$B$5)+(S44&gt;$B44)*0,IF(AND(ROUND(AVERAGE($C44,$E44,$G44,$I44,$K44,$M44,$O44,$Q44,$S44,$U44,#REF!,#REF!,#REF!,#REF!,#REF!),2)-$B44/2&lt;=S44,(ROUND(AVERAGE($C44,$E44,$G44,$I44,$K44,$M44,$O44,$Q44,$S44,$U44,#REF!,#REF!,#REF!,#REF!,#REF!),2)+$B44/2&gt;=S44)),($G$5/$B$5),0))))</f>
        <v>1.8604651162790697</v>
      </c>
      <c r="U44" s="128" t="str">
        <f>IF($U$8="Habilitado",IF($A44="","",ROUND(VLOOKUP($A44,'Presupuesto Consolidado'!$CM$12:$CR$80,6,FALSE),2)),"")</f>
        <v/>
      </c>
      <c r="V44" s="129" t="str">
        <f>IF($A44="","",IF(U44="","",IF($K$4="Media aritmética",(U44&lt;=$B44)*($G$5/$B$5)+(U44&gt;$B44)*0,IF(AND(ROUND(AVERAGE($C44,$E44,$G44,$I44,$K44,$M44,$O44,$Q44,$S44,$U44,#REF!,#REF!,#REF!,#REF!,#REF!),2)-$B44/2&lt;=U44,(ROUND(AVERAGE($C44,$E44,$G44,$I44,$K44,$M44,$O44,$Q44,$S44,$U44,#REF!,#REF!,#REF!,#REF!,#REF!),2)+$B44/2&gt;=U44)),($G$5/$B$5),0))))</f>
        <v/>
      </c>
    </row>
    <row r="45" spans="1:26" s="122" customFormat="1" ht="21" customHeight="1">
      <c r="A45" s="256" t="str">
        <f>+'Presupuesto Consolidado'!A27</f>
        <v>3.4</v>
      </c>
      <c r="B45" s="127">
        <f t="shared" si="9"/>
        <v>6205175</v>
      </c>
      <c r="C45" s="128">
        <f>IF($C$8="Habilitado",IF($A45="","",ROUND(VLOOKUP($A45,'Presupuesto Consolidado'!$A$12:$F$80,6,FALSE),2)),"")</f>
        <v>8789000</v>
      </c>
      <c r="D45" s="129">
        <f>IF($A45="","",IF(C45="","",IF($K$4="Media aritmética",(C45&lt;=$B45)*($G$5/$B$5)+(C45&gt;$B45)*0,IF(AND(ROUND(AVERAGE($C45,$E45,$G45,$I45,$K45,$M45,$O45,$Q45,$S45,$U45,#REF!,#REF!,#REF!,#REF!,#REF!),2)-$B45/2&lt;=C45,(ROUND(AVERAGE($C45,$E45,$G45,$I45,$K45,$M45,$O45,$Q45,$S45,$U45,#REF!,#REF!,#REF!,#REF!,#REF!),2)+$B45/2&gt;=C45)),($G$5/$B$5),0))))</f>
        <v>0</v>
      </c>
      <c r="E45" s="128">
        <f>IF($E$8="Habilitado",IF($A45="","",ROUND(VLOOKUP($A45,'Presupuesto Consolidado'!$K$12:$P$80,6,FALSE),2)),"")</f>
        <v>4465000</v>
      </c>
      <c r="F45" s="129">
        <f>IF($A45="","",IF(E45="","",IF($K$4="Media aritmética",(E45&lt;=$B45)*($G$5/$B$5)+(E45&gt;$B45)*0,IF(AND(ROUND(AVERAGE($C45,$E45,$G45,$I45,$K45,$M45,$O45,$Q45,$S45,$U45,#REF!,#REF!,#REF!,#REF!,#REF!),2)-$B45/2&lt;=E45,(ROUND(AVERAGE($C45,$E45,$G45,$I45,$K45,$M45,$O45,$Q45,$S45,$U45,#REF!,#REF!,#REF!,#REF!,#REF!),2)+$B45/2&gt;=E45)),($G$5/$B$5),0))))</f>
        <v>1.8604651162790697</v>
      </c>
      <c r="G45" s="128">
        <f>IF($G$8="Habilitado",IF($A45="","",ROUND(VLOOKUP($A45,'Presupuesto Consolidado'!$U$12:$Z$80,6,FALSE),2)),"")</f>
        <v>7106400</v>
      </c>
      <c r="H45" s="129">
        <f>IF($A45="","",IF(G45="","",IF($K$4="Media aritmética",(G45&lt;=$B45)*($G$5/$B$5)+(G45&gt;$B45)*0,IF(AND(ROUND(AVERAGE($C45,$E45,$G45,$I45,$K45,$M45,$O45,$Q45,$S45,$U45,#REF!,#REF!,#REF!,#REF!,#REF!),2)-$B45/2&lt;=G45,(ROUND(AVERAGE($C45,$E45,$G45,$I45,$K45,$M45,$O45,$Q45,$S45,$U45,#REF!,#REF!,#REF!,#REF!,#REF!),2)+$B45/2&gt;=G45)),($G$5/$B$5),0))))</f>
        <v>0</v>
      </c>
      <c r="I45" s="128">
        <f>IF($I$8="Habilitado",IF($A45="","",ROUND(VLOOKUP($A45,'Presupuesto Consolidado'!$AE$12:$AJ$80,6,FALSE),2)),"")</f>
        <v>2820000</v>
      </c>
      <c r="J45" s="129">
        <f>IF($A45="","",IF(I45="","",IF($K$4="Media aritmética",(I45&lt;=$B45)*($G$5/$B$5)+(I45&gt;$B45)*0,IF(AND(ROUND(AVERAGE($C45,$E45,$G45,$I45,$K45,$M45,$O45,$Q45,$S45,$U45,#REF!,#REF!,#REF!,#REF!,#REF!),2)-$B45/2&lt;=I45,(ROUND(AVERAGE($C45,$E45,$G45,$I45,$K45,$M45,$O45,$Q45,$S45,$U45,#REF!,#REF!,#REF!,#REF!,#REF!),2)+$B45/2&gt;=I45)),($G$5/$B$5),0))))</f>
        <v>1.8604651162790697</v>
      </c>
      <c r="K45" s="128">
        <f>IF($K$8="Habilitado",IF($A45="","",ROUND(VLOOKUP($A45,'Presupuesto Consolidado'!$AO$12:$AT$80,6,FALSE),2)),"")</f>
        <v>6204000</v>
      </c>
      <c r="L45" s="129">
        <f>IF($A45="","",IF(K45="","",IF($K$4="Media aritmética",(K45&lt;=$B45)*($G$5/$B$5)+(K45&gt;$B45)*0,IF(AND(ROUND(AVERAGE($C45,$E45,$G45,$I45,$K45,$M45,$O45,$Q45,$S45,$U45,#REF!,#REF!,#REF!,#REF!,#REF!),2)-$B45/2&lt;=K45,(ROUND(AVERAGE($C45,$E45,$G45,$I45,$K45,$M45,$O45,$Q45,$S45,$U45,#REF!,#REF!,#REF!,#REF!,#REF!),2)+$B45/2&gt;=K45)),($G$5/$B$5),0))))</f>
        <v>1.8604651162790697</v>
      </c>
      <c r="M45" s="128" t="str">
        <f>IF($M$8="Habilitado",IF($A45="","",ROUND(VLOOKUP($A45,'Presupuesto Consolidado'!$AY$12:$BD$80,6,FALSE),2)),"")</f>
        <v/>
      </c>
      <c r="N45" s="129" t="str">
        <f>IF($A45="","",IF(M45="","",IF($K$4="Media aritmética",(M45&lt;=$B45)*($G$5/$B$5)+(M45&gt;$B45)*0,IF(AND(ROUND(AVERAGE($C45,$E45,$G45,$I45,$K45,$M45,$O45,$Q45,$S45,$U45,#REF!,#REF!,#REF!,#REF!,#REF!),2)-$B45/2&lt;=M45,(ROUND(AVERAGE($C45,$E45,$G45,$I45,$K45,$M45,$O45,$Q45,$S45,$U45,#REF!,#REF!,#REF!,#REF!,#REF!),2)+$B45/2&gt;=M45)),($G$5/$B$5),0))))</f>
        <v/>
      </c>
      <c r="O45" s="128">
        <f>IF($O$8="Habilitado",IF($A45="","",ROUND(VLOOKUP($A45,'Presupuesto Consolidado'!$BI$12:$BN$80,6,FALSE),2)),"")</f>
        <v>6721000</v>
      </c>
      <c r="P45" s="129">
        <f>IF($A45="","",IF(O45="","",IF($K$4="Media aritmética",(O45&lt;=$B45)*($G$5/$B$5)+(O45&gt;$B45)*0,IF(AND(ROUND(AVERAGE($C45,$E45,$G45,$I45,$K45,$M45,$O45,$Q45,$S45,$U45,#REF!,#REF!,#REF!,#REF!,#REF!),2)-$B45/2&lt;=O45,(ROUND(AVERAGE($C45,$E45,$G45,$I45,$K45,$M45,$O45,$Q45,$S45,$U45,#REF!,#REF!,#REF!,#REF!,#REF!),2)+$B45/2&gt;=O45)),($G$5/$B$5),0))))</f>
        <v>0</v>
      </c>
      <c r="Q45" s="128">
        <f>IF($Q$8="Habilitado",IF($A45="","",ROUND(VLOOKUP($A45,'Presupuesto Consolidado'!$BS$12:$BX$80,6,FALSE),2)),"")</f>
        <v>6721000</v>
      </c>
      <c r="R45" s="129">
        <f>IF($A45="","",IF(Q45="","",IF($K$4="Media aritmética",(Q45&lt;=$B45)*($G$5/$B$5)+(Q45&gt;$B45)*0,IF(AND(ROUND(AVERAGE($C45,$E45,$G45,$I45,$K45,$M45,$O45,$Q45,$S45,$U45,#REF!,#REF!,#REF!,#REF!,#REF!),2)-$B45/2&lt;=Q45,(ROUND(AVERAGE($C45,$E45,$G45,$I45,$K45,$M45,$O45,$Q45,$S45,$U45,#REF!,#REF!,#REF!,#REF!,#REF!),2)+$B45/2&gt;=Q45)),($G$5/$B$5),0))))</f>
        <v>0</v>
      </c>
      <c r="S45" s="128">
        <f>IF($S$8="Habilitado",IF($A45="","",ROUND(VLOOKUP($A45,'Presupuesto Consolidado'!$CC$12:$CH$80,6,FALSE),2)),"")</f>
        <v>6815000</v>
      </c>
      <c r="T45" s="129">
        <f>IF($A45="","",IF(S45="","",IF($K$4="Media aritmética",(S45&lt;=$B45)*($G$5/$B$5)+(S45&gt;$B45)*0,IF(AND(ROUND(AVERAGE($C45,$E45,$G45,$I45,$K45,$M45,$O45,$Q45,$S45,$U45,#REF!,#REF!,#REF!,#REF!,#REF!),2)-$B45/2&lt;=S45,(ROUND(AVERAGE($C45,$E45,$G45,$I45,$K45,$M45,$O45,$Q45,$S45,$U45,#REF!,#REF!,#REF!,#REF!,#REF!),2)+$B45/2&gt;=S45)),($G$5/$B$5),0))))</f>
        <v>0</v>
      </c>
      <c r="U45" s="128" t="str">
        <f>IF($U$8="Habilitado",IF($A45="","",ROUND(VLOOKUP($A45,'Presupuesto Consolidado'!$CM$12:$CR$80,6,FALSE),2)),"")</f>
        <v/>
      </c>
      <c r="V45" s="129" t="str">
        <f>IF($A45="","",IF(U45="","",IF($K$4="Media aritmética",(U45&lt;=$B45)*($G$5/$B$5)+(U45&gt;$B45)*0,IF(AND(ROUND(AVERAGE($C45,$E45,$G45,$I45,$K45,$M45,$O45,$Q45,$S45,$U45,#REF!,#REF!,#REF!,#REF!,#REF!),2)-$B45/2&lt;=U45,(ROUND(AVERAGE($C45,$E45,$G45,$I45,$K45,$M45,$O45,$Q45,$S45,$U45,#REF!,#REF!,#REF!,#REF!,#REF!),2)+$B45/2&gt;=U45)),($G$5/$B$5),0))))</f>
        <v/>
      </c>
    </row>
    <row r="46" spans="1:26" s="122" customFormat="1" ht="21" customHeight="1">
      <c r="A46" s="256" t="str">
        <f>+'Presupuesto Consolidado'!A31</f>
        <v>4.3</v>
      </c>
      <c r="B46" s="127">
        <f t="shared" si="9"/>
        <v>2780000</v>
      </c>
      <c r="C46" s="128">
        <f>IF($C$8="Habilitado",IF($A46="","",ROUND(VLOOKUP($A46,'Presupuesto Consolidado'!$A$12:$F$80,6,FALSE),2)),"")</f>
        <v>2560000</v>
      </c>
      <c r="D46" s="129">
        <f>IF($A46="","",IF(C46="","",IF($K$4="Media aritmética",(C46&lt;=$B46)*($G$5/$B$5)+(C46&gt;$B46)*0,IF(AND(ROUND(AVERAGE($C46,$E46,$G46,$I46,$K46,$M46,$O46,$Q46,$S46,$U46,#REF!,#REF!,#REF!,#REF!,#REF!),2)-$B46/2&lt;=C46,(ROUND(AVERAGE($C46,$E46,$G46,$I46,$K46,$M46,$O46,$Q46,$S46,$U46,#REF!,#REF!,#REF!,#REF!,#REF!),2)+$B46/2&gt;=C46)),($G$5/$B$5),0))))</f>
        <v>1.8604651162790697</v>
      </c>
      <c r="E46" s="128">
        <f>IF($E$8="Habilitado",IF($A46="","",ROUND(VLOOKUP($A46,'Presupuesto Consolidado'!$K$12:$P$80,6,FALSE),2)),"")</f>
        <v>2960000</v>
      </c>
      <c r="F46" s="129">
        <f>IF($A46="","",IF(E46="","",IF($K$4="Media aritmética",(E46&lt;=$B46)*($G$5/$B$5)+(E46&gt;$B46)*0,IF(AND(ROUND(AVERAGE($C46,$E46,$G46,$I46,$K46,$M46,$O46,$Q46,$S46,$U46,#REF!,#REF!,#REF!,#REF!,#REF!),2)-$B46/2&lt;=E46,(ROUND(AVERAGE($C46,$E46,$G46,$I46,$K46,$M46,$O46,$Q46,$S46,$U46,#REF!,#REF!,#REF!,#REF!,#REF!),2)+$B46/2&gt;=E46)),($G$5/$B$5),0))))</f>
        <v>0</v>
      </c>
      <c r="G46" s="128">
        <f>IF($G$8="Habilitado",IF($A46="","",ROUND(VLOOKUP($A46,'Presupuesto Consolidado'!$U$12:$Z$80,6,FALSE),2)),"")</f>
        <v>2500000</v>
      </c>
      <c r="H46" s="129">
        <f>IF($A46="","",IF(G46="","",IF($K$4="Media aritmética",(G46&lt;=$B46)*($G$5/$B$5)+(G46&gt;$B46)*0,IF(AND(ROUND(AVERAGE($C46,$E46,$G46,$I46,$K46,$M46,$O46,$Q46,$S46,$U46,#REF!,#REF!,#REF!,#REF!,#REF!),2)-$B46/2&lt;=G46,(ROUND(AVERAGE($C46,$E46,$G46,$I46,$K46,$M46,$O46,$Q46,$S46,$U46,#REF!,#REF!,#REF!,#REF!,#REF!),2)+$B46/2&gt;=G46)),($G$5/$B$5),0))))</f>
        <v>1.8604651162790697</v>
      </c>
      <c r="I46" s="128">
        <f>IF($I$8="Habilitado",IF($A46="","",ROUND(VLOOKUP($A46,'Presupuesto Consolidado'!$AE$12:$AJ$80,6,FALSE),2)),"")</f>
        <v>4000000</v>
      </c>
      <c r="J46" s="129">
        <f>IF($A46="","",IF(I46="","",IF($K$4="Media aritmética",(I46&lt;=$B46)*($G$5/$B$5)+(I46&gt;$B46)*0,IF(AND(ROUND(AVERAGE($C46,$E46,$G46,$I46,$K46,$M46,$O46,$Q46,$S46,$U46,#REF!,#REF!,#REF!,#REF!,#REF!),2)-$B46/2&lt;=I46,(ROUND(AVERAGE($C46,$E46,$G46,$I46,$K46,$M46,$O46,$Q46,$S46,$U46,#REF!,#REF!,#REF!,#REF!,#REF!),2)+$B46/2&gt;=I46)),($G$5/$B$5),0))))</f>
        <v>0</v>
      </c>
      <c r="K46" s="128">
        <f>IF($K$8="Habilitado",IF($A46="","",ROUND(VLOOKUP($A46,'Presupuesto Consolidado'!$AO$12:$AT$80,6,FALSE),2)),"")</f>
        <v>2560000</v>
      </c>
      <c r="L46" s="129">
        <f>IF($A46="","",IF(K46="","",IF($K$4="Media aritmética",(K46&lt;=$B46)*($G$5/$B$5)+(K46&gt;$B46)*0,IF(AND(ROUND(AVERAGE($C46,$E46,$G46,$I46,$K46,$M46,$O46,$Q46,$S46,$U46,#REF!,#REF!,#REF!,#REF!,#REF!),2)-$B46/2&lt;=K46,(ROUND(AVERAGE($C46,$E46,$G46,$I46,$K46,$M46,$O46,$Q46,$S46,$U46,#REF!,#REF!,#REF!,#REF!,#REF!),2)+$B46/2&gt;=K46)),($G$5/$B$5),0))))</f>
        <v>1.8604651162790697</v>
      </c>
      <c r="M46" s="128" t="str">
        <f>IF($M$8="Habilitado",IF($A46="","",ROUND(VLOOKUP($A46,'Presupuesto Consolidado'!$AY$12:$BD$80,6,FALSE),2)),"")</f>
        <v/>
      </c>
      <c r="N46" s="129" t="str">
        <f>IF($A46="","",IF(M46="","",IF($K$4="Media aritmética",(M46&lt;=$B46)*($G$5/$B$5)+(M46&gt;$B46)*0,IF(AND(ROUND(AVERAGE($C46,$E46,$G46,$I46,$K46,$M46,$O46,$Q46,$S46,$U46,#REF!,#REF!,#REF!,#REF!,#REF!),2)-$B46/2&lt;=M46,(ROUND(AVERAGE($C46,$E46,$G46,$I46,$K46,$M46,$O46,$Q46,$S46,$U46,#REF!,#REF!,#REF!,#REF!,#REF!),2)+$B46/2&gt;=M46)),($G$5/$B$5),0))))</f>
        <v/>
      </c>
      <c r="O46" s="128">
        <f>IF($O$8="Habilitado",IF($A46="","",ROUND(VLOOKUP($A46,'Presupuesto Consolidado'!$BI$12:$BN$80,6,FALSE),2)),"")</f>
        <v>2460000</v>
      </c>
      <c r="P46" s="129">
        <f>IF($A46="","",IF(O46="","",IF($K$4="Media aritmética",(O46&lt;=$B46)*($G$5/$B$5)+(O46&gt;$B46)*0,IF(AND(ROUND(AVERAGE($C46,$E46,$G46,$I46,$K46,$M46,$O46,$Q46,$S46,$U46,#REF!,#REF!,#REF!,#REF!,#REF!),2)-$B46/2&lt;=O46,(ROUND(AVERAGE($C46,$E46,$G46,$I46,$K46,$M46,$O46,$Q46,$S46,$U46,#REF!,#REF!,#REF!,#REF!,#REF!),2)+$B46/2&gt;=O46)),($G$5/$B$5),0))))</f>
        <v>1.8604651162790697</v>
      </c>
      <c r="Q46" s="128">
        <f>IF($Q$8="Habilitado",IF($A46="","",ROUND(VLOOKUP($A46,'Presupuesto Consolidado'!$BS$12:$BX$80,6,FALSE),2)),"")</f>
        <v>2620000</v>
      </c>
      <c r="R46" s="129">
        <f>IF($A46="","",IF(Q46="","",IF($K$4="Media aritmética",(Q46&lt;=$B46)*($G$5/$B$5)+(Q46&gt;$B46)*0,IF(AND(ROUND(AVERAGE($C46,$E46,$G46,$I46,$K46,$M46,$O46,$Q46,$S46,$U46,#REF!,#REF!,#REF!,#REF!,#REF!),2)-$B46/2&lt;=Q46,(ROUND(AVERAGE($C46,$E46,$G46,$I46,$K46,$M46,$O46,$Q46,$S46,$U46,#REF!,#REF!,#REF!,#REF!,#REF!),2)+$B46/2&gt;=Q46)),($G$5/$B$5),0))))</f>
        <v>1.8604651162790697</v>
      </c>
      <c r="S46" s="128">
        <f>IF($S$8="Habilitado",IF($A46="","",ROUND(VLOOKUP($A46,'Presupuesto Consolidado'!$CC$12:$CH$80,6,FALSE),2)),"")</f>
        <v>2580000</v>
      </c>
      <c r="T46" s="129">
        <f>IF($A46="","",IF(S46="","",IF($K$4="Media aritmética",(S46&lt;=$B46)*($G$5/$B$5)+(S46&gt;$B46)*0,IF(AND(ROUND(AVERAGE($C46,$E46,$G46,$I46,$K46,$M46,$O46,$Q46,$S46,$U46,#REF!,#REF!,#REF!,#REF!,#REF!),2)-$B46/2&lt;=S46,(ROUND(AVERAGE($C46,$E46,$G46,$I46,$K46,$M46,$O46,$Q46,$S46,$U46,#REF!,#REF!,#REF!,#REF!,#REF!),2)+$B46/2&gt;=S46)),($G$5/$B$5),0))))</f>
        <v>1.8604651162790697</v>
      </c>
      <c r="U46" s="128" t="str">
        <f>IF($U$8="Habilitado",IF($A46="","",ROUND(VLOOKUP($A46,'Presupuesto Consolidado'!$CM$12:$CR$80,6,FALSE),2)),"")</f>
        <v/>
      </c>
      <c r="V46" s="129" t="str">
        <f>IF($A46="","",IF(U46="","",IF($K$4="Media aritmética",(U46&lt;=$B46)*($G$5/$B$5)+(U46&gt;$B46)*0,IF(AND(ROUND(AVERAGE($C46,$E46,$G46,$I46,$K46,$M46,$O46,$Q46,$S46,$U46,#REF!,#REF!,#REF!,#REF!,#REF!),2)-$B46/2&lt;=U46,(ROUND(AVERAGE($C46,$E46,$G46,$I46,$K46,$M46,$O46,$Q46,$S46,$U46,#REF!,#REF!,#REF!,#REF!,#REF!),2)+$B46/2&gt;=U46)),($G$5/$B$5),0))))</f>
        <v/>
      </c>
    </row>
    <row r="47" spans="1:26" s="122" customFormat="1" ht="21" customHeight="1">
      <c r="A47" s="256" t="str">
        <f>+'Presupuesto Consolidado'!A32</f>
        <v>4.4</v>
      </c>
      <c r="B47" s="127">
        <f t="shared" si="9"/>
        <v>4170000</v>
      </c>
      <c r="C47" s="128">
        <f>IF($C$8="Habilitado",IF($A47="","",ROUND(VLOOKUP($A47,'Presupuesto Consolidado'!$A$12:$F$80,6,FALSE),2)),"")</f>
        <v>4760000</v>
      </c>
      <c r="D47" s="129">
        <f>IF($A47="","",IF(C47="","",IF($K$4="Media aritmética",(C47&lt;=$B47)*($G$5/$B$5)+(C47&gt;$B47)*0,IF(AND(ROUND(AVERAGE($C47,$E47,$G47,$I47,$K47,$M47,$O47,$Q47,$S47,$U47,#REF!,#REF!,#REF!,#REF!,#REF!),2)-$B47/2&lt;=C47,(ROUND(AVERAGE($C47,$E47,$G47,$I47,$K47,$M47,$O47,$Q47,$S47,$U47,#REF!,#REF!,#REF!,#REF!,#REF!),2)+$B47/2&gt;=C47)),($G$5/$B$5),0))))</f>
        <v>0</v>
      </c>
      <c r="E47" s="128">
        <f>IF($E$8="Habilitado",IF($A47="","",ROUND(VLOOKUP($A47,'Presupuesto Consolidado'!$K$12:$P$80,6,FALSE),2)),"")</f>
        <v>6800000</v>
      </c>
      <c r="F47" s="129">
        <f>IF($A47="","",IF(E47="","",IF($K$4="Media aritmética",(E47&lt;=$B47)*($G$5/$B$5)+(E47&gt;$B47)*0,IF(AND(ROUND(AVERAGE($C47,$E47,$G47,$I47,$K47,$M47,$O47,$Q47,$S47,$U47,#REF!,#REF!,#REF!,#REF!,#REF!),2)-$B47/2&lt;=E47,(ROUND(AVERAGE($C47,$E47,$G47,$I47,$K47,$M47,$O47,$Q47,$S47,$U47,#REF!,#REF!,#REF!,#REF!,#REF!),2)+$B47/2&gt;=E47)),($G$5/$B$5),0))))</f>
        <v>0</v>
      </c>
      <c r="G47" s="128">
        <f>IF($G$8="Habilitado",IF($A47="","",ROUND(VLOOKUP($A47,'Presupuesto Consolidado'!$U$12:$Z$80,6,FALSE),2)),"")</f>
        <v>5120000</v>
      </c>
      <c r="H47" s="129">
        <f>IF($A47="","",IF(G47="","",IF($K$4="Media aritmética",(G47&lt;=$B47)*($G$5/$B$5)+(G47&gt;$B47)*0,IF(AND(ROUND(AVERAGE($C47,$E47,$G47,$I47,$K47,$M47,$O47,$Q47,$S47,$U47,#REF!,#REF!,#REF!,#REF!,#REF!),2)-$B47/2&lt;=G47,(ROUND(AVERAGE($C47,$E47,$G47,$I47,$K47,$M47,$O47,$Q47,$S47,$U47,#REF!,#REF!,#REF!,#REF!,#REF!),2)+$B47/2&gt;=G47)),($G$5/$B$5),0))))</f>
        <v>0</v>
      </c>
      <c r="I47" s="128">
        <f>IF($I$8="Habilitado",IF($A47="","",ROUND(VLOOKUP($A47,'Presupuesto Consolidado'!$AE$12:$AJ$80,6,FALSE),2)),"")</f>
        <v>5600000</v>
      </c>
      <c r="J47" s="129">
        <f>IF($A47="","",IF(I47="","",IF($K$4="Media aritmética",(I47&lt;=$B47)*($G$5/$B$5)+(I47&gt;$B47)*0,IF(AND(ROUND(AVERAGE($C47,$E47,$G47,$I47,$K47,$M47,$O47,$Q47,$S47,$U47,#REF!,#REF!,#REF!,#REF!,#REF!),2)-$B47/2&lt;=I47,(ROUND(AVERAGE($C47,$E47,$G47,$I47,$K47,$M47,$O47,$Q47,$S47,$U47,#REF!,#REF!,#REF!,#REF!,#REF!),2)+$B47/2&gt;=I47)),($G$5/$B$5),0))))</f>
        <v>0</v>
      </c>
      <c r="K47" s="128">
        <f>IF($K$8="Habilitado",IF($A47="","",ROUND(VLOOKUP($A47,'Presupuesto Consolidado'!$AO$12:$AT$80,6,FALSE),2)),"")</f>
        <v>2840000</v>
      </c>
      <c r="L47" s="129">
        <f>IF($A47="","",IF(K47="","",IF($K$4="Media aritmética",(K47&lt;=$B47)*($G$5/$B$5)+(K47&gt;$B47)*0,IF(AND(ROUND(AVERAGE($C47,$E47,$G47,$I47,$K47,$M47,$O47,$Q47,$S47,$U47,#REF!,#REF!,#REF!,#REF!,#REF!),2)-$B47/2&lt;=K47,(ROUND(AVERAGE($C47,$E47,$G47,$I47,$K47,$M47,$O47,$Q47,$S47,$U47,#REF!,#REF!,#REF!,#REF!,#REF!),2)+$B47/2&gt;=K47)),($G$5/$B$5),0))))</f>
        <v>1.8604651162790697</v>
      </c>
      <c r="M47" s="128" t="str">
        <f>IF($M$8="Habilitado",IF($A47="","",ROUND(VLOOKUP($A47,'Presupuesto Consolidado'!$AY$12:$BD$80,6,FALSE),2)),"")</f>
        <v/>
      </c>
      <c r="N47" s="129" t="str">
        <f>IF($A47="","",IF(M47="","",IF($K$4="Media aritmética",(M47&lt;=$B47)*($G$5/$B$5)+(M47&gt;$B47)*0,IF(AND(ROUND(AVERAGE($C47,$E47,$G47,$I47,$K47,$M47,$O47,$Q47,$S47,$U47,#REF!,#REF!,#REF!,#REF!,#REF!),2)-$B47/2&lt;=M47,(ROUND(AVERAGE($C47,$E47,$G47,$I47,$K47,$M47,$O47,$Q47,$S47,$U47,#REF!,#REF!,#REF!,#REF!,#REF!),2)+$B47/2&gt;=M47)),($G$5/$B$5),0))))</f>
        <v/>
      </c>
      <c r="O47" s="128">
        <f>IF($O$8="Habilitado",IF($A47="","",ROUND(VLOOKUP($A47,'Presupuesto Consolidado'!$BI$12:$BN$80,6,FALSE),2)),"")</f>
        <v>2640000</v>
      </c>
      <c r="P47" s="129">
        <f>IF($A47="","",IF(O47="","",IF($K$4="Media aritmética",(O47&lt;=$B47)*($G$5/$B$5)+(O47&gt;$B47)*0,IF(AND(ROUND(AVERAGE($C47,$E47,$G47,$I47,$K47,$M47,$O47,$Q47,$S47,$U47,#REF!,#REF!,#REF!,#REF!,#REF!),2)-$B47/2&lt;=O47,(ROUND(AVERAGE($C47,$E47,$G47,$I47,$K47,$M47,$O47,$Q47,$S47,$U47,#REF!,#REF!,#REF!,#REF!,#REF!),2)+$B47/2&gt;=O47)),($G$5/$B$5),0))))</f>
        <v>1.8604651162790697</v>
      </c>
      <c r="Q47" s="128">
        <f>IF($Q$8="Habilitado",IF($A47="","",ROUND(VLOOKUP($A47,'Presupuesto Consolidado'!$BS$12:$BX$80,6,FALSE),2)),"")</f>
        <v>2820000</v>
      </c>
      <c r="R47" s="129">
        <f>IF($A47="","",IF(Q47="","",IF($K$4="Media aritmética",(Q47&lt;=$B47)*($G$5/$B$5)+(Q47&gt;$B47)*0,IF(AND(ROUND(AVERAGE($C47,$E47,$G47,$I47,$K47,$M47,$O47,$Q47,$S47,$U47,#REF!,#REF!,#REF!,#REF!,#REF!),2)-$B47/2&lt;=Q47,(ROUND(AVERAGE($C47,$E47,$G47,$I47,$K47,$M47,$O47,$Q47,$S47,$U47,#REF!,#REF!,#REF!,#REF!,#REF!),2)+$B47/2&gt;=Q47)),($G$5/$B$5),0))))</f>
        <v>1.8604651162790697</v>
      </c>
      <c r="S47" s="128">
        <f>IF($S$8="Habilitado",IF($A47="","",ROUND(VLOOKUP($A47,'Presupuesto Consolidado'!$CC$12:$CH$80,6,FALSE),2)),"")</f>
        <v>2780000</v>
      </c>
      <c r="T47" s="129">
        <f>IF($A47="","",IF(S47="","",IF($K$4="Media aritmética",(S47&lt;=$B47)*($G$5/$B$5)+(S47&gt;$B47)*0,IF(AND(ROUND(AVERAGE($C47,$E47,$G47,$I47,$K47,$M47,$O47,$Q47,$S47,$U47,#REF!,#REF!,#REF!,#REF!,#REF!),2)-$B47/2&lt;=S47,(ROUND(AVERAGE($C47,$E47,$G47,$I47,$K47,$M47,$O47,$Q47,$S47,$U47,#REF!,#REF!,#REF!,#REF!,#REF!),2)+$B47/2&gt;=S47)),($G$5/$B$5),0))))</f>
        <v>1.8604651162790697</v>
      </c>
      <c r="U47" s="128" t="str">
        <f>IF($U$8="Habilitado",IF($A47="","",ROUND(VLOOKUP($A47,'Presupuesto Consolidado'!$CM$12:$CR$80,6,FALSE),2)),"")</f>
        <v/>
      </c>
      <c r="V47" s="129" t="str">
        <f>IF($A47="","",IF(U47="","",IF($K$4="Media aritmética",(U47&lt;=$B47)*($G$5/$B$5)+(U47&gt;$B47)*0,IF(AND(ROUND(AVERAGE($C47,$E47,$G47,$I47,$K47,$M47,$O47,$Q47,$S47,$U47,#REF!,#REF!,#REF!,#REF!,#REF!),2)-$B47/2&lt;=U47,(ROUND(AVERAGE($C47,$E47,$G47,$I47,$K47,$M47,$O47,$Q47,$S47,$U47,#REF!,#REF!,#REF!,#REF!,#REF!),2)+$B47/2&gt;=U47)),($G$5/$B$5),0))))</f>
        <v/>
      </c>
    </row>
    <row r="48" spans="1:26" s="122" customFormat="1" ht="21" customHeight="1">
      <c r="A48" s="256" t="str">
        <f>+'Presupuesto Consolidado'!A33</f>
        <v>4.5</v>
      </c>
      <c r="B48" s="127">
        <f t="shared" si="9"/>
        <v>3453931.13</v>
      </c>
      <c r="C48" s="128">
        <f>IF($C$8="Habilitado",IF($A48="","",ROUND(VLOOKUP($A48,'Presupuesto Consolidado'!$A$12:$F$80,6,FALSE),2)),"")</f>
        <v>2130888</v>
      </c>
      <c r="D48" s="129">
        <f>IF($A48="","",IF(C48="","",IF($K$4="Media aritmética",(C48&lt;=$B48)*($G$5/$B$5)+(C48&gt;$B48)*0,IF(AND(ROUND(AVERAGE($C48,$E48,$G48,$I48,$K48,$M48,$O48,$Q48,$S48,$U48,#REF!,#REF!,#REF!,#REF!,#REF!),2)-$B48/2&lt;=C48,(ROUND(AVERAGE($C48,$E48,$G48,$I48,$K48,$M48,$O48,$Q48,$S48,$U48,#REF!,#REF!,#REF!,#REF!,#REF!),2)+$B48/2&gt;=C48)),($G$5/$B$5),0))))</f>
        <v>1.8604651162790697</v>
      </c>
      <c r="E48" s="128">
        <f>IF($E$8="Habilitado",IF($A48="","",ROUND(VLOOKUP($A48,'Presupuesto Consolidado'!$K$12:$P$80,6,FALSE),2)),"")</f>
        <v>4065510</v>
      </c>
      <c r="F48" s="129">
        <f>IF($A48="","",IF(E48="","",IF($K$4="Media aritmética",(E48&lt;=$B48)*($G$5/$B$5)+(E48&gt;$B48)*0,IF(AND(ROUND(AVERAGE($C48,$E48,$G48,$I48,$K48,$M48,$O48,$Q48,$S48,$U48,#REF!,#REF!,#REF!,#REF!,#REF!),2)-$B48/2&lt;=E48,(ROUND(AVERAGE($C48,$E48,$G48,$I48,$K48,$M48,$O48,$Q48,$S48,$U48,#REF!,#REF!,#REF!,#REF!,#REF!),2)+$B48/2&gt;=E48)),($G$5/$B$5),0))))</f>
        <v>0</v>
      </c>
      <c r="G48" s="128">
        <f>IF($G$8="Habilitado",IF($A48="","",ROUND(VLOOKUP($A48,'Presupuesto Consolidado'!$U$12:$Z$80,6,FALSE),2)),"")</f>
        <v>4906650</v>
      </c>
      <c r="H48" s="129">
        <f>IF($A48="","",IF(G48="","",IF($K$4="Media aritmética",(G48&lt;=$B48)*($G$5/$B$5)+(G48&gt;$B48)*0,IF(AND(ROUND(AVERAGE($C48,$E48,$G48,$I48,$K48,$M48,$O48,$Q48,$S48,$U48,#REF!,#REF!,#REF!,#REF!,#REF!),2)-$B48/2&lt;=G48,(ROUND(AVERAGE($C48,$E48,$G48,$I48,$K48,$M48,$O48,$Q48,$S48,$U48,#REF!,#REF!,#REF!,#REF!,#REF!),2)+$B48/2&gt;=G48)),($G$5/$B$5),0))))</f>
        <v>0</v>
      </c>
      <c r="I48" s="128">
        <f>IF($I$8="Habilitado",IF($A48="","",ROUND(VLOOKUP($A48,'Presupuesto Consolidado'!$AE$12:$AJ$80,6,FALSE),2)),"")</f>
        <v>3925320</v>
      </c>
      <c r="J48" s="129">
        <f>IF($A48="","",IF(I48="","",IF($K$4="Media aritmética",(I48&lt;=$B48)*($G$5/$B$5)+(I48&gt;$B48)*0,IF(AND(ROUND(AVERAGE($C48,$E48,$G48,$I48,$K48,$M48,$O48,$Q48,$S48,$U48,#REF!,#REF!,#REF!,#REF!,#REF!),2)-$B48/2&lt;=I48,(ROUND(AVERAGE($C48,$E48,$G48,$I48,$K48,$M48,$O48,$Q48,$S48,$U48,#REF!,#REF!,#REF!,#REF!,#REF!),2)+$B48/2&gt;=I48)),($G$5/$B$5),0))))</f>
        <v>0</v>
      </c>
      <c r="K48" s="128">
        <f>IF($K$8="Habilitado",IF($A48="","",ROUND(VLOOKUP($A48,'Presupuesto Consolidado'!$AO$12:$AT$80,6,FALSE),2)),"")</f>
        <v>3252408</v>
      </c>
      <c r="L48" s="129">
        <f>IF($A48="","",IF(K48="","",IF($K$4="Media aritmética",(K48&lt;=$B48)*($G$5/$B$5)+(K48&gt;$B48)*0,IF(AND(ROUND(AVERAGE($C48,$E48,$G48,$I48,$K48,$M48,$O48,$Q48,$S48,$U48,#REF!,#REF!,#REF!,#REF!,#REF!),2)-$B48/2&lt;=K48,(ROUND(AVERAGE($C48,$E48,$G48,$I48,$K48,$M48,$O48,$Q48,$S48,$U48,#REF!,#REF!,#REF!,#REF!,#REF!),2)+$B48/2&gt;=K48)),($G$5/$B$5),0))))</f>
        <v>1.8604651162790697</v>
      </c>
      <c r="M48" s="128" t="str">
        <f>IF($M$8="Habilitado",IF($A48="","",ROUND(VLOOKUP($A48,'Presupuesto Consolidado'!$AY$12:$BD$80,6,FALSE),2)),"")</f>
        <v/>
      </c>
      <c r="N48" s="129" t="str">
        <f>IF($A48="","",IF(M48="","",IF($K$4="Media aritmética",(M48&lt;=$B48)*($G$5/$B$5)+(M48&gt;$B48)*0,IF(AND(ROUND(AVERAGE($C48,$E48,$G48,$I48,$K48,$M48,$O48,$Q48,$S48,$U48,#REF!,#REF!,#REF!,#REF!,#REF!),2)-$B48/2&lt;=M48,(ROUND(AVERAGE($C48,$E48,$G48,$I48,$K48,$M48,$O48,$Q48,$S48,$U48,#REF!,#REF!,#REF!,#REF!,#REF!),2)+$B48/2&gt;=M48)),($G$5/$B$5),0))))</f>
        <v/>
      </c>
      <c r="O48" s="128">
        <f>IF($O$8="Habilitado",IF($A48="","",ROUND(VLOOKUP($A48,'Presupuesto Consolidado'!$BI$12:$BN$80,6,FALSE),2)),"")</f>
        <v>3014085</v>
      </c>
      <c r="P48" s="129">
        <f>IF($A48="","",IF(O48="","",IF($K$4="Media aritmética",(O48&lt;=$B48)*($G$5/$B$5)+(O48&gt;$B48)*0,IF(AND(ROUND(AVERAGE($C48,$E48,$G48,$I48,$K48,$M48,$O48,$Q48,$S48,$U48,#REF!,#REF!,#REF!,#REF!,#REF!),2)-$B48/2&lt;=O48,(ROUND(AVERAGE($C48,$E48,$G48,$I48,$K48,$M48,$O48,$Q48,$S48,$U48,#REF!,#REF!,#REF!,#REF!,#REF!),2)+$B48/2&gt;=O48)),($G$5/$B$5),0))))</f>
        <v>1.8604651162790697</v>
      </c>
      <c r="Q48" s="128">
        <f>IF($Q$8="Habilitado",IF($A48="","",ROUND(VLOOKUP($A48,'Presupuesto Consolidado'!$BS$12:$BX$80,6,FALSE),2)),"")</f>
        <v>3266427</v>
      </c>
      <c r="R48" s="129">
        <f>IF($A48="","",IF(Q48="","",IF($K$4="Media aritmética",(Q48&lt;=$B48)*($G$5/$B$5)+(Q48&gt;$B48)*0,IF(AND(ROUND(AVERAGE($C48,$E48,$G48,$I48,$K48,$M48,$O48,$Q48,$S48,$U48,#REF!,#REF!,#REF!,#REF!,#REF!),2)-$B48/2&lt;=Q48,(ROUND(AVERAGE($C48,$E48,$G48,$I48,$K48,$M48,$O48,$Q48,$S48,$U48,#REF!,#REF!,#REF!,#REF!,#REF!),2)+$B48/2&gt;=Q48)),($G$5/$B$5),0))))</f>
        <v>1.8604651162790697</v>
      </c>
      <c r="S48" s="128">
        <f>IF($S$8="Habilitado",IF($A48="","",ROUND(VLOOKUP($A48,'Presupuesto Consolidado'!$CC$12:$CH$80,6,FALSE),2)),"")</f>
        <v>3070161</v>
      </c>
      <c r="T48" s="129">
        <f>IF($A48="","",IF(S48="","",IF($K$4="Media aritmética",(S48&lt;=$B48)*($G$5/$B$5)+(S48&gt;$B48)*0,IF(AND(ROUND(AVERAGE($C48,$E48,$G48,$I48,$K48,$M48,$O48,$Q48,$S48,$U48,#REF!,#REF!,#REF!,#REF!,#REF!),2)-$B48/2&lt;=S48,(ROUND(AVERAGE($C48,$E48,$G48,$I48,$K48,$M48,$O48,$Q48,$S48,$U48,#REF!,#REF!,#REF!,#REF!,#REF!),2)+$B48/2&gt;=S48)),($G$5/$B$5),0))))</f>
        <v>1.8604651162790697</v>
      </c>
      <c r="U48" s="128" t="str">
        <f>IF($U$8="Habilitado",IF($A48="","",ROUND(VLOOKUP($A48,'Presupuesto Consolidado'!$CM$12:$CR$80,6,FALSE),2)),"")</f>
        <v/>
      </c>
      <c r="V48" s="129" t="str">
        <f>IF($A48="","",IF(U48="","",IF($K$4="Media aritmética",(U48&lt;=$B48)*($G$5/$B$5)+(U48&gt;$B48)*0,IF(AND(ROUND(AVERAGE($C48,$E48,$G48,$I48,$K48,$M48,$O48,$Q48,$S48,$U48,#REF!,#REF!,#REF!,#REF!,#REF!),2)-$B48/2&lt;=U48,(ROUND(AVERAGE($C48,$E48,$G48,$I48,$K48,$M48,$O48,$Q48,$S48,$U48,#REF!,#REF!,#REF!,#REF!,#REF!),2)+$B48/2&gt;=U48)),($G$5/$B$5),0))))</f>
        <v/>
      </c>
    </row>
    <row r="49" spans="1:22" s="122" customFormat="1" ht="21" customHeight="1">
      <c r="A49" s="256" t="str">
        <f>+'Presupuesto Consolidado'!A34</f>
        <v>4.6</v>
      </c>
      <c r="B49" s="127">
        <f t="shared" si="9"/>
        <v>3567875</v>
      </c>
      <c r="C49" s="128">
        <f>IF($C$8="Habilitado",IF($A49="","",ROUND(VLOOKUP($A49,'Presupuesto Consolidado'!$A$12:$F$80,6,FALSE),2)),"")</f>
        <v>3197000</v>
      </c>
      <c r="D49" s="129">
        <f>IF($A49="","",IF(C49="","",IF($K$4="Media aritmética",(C49&lt;=$B49)*($G$5/$B$5)+(C49&gt;$B49)*0,IF(AND(ROUND(AVERAGE($C49,$E49,$G49,$I49,$K49,$M49,$O49,$Q49,$S49,$U49,#REF!,#REF!,#REF!,#REF!,#REF!),2)-$B49/2&lt;=C49,(ROUND(AVERAGE($C49,$E49,$G49,$I49,$K49,$M49,$O49,$Q49,$S49,$U49,#REF!,#REF!,#REF!,#REF!,#REF!),2)+$B49/2&gt;=C49)),($G$5/$B$5),0))))</f>
        <v>1.8604651162790697</v>
      </c>
      <c r="E49" s="128">
        <f>IF($E$8="Habilitado",IF($A49="","",ROUND(VLOOKUP($A49,'Presupuesto Consolidado'!$K$12:$P$80,6,FALSE),2)),"")</f>
        <v>3450000</v>
      </c>
      <c r="F49" s="129">
        <f>IF($A49="","",IF(E49="","",IF($K$4="Media aritmética",(E49&lt;=$B49)*($G$5/$B$5)+(E49&gt;$B49)*0,IF(AND(ROUND(AVERAGE($C49,$E49,$G49,$I49,$K49,$M49,$O49,$Q49,$S49,$U49,#REF!,#REF!,#REF!,#REF!,#REF!),2)-$B49/2&lt;=E49,(ROUND(AVERAGE($C49,$E49,$G49,$I49,$K49,$M49,$O49,$Q49,$S49,$U49,#REF!,#REF!,#REF!,#REF!,#REF!),2)+$B49/2&gt;=E49)),($G$5/$B$5),0))))</f>
        <v>1.8604651162790697</v>
      </c>
      <c r="G49" s="128">
        <f>IF($G$8="Habilitado",IF($A49="","",ROUND(VLOOKUP($A49,'Presupuesto Consolidado'!$U$12:$Z$80,6,FALSE),2)),"")</f>
        <v>3105000</v>
      </c>
      <c r="H49" s="129">
        <f>IF($A49="","",IF(G49="","",IF($K$4="Media aritmética",(G49&lt;=$B49)*($G$5/$B$5)+(G49&gt;$B49)*0,IF(AND(ROUND(AVERAGE($C49,$E49,$G49,$I49,$K49,$M49,$O49,$Q49,$S49,$U49,#REF!,#REF!,#REF!,#REF!,#REF!),2)-$B49/2&lt;=G49,(ROUND(AVERAGE($C49,$E49,$G49,$I49,$K49,$M49,$O49,$Q49,$S49,$U49,#REF!,#REF!,#REF!,#REF!,#REF!),2)+$B49/2&gt;=G49)),($G$5/$B$5),0))))</f>
        <v>1.8604651162790697</v>
      </c>
      <c r="I49" s="128">
        <f>IF($I$8="Habilitado",IF($A49="","",ROUND(VLOOKUP($A49,'Presupuesto Consolidado'!$AE$12:$AJ$80,6,FALSE),2)),"")</f>
        <v>4600000</v>
      </c>
      <c r="J49" s="129">
        <f>IF($A49="","",IF(I49="","",IF($K$4="Media aritmética",(I49&lt;=$B49)*($G$5/$B$5)+(I49&gt;$B49)*0,IF(AND(ROUND(AVERAGE($C49,$E49,$G49,$I49,$K49,$M49,$O49,$Q49,$S49,$U49,#REF!,#REF!,#REF!,#REF!,#REF!),2)-$B49/2&lt;=I49,(ROUND(AVERAGE($C49,$E49,$G49,$I49,$K49,$M49,$O49,$Q49,$S49,$U49,#REF!,#REF!,#REF!,#REF!,#REF!),2)+$B49/2&gt;=I49)),($G$5/$B$5),0))))</f>
        <v>0</v>
      </c>
      <c r="K49" s="128">
        <f>IF($K$8="Habilitado",IF($A49="","",ROUND(VLOOKUP($A49,'Presupuesto Consolidado'!$AO$12:$AT$80,6,FALSE),2)),"")</f>
        <v>3542000</v>
      </c>
      <c r="L49" s="129">
        <f>IF($A49="","",IF(K49="","",IF($K$4="Media aritmética",(K49&lt;=$B49)*($G$5/$B$5)+(K49&gt;$B49)*0,IF(AND(ROUND(AVERAGE($C49,$E49,$G49,$I49,$K49,$M49,$O49,$Q49,$S49,$U49,#REF!,#REF!,#REF!,#REF!,#REF!),2)-$B49/2&lt;=K49,(ROUND(AVERAGE($C49,$E49,$G49,$I49,$K49,$M49,$O49,$Q49,$S49,$U49,#REF!,#REF!,#REF!,#REF!,#REF!),2)+$B49/2&gt;=K49)),($G$5/$B$5),0))))</f>
        <v>1.8604651162790697</v>
      </c>
      <c r="M49" s="128" t="str">
        <f>IF($M$8="Habilitado",IF($A49="","",ROUND(VLOOKUP($A49,'Presupuesto Consolidado'!$AY$12:$BD$80,6,FALSE),2)),"")</f>
        <v/>
      </c>
      <c r="N49" s="129" t="str">
        <f>IF($A49="","",IF(M49="","",IF($K$4="Media aritmética",(M49&lt;=$B49)*($G$5/$B$5)+(M49&gt;$B49)*0,IF(AND(ROUND(AVERAGE($C49,$E49,$G49,$I49,$K49,$M49,$O49,$Q49,$S49,$U49,#REF!,#REF!,#REF!,#REF!,#REF!),2)-$B49/2&lt;=M49,(ROUND(AVERAGE($C49,$E49,$G49,$I49,$K49,$M49,$O49,$Q49,$S49,$U49,#REF!,#REF!,#REF!,#REF!,#REF!),2)+$B49/2&gt;=M49)),($G$5/$B$5),0))))</f>
        <v/>
      </c>
      <c r="O49" s="128">
        <f>IF($O$8="Habilitado",IF($A49="","",ROUND(VLOOKUP($A49,'Presupuesto Consolidado'!$BI$12:$BN$80,6,FALSE),2)),"")</f>
        <v>3427000</v>
      </c>
      <c r="P49" s="129">
        <f>IF($A49="","",IF(O49="","",IF($K$4="Media aritmética",(O49&lt;=$B49)*($G$5/$B$5)+(O49&gt;$B49)*0,IF(AND(ROUND(AVERAGE($C49,$E49,$G49,$I49,$K49,$M49,$O49,$Q49,$S49,$U49,#REF!,#REF!,#REF!,#REF!,#REF!),2)-$B49/2&lt;=O49,(ROUND(AVERAGE($C49,$E49,$G49,$I49,$K49,$M49,$O49,$Q49,$S49,$U49,#REF!,#REF!,#REF!,#REF!,#REF!),2)+$B49/2&gt;=O49)),($G$5/$B$5),0))))</f>
        <v>1.8604651162790697</v>
      </c>
      <c r="Q49" s="128">
        <f>IF($Q$8="Habilitado",IF($A49="","",ROUND(VLOOKUP($A49,'Presupuesto Consolidado'!$BS$12:$BX$80,6,FALSE),2)),"")</f>
        <v>3588000</v>
      </c>
      <c r="R49" s="129">
        <f>IF($A49="","",IF(Q49="","",IF($K$4="Media aritmética",(Q49&lt;=$B49)*($G$5/$B$5)+(Q49&gt;$B49)*0,IF(AND(ROUND(AVERAGE($C49,$E49,$G49,$I49,$K49,$M49,$O49,$Q49,$S49,$U49,#REF!,#REF!,#REF!,#REF!,#REF!),2)-$B49/2&lt;=Q49,(ROUND(AVERAGE($C49,$E49,$G49,$I49,$K49,$M49,$O49,$Q49,$S49,$U49,#REF!,#REF!,#REF!,#REF!,#REF!),2)+$B49/2&gt;=Q49)),($G$5/$B$5),0))))</f>
        <v>0</v>
      </c>
      <c r="S49" s="128">
        <f>IF($S$8="Habilitado",IF($A49="","",ROUND(VLOOKUP($A49,'Presupuesto Consolidado'!$CC$12:$CH$80,6,FALSE),2)),"")</f>
        <v>3634000</v>
      </c>
      <c r="T49" s="129">
        <f>IF($A49="","",IF(S49="","",IF($K$4="Media aritmética",(S49&lt;=$B49)*($G$5/$B$5)+(S49&gt;$B49)*0,IF(AND(ROUND(AVERAGE($C49,$E49,$G49,$I49,$K49,$M49,$O49,$Q49,$S49,$U49,#REF!,#REF!,#REF!,#REF!,#REF!),2)-$B49/2&lt;=S49,(ROUND(AVERAGE($C49,$E49,$G49,$I49,$K49,$M49,$O49,$Q49,$S49,$U49,#REF!,#REF!,#REF!,#REF!,#REF!),2)+$B49/2&gt;=S49)),($G$5/$B$5),0))))</f>
        <v>0</v>
      </c>
      <c r="U49" s="128" t="str">
        <f>IF($U$8="Habilitado",IF($A49="","",ROUND(VLOOKUP($A49,'Presupuesto Consolidado'!$CM$12:$CR$80,6,FALSE),2)),"")</f>
        <v/>
      </c>
      <c r="V49" s="129" t="str">
        <f>IF($A49="","",IF(U49="","",IF($K$4="Media aritmética",(U49&lt;=$B49)*($G$5/$B$5)+(U49&gt;$B49)*0,IF(AND(ROUND(AVERAGE($C49,$E49,$G49,$I49,$K49,$M49,$O49,$Q49,$S49,$U49,#REF!,#REF!,#REF!,#REF!,#REF!),2)-$B49/2&lt;=U49,(ROUND(AVERAGE($C49,$E49,$G49,$I49,$K49,$M49,$O49,$Q49,$S49,$U49,#REF!,#REF!,#REF!,#REF!,#REF!),2)+$B49/2&gt;=U49)),($G$5/$B$5),0))))</f>
        <v/>
      </c>
    </row>
    <row r="50" spans="1:22" s="122" customFormat="1" ht="21" customHeight="1">
      <c r="A50" s="256" t="str">
        <f>+'Presupuesto Consolidado'!A36</f>
        <v>4.8</v>
      </c>
      <c r="B50" s="127">
        <f t="shared" si="9"/>
        <v>1023000</v>
      </c>
      <c r="C50" s="128">
        <f>IF($C$8="Habilitado",IF($A50="","",ROUND(VLOOKUP($A50,'Presupuesto Consolidado'!$A$12:$F$80,6,FALSE),2)),"")</f>
        <v>929500</v>
      </c>
      <c r="D50" s="129">
        <f>IF($A50="","",IF(C50="","",IF($K$4="Media aritmética",(C50&lt;=$B50)*($G$5/$B$5)+(C50&gt;$B50)*0,IF(AND(ROUND(AVERAGE($C50,$E50,$G50,$I50,$K50,$M50,$O50,$Q50,$S50,$U50,#REF!,#REF!,#REF!,#REF!,#REF!),2)-$B50/2&lt;=C50,(ROUND(AVERAGE($C50,$E50,$G50,$I50,$K50,$M50,$O50,$Q50,$S50,$U50,#REF!,#REF!,#REF!,#REF!,#REF!),2)+$B50/2&gt;=C50)),($G$5/$B$5),0))))</f>
        <v>1.8604651162790697</v>
      </c>
      <c r="E50" s="128">
        <f>IF($E$8="Habilitado",IF($A50="","",ROUND(VLOOKUP($A50,'Presupuesto Consolidado'!$K$12:$P$80,6,FALSE),2)),"")</f>
        <v>1155000</v>
      </c>
      <c r="F50" s="129">
        <f>IF($A50="","",IF(E50="","",IF($K$4="Media aritmética",(E50&lt;=$B50)*($G$5/$B$5)+(E50&gt;$B50)*0,IF(AND(ROUND(AVERAGE($C50,$E50,$G50,$I50,$K50,$M50,$O50,$Q50,$S50,$U50,#REF!,#REF!,#REF!,#REF!,#REF!),2)-$B50/2&lt;=E50,(ROUND(AVERAGE($C50,$E50,$G50,$I50,$K50,$M50,$O50,$Q50,$S50,$U50,#REF!,#REF!,#REF!,#REF!,#REF!),2)+$B50/2&gt;=E50)),($G$5/$B$5),0))))</f>
        <v>0</v>
      </c>
      <c r="G50" s="128">
        <f>IF($G$8="Habilitado",IF($A50="","",ROUND(VLOOKUP($A50,'Presupuesto Consolidado'!$U$12:$Z$80,6,FALSE),2)),"")</f>
        <v>852500</v>
      </c>
      <c r="H50" s="129">
        <f>IF($A50="","",IF(G50="","",IF($K$4="Media aritmética",(G50&lt;=$B50)*($G$5/$B$5)+(G50&gt;$B50)*0,IF(AND(ROUND(AVERAGE($C50,$E50,$G50,$I50,$K50,$M50,$O50,$Q50,$S50,$U50,#REF!,#REF!,#REF!,#REF!,#REF!),2)-$B50/2&lt;=G50,(ROUND(AVERAGE($C50,$E50,$G50,$I50,$K50,$M50,$O50,$Q50,$S50,$U50,#REF!,#REF!,#REF!,#REF!,#REF!),2)+$B50/2&gt;=G50)),($G$5/$B$5),0))))</f>
        <v>1.8604651162790697</v>
      </c>
      <c r="I50" s="128">
        <f>IF($I$8="Habilitado",IF($A50="","",ROUND(VLOOKUP($A50,'Presupuesto Consolidado'!$AE$12:$AJ$80,6,FALSE),2)),"")</f>
        <v>1540000</v>
      </c>
      <c r="J50" s="129">
        <f>IF($A50="","",IF(I50="","",IF($K$4="Media aritmética",(I50&lt;=$B50)*($G$5/$B$5)+(I50&gt;$B50)*0,IF(AND(ROUND(AVERAGE($C50,$E50,$G50,$I50,$K50,$M50,$O50,$Q50,$S50,$U50,#REF!,#REF!,#REF!,#REF!,#REF!),2)-$B50/2&lt;=I50,(ROUND(AVERAGE($C50,$E50,$G50,$I50,$K50,$M50,$O50,$Q50,$S50,$U50,#REF!,#REF!,#REF!,#REF!,#REF!),2)+$B50/2&gt;=I50)),($G$5/$B$5),0))))</f>
        <v>0</v>
      </c>
      <c r="K50" s="128">
        <f>IF($K$8="Habilitado",IF($A50="","",ROUND(VLOOKUP($A50,'Presupuesto Consolidado'!$AO$12:$AT$80,6,FALSE),2)),"")</f>
        <v>904750</v>
      </c>
      <c r="L50" s="129">
        <f>IF($A50="","",IF(K50="","",IF($K$4="Media aritmética",(K50&lt;=$B50)*($G$5/$B$5)+(K50&gt;$B50)*0,IF(AND(ROUND(AVERAGE($C50,$E50,$G50,$I50,$K50,$M50,$O50,$Q50,$S50,$U50,#REF!,#REF!,#REF!,#REF!,#REF!),2)-$B50/2&lt;=K50,(ROUND(AVERAGE($C50,$E50,$G50,$I50,$K50,$M50,$O50,$Q50,$S50,$U50,#REF!,#REF!,#REF!,#REF!,#REF!),2)+$B50/2&gt;=K50)),($G$5/$B$5),0))))</f>
        <v>1.8604651162790697</v>
      </c>
      <c r="M50" s="128" t="str">
        <f>IF($M$8="Habilitado",IF($A50="","",ROUND(VLOOKUP($A50,'Presupuesto Consolidado'!$AY$12:$BD$80,6,FALSE),2)),"")</f>
        <v/>
      </c>
      <c r="N50" s="129" t="str">
        <f>IF($A50="","",IF(M50="","",IF($K$4="Media aritmética",(M50&lt;=$B50)*($G$5/$B$5)+(M50&gt;$B50)*0,IF(AND(ROUND(AVERAGE($C50,$E50,$G50,$I50,$K50,$M50,$O50,$Q50,$S50,$U50,#REF!,#REF!,#REF!,#REF!,#REF!),2)-$B50/2&lt;=M50,(ROUND(AVERAGE($C50,$E50,$G50,$I50,$K50,$M50,$O50,$Q50,$S50,$U50,#REF!,#REF!,#REF!,#REF!,#REF!),2)+$B50/2&gt;=M50)),($G$5/$B$5),0))))</f>
        <v/>
      </c>
      <c r="O50" s="128">
        <f>IF($O$8="Habilitado",IF($A50="","",ROUND(VLOOKUP($A50,'Presupuesto Consolidado'!$BI$12:$BN$80,6,FALSE),2)),"")</f>
        <v>926750</v>
      </c>
      <c r="P50" s="129">
        <f>IF($A50="","",IF(O50="","",IF($K$4="Media aritmética",(O50&lt;=$B50)*($G$5/$B$5)+(O50&gt;$B50)*0,IF(AND(ROUND(AVERAGE($C50,$E50,$G50,$I50,$K50,$M50,$O50,$Q50,$S50,$U50,#REF!,#REF!,#REF!,#REF!,#REF!),2)-$B50/2&lt;=O50,(ROUND(AVERAGE($C50,$E50,$G50,$I50,$K50,$M50,$O50,$Q50,$S50,$U50,#REF!,#REF!,#REF!,#REF!,#REF!),2)+$B50/2&gt;=O50)),($G$5/$B$5),0))))</f>
        <v>1.8604651162790697</v>
      </c>
      <c r="Q50" s="128">
        <f>IF($Q$8="Habilitado",IF($A50="","",ROUND(VLOOKUP($A50,'Presupuesto Consolidado'!$BS$12:$BX$80,6,FALSE),2)),"")</f>
        <v>946000</v>
      </c>
      <c r="R50" s="129">
        <f>IF($A50="","",IF(Q50="","",IF($K$4="Media aritmética",(Q50&lt;=$B50)*($G$5/$B$5)+(Q50&gt;$B50)*0,IF(AND(ROUND(AVERAGE($C50,$E50,$G50,$I50,$K50,$M50,$O50,$Q50,$S50,$U50,#REF!,#REF!,#REF!,#REF!,#REF!),2)-$B50/2&lt;=Q50,(ROUND(AVERAGE($C50,$E50,$G50,$I50,$K50,$M50,$O50,$Q50,$S50,$U50,#REF!,#REF!,#REF!,#REF!,#REF!),2)+$B50/2&gt;=Q50)),($G$5/$B$5),0))))</f>
        <v>1.8604651162790697</v>
      </c>
      <c r="S50" s="128">
        <f>IF($S$8="Habilitado",IF($A50="","",ROUND(VLOOKUP($A50,'Presupuesto Consolidado'!$CC$12:$CH$80,6,FALSE),2)),"")</f>
        <v>929500</v>
      </c>
      <c r="T50" s="129">
        <f>IF($A50="","",IF(S50="","",IF($K$4="Media aritmética",(S50&lt;=$B50)*($G$5/$B$5)+(S50&gt;$B50)*0,IF(AND(ROUND(AVERAGE($C50,$E50,$G50,$I50,$K50,$M50,$O50,$Q50,$S50,$U50,#REF!,#REF!,#REF!,#REF!,#REF!),2)-$B50/2&lt;=S50,(ROUND(AVERAGE($C50,$E50,$G50,$I50,$K50,$M50,$O50,$Q50,$S50,$U50,#REF!,#REF!,#REF!,#REF!,#REF!),2)+$B50/2&gt;=S50)),($G$5/$B$5),0))))</f>
        <v>1.8604651162790697</v>
      </c>
      <c r="U50" s="128" t="str">
        <f>IF($U$8="Habilitado",IF($A50="","",ROUND(VLOOKUP($A50,'Presupuesto Consolidado'!$CM$12:$CR$80,6,FALSE),2)),"")</f>
        <v/>
      </c>
      <c r="V50" s="129" t="str">
        <f>IF($A50="","",IF(U50="","",IF($K$4="Media aritmética",(U50&lt;=$B50)*($G$5/$B$5)+(U50&gt;$B50)*0,IF(AND(ROUND(AVERAGE($C50,$E50,$G50,$I50,$K50,$M50,$O50,$Q50,$S50,$U50,#REF!,#REF!,#REF!,#REF!,#REF!),2)-$B50/2&lt;=U50,(ROUND(AVERAGE($C50,$E50,$G50,$I50,$K50,$M50,$O50,$Q50,$S50,$U50,#REF!,#REF!,#REF!,#REF!,#REF!),2)+$B50/2&gt;=U50)),($G$5/$B$5),0))))</f>
        <v/>
      </c>
    </row>
    <row r="51" spans="1:22" s="122" customFormat="1" ht="21" customHeight="1">
      <c r="A51" s="256" t="str">
        <f>+'Presupuesto Consolidado'!A37</f>
        <v>4.9</v>
      </c>
      <c r="B51" s="127">
        <f t="shared" si="9"/>
        <v>3493125</v>
      </c>
      <c r="C51" s="128">
        <f>IF($C$8="Habilitado",IF($A51="","",ROUND(VLOOKUP($A51,'Presupuesto Consolidado'!$A$12:$F$80,6,FALSE),2)),"")</f>
        <v>1875000</v>
      </c>
      <c r="D51" s="129">
        <f>IF($A51="","",IF(C51="","",IF($K$4="Media aritmética",(C51&lt;=$B51)*($G$5/$B$5)+(C51&gt;$B51)*0,IF(AND(ROUND(AVERAGE($C51,$E51,$G51,$I51,$K51,$M51,$O51,$Q51,$S51,$U51,#REF!,#REF!,#REF!,#REF!,#REF!),2)-$B51/2&lt;=C51,(ROUND(AVERAGE($C51,$E51,$G51,$I51,$K51,$M51,$O51,$Q51,$S51,$U51,#REF!,#REF!,#REF!,#REF!,#REF!),2)+$B51/2&gt;=C51)),($G$5/$B$5),0))))</f>
        <v>1.8604651162790697</v>
      </c>
      <c r="E51" s="128">
        <f>IF($E$8="Habilitado",IF($A51="","",ROUND(VLOOKUP($A51,'Presupuesto Consolidado'!$K$12:$P$80,6,FALSE),2)),"")</f>
        <v>1650000</v>
      </c>
      <c r="F51" s="129">
        <f>IF($A51="","",IF(E51="","",IF($K$4="Media aritmética",(E51&lt;=$B51)*($G$5/$B$5)+(E51&gt;$B51)*0,IF(AND(ROUND(AVERAGE($C51,$E51,$G51,$I51,$K51,$M51,$O51,$Q51,$S51,$U51,#REF!,#REF!,#REF!,#REF!,#REF!),2)-$B51/2&lt;=E51,(ROUND(AVERAGE($C51,$E51,$G51,$I51,$K51,$M51,$O51,$Q51,$S51,$U51,#REF!,#REF!,#REF!,#REF!,#REF!),2)+$B51/2&gt;=E51)),($G$5/$B$5),0))))</f>
        <v>1.8604651162790697</v>
      </c>
      <c r="G51" s="128">
        <f>IF($G$8="Habilitado",IF($A51="","",ROUND(VLOOKUP($A51,'Presupuesto Consolidado'!$U$12:$Z$80,6,FALSE),2)),"")</f>
        <v>14700000</v>
      </c>
      <c r="H51" s="129">
        <f>IF($A51="","",IF(G51="","",IF($K$4="Media aritmética",(G51&lt;=$B51)*($G$5/$B$5)+(G51&gt;$B51)*0,IF(AND(ROUND(AVERAGE($C51,$E51,$G51,$I51,$K51,$M51,$O51,$Q51,$S51,$U51,#REF!,#REF!,#REF!,#REF!,#REF!),2)-$B51/2&lt;=G51,(ROUND(AVERAGE($C51,$E51,$G51,$I51,$K51,$M51,$O51,$Q51,$S51,$U51,#REF!,#REF!,#REF!,#REF!,#REF!),2)+$B51/2&gt;=G51)),($G$5/$B$5),0))))</f>
        <v>0</v>
      </c>
      <c r="I51" s="128">
        <f>IF($I$8="Habilitado",IF($A51="","",ROUND(VLOOKUP($A51,'Presupuesto Consolidado'!$AE$12:$AJ$80,6,FALSE),2)),"")</f>
        <v>2250000</v>
      </c>
      <c r="J51" s="129">
        <f>IF($A51="","",IF(I51="","",IF($K$4="Media aritmética",(I51&lt;=$B51)*($G$5/$B$5)+(I51&gt;$B51)*0,IF(AND(ROUND(AVERAGE($C51,$E51,$G51,$I51,$K51,$M51,$O51,$Q51,$S51,$U51,#REF!,#REF!,#REF!,#REF!,#REF!),2)-$B51/2&lt;=I51,(ROUND(AVERAGE($C51,$E51,$G51,$I51,$K51,$M51,$O51,$Q51,$S51,$U51,#REF!,#REF!,#REF!,#REF!,#REF!),2)+$B51/2&gt;=I51)),($G$5/$B$5),0))))</f>
        <v>1.8604651162790697</v>
      </c>
      <c r="K51" s="128">
        <f>IF($K$8="Habilitado",IF($A51="","",ROUND(VLOOKUP($A51,'Presupuesto Consolidado'!$AO$12:$AT$80,6,FALSE),2)),"")</f>
        <v>1815000</v>
      </c>
      <c r="L51" s="129">
        <f>IF($A51="","",IF(K51="","",IF($K$4="Media aritmética",(K51&lt;=$B51)*($G$5/$B$5)+(K51&gt;$B51)*0,IF(AND(ROUND(AVERAGE($C51,$E51,$G51,$I51,$K51,$M51,$O51,$Q51,$S51,$U51,#REF!,#REF!,#REF!,#REF!,#REF!),2)-$B51/2&lt;=K51,(ROUND(AVERAGE($C51,$E51,$G51,$I51,$K51,$M51,$O51,$Q51,$S51,$U51,#REF!,#REF!,#REF!,#REF!,#REF!),2)+$B51/2&gt;=K51)),($G$5/$B$5),0))))</f>
        <v>1.8604651162790697</v>
      </c>
      <c r="M51" s="128" t="str">
        <f>IF($M$8="Habilitado",IF($A51="","",ROUND(VLOOKUP($A51,'Presupuesto Consolidado'!$AY$12:$BD$80,6,FALSE),2)),"")</f>
        <v/>
      </c>
      <c r="N51" s="129" t="str">
        <f>IF($A51="","",IF(M51="","",IF($K$4="Media aritmética",(M51&lt;=$B51)*($G$5/$B$5)+(M51&gt;$B51)*0,IF(AND(ROUND(AVERAGE($C51,$E51,$G51,$I51,$K51,$M51,$O51,$Q51,$S51,$U51,#REF!,#REF!,#REF!,#REF!,#REF!),2)-$B51/2&lt;=M51,(ROUND(AVERAGE($C51,$E51,$G51,$I51,$K51,$M51,$O51,$Q51,$S51,$U51,#REF!,#REF!,#REF!,#REF!,#REF!),2)+$B51/2&gt;=M51)),($G$5/$B$5),0))))</f>
        <v/>
      </c>
      <c r="O51" s="128">
        <f>IF($O$8="Habilitado",IF($A51="","",ROUND(VLOOKUP($A51,'Presupuesto Consolidado'!$BI$12:$BN$80,6,FALSE),2)),"")</f>
        <v>1830000</v>
      </c>
      <c r="P51" s="129">
        <f>IF($A51="","",IF(O51="","",IF($K$4="Media aritmética",(O51&lt;=$B51)*($G$5/$B$5)+(O51&gt;$B51)*0,IF(AND(ROUND(AVERAGE($C51,$E51,$G51,$I51,$K51,$M51,$O51,$Q51,$S51,$U51,#REF!,#REF!,#REF!,#REF!,#REF!),2)-$B51/2&lt;=O51,(ROUND(AVERAGE($C51,$E51,$G51,$I51,$K51,$M51,$O51,$Q51,$S51,$U51,#REF!,#REF!,#REF!,#REF!,#REF!),2)+$B51/2&gt;=O51)),($G$5/$B$5),0))))</f>
        <v>1.8604651162790697</v>
      </c>
      <c r="Q51" s="128">
        <f>IF($Q$8="Habilitado",IF($A51="","",ROUND(VLOOKUP($A51,'Presupuesto Consolidado'!$BS$12:$BX$80,6,FALSE),2)),"")</f>
        <v>1965000</v>
      </c>
      <c r="R51" s="129">
        <f>IF($A51="","",IF(Q51="","",IF($K$4="Media aritmética",(Q51&lt;=$B51)*($G$5/$B$5)+(Q51&gt;$B51)*0,IF(AND(ROUND(AVERAGE($C51,$E51,$G51,$I51,$K51,$M51,$O51,$Q51,$S51,$U51,#REF!,#REF!,#REF!,#REF!,#REF!),2)-$B51/2&lt;=Q51,(ROUND(AVERAGE($C51,$E51,$G51,$I51,$K51,$M51,$O51,$Q51,$S51,$U51,#REF!,#REF!,#REF!,#REF!,#REF!),2)+$B51/2&gt;=Q51)),($G$5/$B$5),0))))</f>
        <v>1.8604651162790697</v>
      </c>
      <c r="S51" s="128">
        <f>IF($S$8="Habilitado",IF($A51="","",ROUND(VLOOKUP($A51,'Presupuesto Consolidado'!$CC$12:$CH$80,6,FALSE),2)),"")</f>
        <v>1860000</v>
      </c>
      <c r="T51" s="129">
        <f>IF($A51="","",IF(S51="","",IF($K$4="Media aritmética",(S51&lt;=$B51)*($G$5/$B$5)+(S51&gt;$B51)*0,IF(AND(ROUND(AVERAGE($C51,$E51,$G51,$I51,$K51,$M51,$O51,$Q51,$S51,$U51,#REF!,#REF!,#REF!,#REF!,#REF!),2)-$B51/2&lt;=S51,(ROUND(AVERAGE($C51,$E51,$G51,$I51,$K51,$M51,$O51,$Q51,$S51,$U51,#REF!,#REF!,#REF!,#REF!,#REF!),2)+$B51/2&gt;=S51)),($G$5/$B$5),0))))</f>
        <v>1.8604651162790697</v>
      </c>
      <c r="U51" s="128" t="str">
        <f>IF($U$8="Habilitado",IF($A51="","",ROUND(VLOOKUP($A51,'Presupuesto Consolidado'!$CM$12:$CR$80,6,FALSE),2)),"")</f>
        <v/>
      </c>
      <c r="V51" s="129" t="str">
        <f>IF($A51="","",IF(U51="","",IF($K$4="Media aritmética",(U51&lt;=$B51)*($G$5/$B$5)+(U51&gt;$B51)*0,IF(AND(ROUND(AVERAGE($C51,$E51,$G51,$I51,$K51,$M51,$O51,$Q51,$S51,$U51,#REF!,#REF!,#REF!,#REF!,#REF!),2)-$B51/2&lt;=U51,(ROUND(AVERAGE($C51,$E51,$G51,$I51,$K51,$M51,$O51,$Q51,$S51,$U51,#REF!,#REF!,#REF!,#REF!,#REF!),2)+$B51/2&gt;=U51)),($G$5/$B$5),0))))</f>
        <v/>
      </c>
    </row>
    <row r="52" spans="1:22" s="122" customFormat="1" ht="21" customHeight="1">
      <c r="A52" s="256" t="str">
        <f>+'Presupuesto Consolidado'!A46</f>
        <v>6.2</v>
      </c>
      <c r="B52" s="127">
        <f t="shared" si="9"/>
        <v>2997150</v>
      </c>
      <c r="C52" s="128">
        <f>IF($C$8="Habilitado",IF($A52="","",ROUND(VLOOKUP($A52,'Presupuesto Consolidado'!$A$12:$F$80,6,FALSE),2)),"")</f>
        <v>3259600</v>
      </c>
      <c r="D52" s="129">
        <f>IF($A52="","",IF(C52="","",IF($K$4="Media aritmética",(C52&lt;=$B52)*($G$5/$B$5)+(C52&gt;$B52)*0,IF(AND(ROUND(AVERAGE($C52,$E52,$G52,$I52,$K52,$M52,$O52,$Q52,$S52,$U52,#REF!,#REF!,#REF!,#REF!,#REF!),2)-$B52/2&lt;=C52,(ROUND(AVERAGE($C52,$E52,$G52,$I52,$K52,$M52,$O52,$Q52,$S52,$U52,#REF!,#REF!,#REF!,#REF!,#REF!),2)+$B52/2&gt;=C52)),($G$5/$B$5),0))))</f>
        <v>0</v>
      </c>
      <c r="E52" s="128">
        <f>IF($E$8="Habilitado",IF($A52="","",ROUND(VLOOKUP($A52,'Presupuesto Consolidado'!$K$12:$P$80,6,FALSE),2)),"")</f>
        <v>2192400</v>
      </c>
      <c r="F52" s="129">
        <f>IF($A52="","",IF(E52="","",IF($K$4="Media aritmética",(E52&lt;=$B52)*($G$5/$B$5)+(E52&gt;$B52)*0,IF(AND(ROUND(AVERAGE($C52,$E52,$G52,$I52,$K52,$M52,$O52,$Q52,$S52,$U52,#REF!,#REF!,#REF!,#REF!,#REF!),2)-$B52/2&lt;=E52,(ROUND(AVERAGE($C52,$E52,$G52,$I52,$K52,$M52,$O52,$Q52,$S52,$U52,#REF!,#REF!,#REF!,#REF!,#REF!),2)+$B52/2&gt;=E52)),($G$5/$B$5),0))))</f>
        <v>1.8604651162790697</v>
      </c>
      <c r="G52" s="128">
        <f>IF($G$8="Habilitado",IF($A52="","",ROUND(VLOOKUP($A52,'Presupuesto Consolidado'!$U$12:$Z$80,6,FALSE),2)),"")</f>
        <v>4930000</v>
      </c>
      <c r="H52" s="129">
        <f>IF($A52="","",IF(G52="","",IF($K$4="Media aritmética",(G52&lt;=$B52)*($G$5/$B$5)+(G52&gt;$B52)*0,IF(AND(ROUND(AVERAGE($C52,$E52,$G52,$I52,$K52,$M52,$O52,$Q52,$S52,$U52,#REF!,#REF!,#REF!,#REF!,#REF!),2)-$B52/2&lt;=G52,(ROUND(AVERAGE($C52,$E52,$G52,$I52,$K52,$M52,$O52,$Q52,$S52,$U52,#REF!,#REF!,#REF!,#REF!,#REF!),2)+$B52/2&gt;=G52)),($G$5/$B$5),0))))</f>
        <v>0</v>
      </c>
      <c r="I52" s="128">
        <f>IF($I$8="Habilitado",IF($A52="","",ROUND(VLOOKUP($A52,'Presupuesto Consolidado'!$AE$12:$AJ$80,6,FALSE),2)),"")</f>
        <v>2610000</v>
      </c>
      <c r="J52" s="129">
        <f>IF($A52="","",IF(I52="","",IF($K$4="Media aritmética",(I52&lt;=$B52)*($G$5/$B$5)+(I52&gt;$B52)*0,IF(AND(ROUND(AVERAGE($C52,$E52,$G52,$I52,$K52,$M52,$O52,$Q52,$S52,$U52,#REF!,#REF!,#REF!,#REF!,#REF!),2)-$B52/2&lt;=I52,(ROUND(AVERAGE($C52,$E52,$G52,$I52,$K52,$M52,$O52,$Q52,$S52,$U52,#REF!,#REF!,#REF!,#REF!,#REF!),2)+$B52/2&gt;=I52)),($G$5/$B$5),0))))</f>
        <v>1.8604651162790697</v>
      </c>
      <c r="K52" s="128">
        <f>IF($K$8="Habilitado",IF($A52="","",ROUND(VLOOKUP($A52,'Presupuesto Consolidado'!$AO$12:$AT$80,6,FALSE),2)),"")</f>
        <v>2679600</v>
      </c>
      <c r="L52" s="129">
        <f>IF($A52="","",IF(K52="","",IF($K$4="Media aritmética",(K52&lt;=$B52)*($G$5/$B$5)+(K52&gt;$B52)*0,IF(AND(ROUND(AVERAGE($C52,$E52,$G52,$I52,$K52,$M52,$O52,$Q52,$S52,$U52,#REF!,#REF!,#REF!,#REF!,#REF!),2)-$B52/2&lt;=K52,(ROUND(AVERAGE($C52,$E52,$G52,$I52,$K52,$M52,$O52,$Q52,$S52,$U52,#REF!,#REF!,#REF!,#REF!,#REF!),2)+$B52/2&gt;=K52)),($G$5/$B$5),0))))</f>
        <v>1.8604651162790697</v>
      </c>
      <c r="M52" s="128" t="str">
        <f>IF($M$8="Habilitado",IF($A52="","",ROUND(VLOOKUP($A52,'Presupuesto Consolidado'!$AY$12:$BD$80,6,FALSE),2)),"")</f>
        <v/>
      </c>
      <c r="N52" s="129" t="str">
        <f>IF($A52="","",IF(M52="","",IF($K$4="Media aritmética",(M52&lt;=$B52)*($G$5/$B$5)+(M52&gt;$B52)*0,IF(AND(ROUND(AVERAGE($C52,$E52,$G52,$I52,$K52,$M52,$O52,$Q52,$S52,$U52,#REF!,#REF!,#REF!,#REF!,#REF!),2)-$B52/2&lt;=M52,(ROUND(AVERAGE($C52,$E52,$G52,$I52,$K52,$M52,$O52,$Q52,$S52,$U52,#REF!,#REF!,#REF!,#REF!,#REF!),2)+$B52/2&gt;=M52)),($G$5/$B$5),0))))</f>
        <v/>
      </c>
      <c r="O52" s="128">
        <f>IF($O$8="Habilitado",IF($A52="","",ROUND(VLOOKUP($A52,'Presupuesto Consolidado'!$BI$12:$BN$80,6,FALSE),2)),"")</f>
        <v>2782840</v>
      </c>
      <c r="P52" s="129">
        <f>IF($A52="","",IF(O52="","",IF($K$4="Media aritmética",(O52&lt;=$B52)*($G$5/$B$5)+(O52&gt;$B52)*0,IF(AND(ROUND(AVERAGE($C52,$E52,$G52,$I52,$K52,$M52,$O52,$Q52,$S52,$U52,#REF!,#REF!,#REF!,#REF!,#REF!),2)-$B52/2&lt;=O52,(ROUND(AVERAGE($C52,$E52,$G52,$I52,$K52,$M52,$O52,$Q52,$S52,$U52,#REF!,#REF!,#REF!,#REF!,#REF!),2)+$B52/2&gt;=O52)),($G$5/$B$5),0))))</f>
        <v>1.8604651162790697</v>
      </c>
      <c r="Q52" s="128">
        <f>IF($Q$8="Habilitado",IF($A52="","",ROUND(VLOOKUP($A52,'Presupuesto Consolidado'!$BS$12:$BX$80,6,FALSE),2)),"")</f>
        <v>2731800</v>
      </c>
      <c r="R52" s="129">
        <f>IF($A52="","",IF(Q52="","",IF($K$4="Media aritmética",(Q52&lt;=$B52)*($G$5/$B$5)+(Q52&gt;$B52)*0,IF(AND(ROUND(AVERAGE($C52,$E52,$G52,$I52,$K52,$M52,$O52,$Q52,$S52,$U52,#REF!,#REF!,#REF!,#REF!,#REF!),2)-$B52/2&lt;=Q52,(ROUND(AVERAGE($C52,$E52,$G52,$I52,$K52,$M52,$O52,$Q52,$S52,$U52,#REF!,#REF!,#REF!,#REF!,#REF!),2)+$B52/2&gt;=Q52)),($G$5/$B$5),0))))</f>
        <v>1.8604651162790697</v>
      </c>
      <c r="S52" s="128">
        <f>IF($S$8="Habilitado",IF($A52="","",ROUND(VLOOKUP($A52,'Presupuesto Consolidado'!$CC$12:$CH$80,6,FALSE),2)),"")</f>
        <v>2790960</v>
      </c>
      <c r="T52" s="129">
        <f>IF($A52="","",IF(S52="","",IF($K$4="Media aritmética",(S52&lt;=$B52)*($G$5/$B$5)+(S52&gt;$B52)*0,IF(AND(ROUND(AVERAGE($C52,$E52,$G52,$I52,$K52,$M52,$O52,$Q52,$S52,$U52,#REF!,#REF!,#REF!,#REF!,#REF!),2)-$B52/2&lt;=S52,(ROUND(AVERAGE($C52,$E52,$G52,$I52,$K52,$M52,$O52,$Q52,$S52,$U52,#REF!,#REF!,#REF!,#REF!,#REF!),2)+$B52/2&gt;=S52)),($G$5/$B$5),0))))</f>
        <v>1.8604651162790697</v>
      </c>
      <c r="U52" s="128" t="str">
        <f>IF($U$8="Habilitado",IF($A52="","",ROUND(VLOOKUP($A52,'Presupuesto Consolidado'!$CM$12:$CR$80,6,FALSE),2)),"")</f>
        <v/>
      </c>
      <c r="V52" s="129" t="str">
        <f>IF($A52="","",IF(U52="","",IF($K$4="Media aritmética",(U52&lt;=$B52)*($G$5/$B$5)+(U52&gt;$B52)*0,IF(AND(ROUND(AVERAGE($C52,$E52,$G52,$I52,$K52,$M52,$O52,$Q52,$S52,$U52,#REF!,#REF!,#REF!,#REF!,#REF!),2)-$B52/2&lt;=U52,(ROUND(AVERAGE($C52,$E52,$G52,$I52,$K52,$M52,$O52,$Q52,$S52,$U52,#REF!,#REF!,#REF!,#REF!,#REF!),2)+$B52/2&gt;=U52)),($G$5/$B$5),0))))</f>
        <v/>
      </c>
    </row>
    <row r="53" spans="1:22" s="122" customFormat="1" ht="21" customHeight="1">
      <c r="A53" s="256" t="str">
        <f>+'Presupuesto Consolidado'!A47</f>
        <v>6.3</v>
      </c>
      <c r="B53" s="127">
        <f t="shared" si="9"/>
        <v>2626391.75</v>
      </c>
      <c r="C53" s="128">
        <f>IF($C$8="Habilitado",IF($A53="","",ROUND(VLOOKUP($A53,'Presupuesto Consolidado'!$A$12:$F$80,6,FALSE),2)),"")</f>
        <v>2935500</v>
      </c>
      <c r="D53" s="129">
        <f>IF($A53="","",IF(C53="","",IF($K$4="Media aritmética",(C53&lt;=$B53)*($G$5/$B$5)+(C53&gt;$B53)*0,IF(AND(ROUND(AVERAGE($C53,$E53,$G53,$I53,$K53,$M53,$O53,$Q53,$S53,$U53,#REF!,#REF!,#REF!,#REF!,#REF!),2)-$B53/2&lt;=C53,(ROUND(AVERAGE($C53,$E53,$G53,$I53,$K53,$M53,$O53,$Q53,$S53,$U53,#REF!,#REF!,#REF!,#REF!,#REF!),2)+$B53/2&gt;=C53)),($G$5/$B$5),0))))</f>
        <v>0</v>
      </c>
      <c r="E53" s="128">
        <f>IF($E$8="Habilitado",IF($A53="","",ROUND(VLOOKUP($A53,'Presupuesto Consolidado'!$K$12:$P$80,6,FALSE),2)),"")</f>
        <v>2661520</v>
      </c>
      <c r="F53" s="129">
        <f>IF($A53="","",IF(E53="","",IF($K$4="Media aritmética",(E53&lt;=$B53)*($G$5/$B$5)+(E53&gt;$B53)*0,IF(AND(ROUND(AVERAGE($C53,$E53,$G53,$I53,$K53,$M53,$O53,$Q53,$S53,$U53,#REF!,#REF!,#REF!,#REF!,#REF!),2)-$B53/2&lt;=E53,(ROUND(AVERAGE($C53,$E53,$G53,$I53,$K53,$M53,$O53,$Q53,$S53,$U53,#REF!,#REF!,#REF!,#REF!,#REF!),2)+$B53/2&gt;=E53)),($G$5/$B$5),0))))</f>
        <v>0</v>
      </c>
      <c r="G53" s="128">
        <f>IF($G$8="Habilitado",IF($A53="","",ROUND(VLOOKUP($A53,'Presupuesto Consolidado'!$U$12:$Z$80,6,FALSE),2)),"")</f>
        <v>2739800</v>
      </c>
      <c r="H53" s="129">
        <f>IF($A53="","",IF(G53="","",IF($K$4="Media aritmética",(G53&lt;=$B53)*($G$5/$B$5)+(G53&gt;$B53)*0,IF(AND(ROUND(AVERAGE($C53,$E53,$G53,$I53,$K53,$M53,$O53,$Q53,$S53,$U53,#REF!,#REF!,#REF!,#REF!,#REF!),2)-$B53/2&lt;=G53,(ROUND(AVERAGE($C53,$E53,$G53,$I53,$K53,$M53,$O53,$Q53,$S53,$U53,#REF!,#REF!,#REF!,#REF!,#REF!),2)+$B53/2&gt;=G53)),($G$5/$B$5),0))))</f>
        <v>0</v>
      </c>
      <c r="I53" s="128">
        <f>IF($I$8="Habilitado",IF($A53="","",ROUND(VLOOKUP($A53,'Presupuesto Consolidado'!$AE$12:$AJ$80,6,FALSE),2)),"")</f>
        <v>3326900</v>
      </c>
      <c r="J53" s="129">
        <f>IF($A53="","",IF(I53="","",IF($K$4="Media aritmética",(I53&lt;=$B53)*($G$5/$B$5)+(I53&gt;$B53)*0,IF(AND(ROUND(AVERAGE($C53,$E53,$G53,$I53,$K53,$M53,$O53,$Q53,$S53,$U53,#REF!,#REF!,#REF!,#REF!,#REF!),2)-$B53/2&lt;=I53,(ROUND(AVERAGE($C53,$E53,$G53,$I53,$K53,$M53,$O53,$Q53,$S53,$U53,#REF!,#REF!,#REF!,#REF!,#REF!),2)+$B53/2&gt;=I53)),($G$5/$B$5),0))))</f>
        <v>0</v>
      </c>
      <c r="K53" s="128">
        <f>IF($K$8="Habilitado",IF($A53="","",ROUND(VLOOKUP($A53,'Presupuesto Consolidado'!$AO$12:$AT$80,6,FALSE),2)),"")</f>
        <v>2442336</v>
      </c>
      <c r="L53" s="129">
        <f>IF($A53="","",IF(K53="","",IF($K$4="Media aritmética",(K53&lt;=$B53)*($G$5/$B$5)+(K53&gt;$B53)*0,IF(AND(ROUND(AVERAGE($C53,$E53,$G53,$I53,$K53,$M53,$O53,$Q53,$S53,$U53,#REF!,#REF!,#REF!,#REF!,#REF!),2)-$B53/2&lt;=K53,(ROUND(AVERAGE($C53,$E53,$G53,$I53,$K53,$M53,$O53,$Q53,$S53,$U53,#REF!,#REF!,#REF!,#REF!,#REF!),2)+$B53/2&gt;=K53)),($G$5/$B$5),0))))</f>
        <v>1.8604651162790697</v>
      </c>
      <c r="M53" s="128" t="str">
        <f>IF($M$8="Habilitado",IF($A53="","",ROUND(VLOOKUP($A53,'Presupuesto Consolidado'!$AY$12:$BD$80,6,FALSE),2)),"")</f>
        <v/>
      </c>
      <c r="N53" s="129" t="str">
        <f>IF($A53="","",IF(M53="","",IF($K$4="Media aritmética",(M53&lt;=$B53)*($G$5/$B$5)+(M53&gt;$B53)*0,IF(AND(ROUND(AVERAGE($C53,$E53,$G53,$I53,$K53,$M53,$O53,$Q53,$S53,$U53,#REF!,#REF!,#REF!,#REF!,#REF!),2)-$B53/2&lt;=M53,(ROUND(AVERAGE($C53,$E53,$G53,$I53,$K53,$M53,$O53,$Q53,$S53,$U53,#REF!,#REF!,#REF!,#REF!,#REF!),2)+$B53/2&gt;=M53)),($G$5/$B$5),0))))</f>
        <v/>
      </c>
      <c r="O53" s="128">
        <f>IF($O$8="Habilitado",IF($A53="","",ROUND(VLOOKUP($A53,'Presupuesto Consolidado'!$BI$12:$BN$80,6,FALSE),2)),"")</f>
        <v>2268554</v>
      </c>
      <c r="P53" s="129">
        <f>IF($A53="","",IF(O53="","",IF($K$4="Media aritmética",(O53&lt;=$B53)*($G$5/$B$5)+(O53&gt;$B53)*0,IF(AND(ROUND(AVERAGE($C53,$E53,$G53,$I53,$K53,$M53,$O53,$Q53,$S53,$U53,#REF!,#REF!,#REF!,#REF!,#REF!),2)-$B53/2&lt;=O53,(ROUND(AVERAGE($C53,$E53,$G53,$I53,$K53,$M53,$O53,$Q53,$S53,$U53,#REF!,#REF!,#REF!,#REF!,#REF!),2)+$B53/2&gt;=O53)),($G$5/$B$5),0))))</f>
        <v>1.8604651162790697</v>
      </c>
      <c r="Q53" s="128">
        <f>IF($Q$8="Habilitado",IF($A53="","",ROUND(VLOOKUP($A53,'Presupuesto Consolidado'!$BS$12:$BX$80,6,FALSE),2)),"")</f>
        <v>2332744</v>
      </c>
      <c r="R53" s="129">
        <f>IF($A53="","",IF(Q53="","",IF($K$4="Media aritmética",(Q53&lt;=$B53)*($G$5/$B$5)+(Q53&gt;$B53)*0,IF(AND(ROUND(AVERAGE($C53,$E53,$G53,$I53,$K53,$M53,$O53,$Q53,$S53,$U53,#REF!,#REF!,#REF!,#REF!,#REF!),2)-$B53/2&lt;=Q53,(ROUND(AVERAGE($C53,$E53,$G53,$I53,$K53,$M53,$O53,$Q53,$S53,$U53,#REF!,#REF!,#REF!,#REF!,#REF!),2)+$B53/2&gt;=Q53)),($G$5/$B$5),0))))</f>
        <v>1.8604651162790697</v>
      </c>
      <c r="S53" s="128">
        <f>IF($S$8="Habilitado",IF($A53="","",ROUND(VLOOKUP($A53,'Presupuesto Consolidado'!$CC$12:$CH$80,6,FALSE),2)),"")</f>
        <v>2303780</v>
      </c>
      <c r="T53" s="129">
        <f>IF($A53="","",IF(S53="","",IF($K$4="Media aritmética",(S53&lt;=$B53)*($G$5/$B$5)+(S53&gt;$B53)*0,IF(AND(ROUND(AVERAGE($C53,$E53,$G53,$I53,$K53,$M53,$O53,$Q53,$S53,$U53,#REF!,#REF!,#REF!,#REF!,#REF!),2)-$B53/2&lt;=S53,(ROUND(AVERAGE($C53,$E53,$G53,$I53,$K53,$M53,$O53,$Q53,$S53,$U53,#REF!,#REF!,#REF!,#REF!,#REF!),2)+$B53/2&gt;=S53)),($G$5/$B$5),0))))</f>
        <v>1.8604651162790697</v>
      </c>
      <c r="U53" s="128" t="str">
        <f>IF($U$8="Habilitado",IF($A53="","",ROUND(VLOOKUP($A53,'Presupuesto Consolidado'!$CM$12:$CR$80,6,FALSE),2)),"")</f>
        <v/>
      </c>
      <c r="V53" s="129" t="str">
        <f>IF($A53="","",IF(U53="","",IF($K$4="Media aritmética",(U53&lt;=$B53)*($G$5/$B$5)+(U53&gt;$B53)*0,IF(AND(ROUND(AVERAGE($C53,$E53,$G53,$I53,$K53,$M53,$O53,$Q53,$S53,$U53,#REF!,#REF!,#REF!,#REF!,#REF!),2)-$B53/2&lt;=U53,(ROUND(AVERAGE($C53,$E53,$G53,$I53,$K53,$M53,$O53,$Q53,$S53,$U53,#REF!,#REF!,#REF!,#REF!,#REF!),2)+$B53/2&gt;=U53)),($G$5/$B$5),0))))</f>
        <v/>
      </c>
    </row>
    <row r="54" spans="1:22" s="122" customFormat="1" ht="21" customHeight="1">
      <c r="A54" s="256" t="str">
        <f>+'Presupuesto Consolidado'!A48</f>
        <v>6.4</v>
      </c>
      <c r="B54" s="127">
        <f t="shared" si="9"/>
        <v>2096841.75</v>
      </c>
      <c r="C54" s="128">
        <f>IF($C$8="Habilitado",IF($A54="","",ROUND(VLOOKUP($A54,'Presupuesto Consolidado'!$A$12:$F$80,6,FALSE),2)),"")</f>
        <v>2182632</v>
      </c>
      <c r="D54" s="129">
        <f>IF($A54="","",IF(C54="","",IF($K$4="Media aritmética",(C54&lt;=$B54)*($G$5/$B$5)+(C54&gt;$B54)*0,IF(AND(ROUND(AVERAGE($C54,$E54,$G54,$I54,$K54,$M54,$O54,$Q54,$S54,$U54,#REF!,#REF!,#REF!,#REF!,#REF!),2)-$B54/2&lt;=C54,(ROUND(AVERAGE($C54,$E54,$G54,$I54,$K54,$M54,$O54,$Q54,$S54,$U54,#REF!,#REF!,#REF!,#REF!,#REF!),2)+$B54/2&gt;=C54)),($G$5/$B$5),0))))</f>
        <v>0</v>
      </c>
      <c r="E54" s="128">
        <f>IF($E$8="Habilitado",IF($A54="","",ROUND(VLOOKUP($A54,'Presupuesto Consolidado'!$K$12:$P$80,6,FALSE),2)),"")</f>
        <v>1480680</v>
      </c>
      <c r="F54" s="129">
        <f>IF($A54="","",IF(E54="","",IF($K$4="Media aritmética",(E54&lt;=$B54)*($G$5/$B$5)+(E54&gt;$B54)*0,IF(AND(ROUND(AVERAGE($C54,$E54,$G54,$I54,$K54,$M54,$O54,$Q54,$S54,$U54,#REF!,#REF!,#REF!,#REF!,#REF!),2)-$B54/2&lt;=E54,(ROUND(AVERAGE($C54,$E54,$G54,$I54,$K54,$M54,$O54,$Q54,$S54,$U54,#REF!,#REF!,#REF!,#REF!,#REF!),2)+$B54/2&gt;=E54)),($G$5/$B$5),0))))</f>
        <v>1.8604651162790697</v>
      </c>
      <c r="G54" s="128">
        <f>IF($G$8="Habilitado",IF($A54="","",ROUND(VLOOKUP($A54,'Presupuesto Consolidado'!$U$12:$Z$80,6,FALSE),2)),"")</f>
        <v>2426670</v>
      </c>
      <c r="H54" s="129">
        <f>IF($A54="","",IF(G54="","",IF($K$4="Media aritmética",(G54&lt;=$B54)*($G$5/$B$5)+(G54&gt;$B54)*0,IF(AND(ROUND(AVERAGE($C54,$E54,$G54,$I54,$K54,$M54,$O54,$Q54,$S54,$U54,#REF!,#REF!,#REF!,#REF!,#REF!),2)-$B54/2&lt;=G54,(ROUND(AVERAGE($C54,$E54,$G54,$I54,$K54,$M54,$O54,$Q54,$S54,$U54,#REF!,#REF!,#REF!,#REF!,#REF!),2)+$B54/2&gt;=G54)),($G$5/$B$5),0))))</f>
        <v>0</v>
      </c>
      <c r="I54" s="128">
        <f>IF($I$8="Habilitado",IF($A54="","",ROUND(VLOOKUP($A54,'Presupuesto Consolidado'!$AE$12:$AJ$80,6,FALSE),2)),"")</f>
        <v>2336184</v>
      </c>
      <c r="J54" s="129">
        <f>IF($A54="","",IF(I54="","",IF($K$4="Media aritmética",(I54&lt;=$B54)*($G$5/$B$5)+(I54&gt;$B54)*0,IF(AND(ROUND(AVERAGE($C54,$E54,$G54,$I54,$K54,$M54,$O54,$Q54,$S54,$U54,#REF!,#REF!,#REF!,#REF!,#REF!),2)-$B54/2&lt;=I54,(ROUND(AVERAGE($C54,$E54,$G54,$I54,$K54,$M54,$O54,$Q54,$S54,$U54,#REF!,#REF!,#REF!,#REF!,#REF!),2)+$B54/2&gt;=I54)),($G$5/$B$5),0))))</f>
        <v>0</v>
      </c>
      <c r="K54" s="128">
        <f>IF($K$8="Habilitado",IF($A54="","",ROUND(VLOOKUP($A54,'Presupuesto Consolidado'!$AO$12:$AT$80,6,FALSE),2)),"")</f>
        <v>2062807</v>
      </c>
      <c r="L54" s="129">
        <f>IF($A54="","",IF(K54="","",IF($K$4="Media aritmética",(K54&lt;=$B54)*($G$5/$B$5)+(K54&gt;$B54)*0,IF(AND(ROUND(AVERAGE($C54,$E54,$G54,$I54,$K54,$M54,$O54,$Q54,$S54,$U54,#REF!,#REF!,#REF!,#REF!,#REF!),2)-$B54/2&lt;=K54,(ROUND(AVERAGE($C54,$E54,$G54,$I54,$K54,$M54,$O54,$Q54,$S54,$U54,#REF!,#REF!,#REF!,#REF!,#REF!),2)+$B54/2&gt;=K54)),($G$5/$B$5),0))))</f>
        <v>1.8604651162790697</v>
      </c>
      <c r="M54" s="128" t="str">
        <f>IF($M$8="Habilitado",IF($A54="","",ROUND(VLOOKUP($A54,'Presupuesto Consolidado'!$AY$12:$BD$80,6,FALSE),2)),"")</f>
        <v/>
      </c>
      <c r="N54" s="129" t="str">
        <f>IF($A54="","",IF(M54="","",IF($K$4="Media aritmética",(M54&lt;=$B54)*($G$5/$B$5)+(M54&gt;$B54)*0,IF(AND(ROUND(AVERAGE($C54,$E54,$G54,$I54,$K54,$M54,$O54,$Q54,$S54,$U54,#REF!,#REF!,#REF!,#REF!,#REF!),2)-$B54/2&lt;=M54,(ROUND(AVERAGE($C54,$E54,$G54,$I54,$K54,$M54,$O54,$Q54,$S54,$U54,#REF!,#REF!,#REF!,#REF!,#REF!),2)+$B54/2&gt;=M54)),($G$5/$B$5),0))))</f>
        <v/>
      </c>
      <c r="O54" s="128">
        <f>IF($O$8="Habilitado",IF($A54="","",ROUND(VLOOKUP($A54,'Presupuesto Consolidado'!$BI$12:$BN$80,6,FALSE),2)),"")</f>
        <v>2098727</v>
      </c>
      <c r="P54" s="129">
        <f>IF($A54="","",IF(O54="","",IF($K$4="Media aritmética",(O54&lt;=$B54)*($G$5/$B$5)+(O54&gt;$B54)*0,IF(AND(ROUND(AVERAGE($C54,$E54,$G54,$I54,$K54,$M54,$O54,$Q54,$S54,$U54,#REF!,#REF!,#REF!,#REF!,#REF!),2)-$B54/2&lt;=O54,(ROUND(AVERAGE($C54,$E54,$G54,$I54,$K54,$M54,$O54,$Q54,$S54,$U54,#REF!,#REF!,#REF!,#REF!,#REF!),2)+$B54/2&gt;=O54)),($G$5/$B$5),0))))</f>
        <v>0</v>
      </c>
      <c r="Q54" s="128">
        <f>IF($Q$8="Habilitado",IF($A54="","",ROUND(VLOOKUP($A54,'Presupuesto Consolidado'!$BS$12:$BX$80,6,FALSE),2)),"")</f>
        <v>2105856</v>
      </c>
      <c r="R54" s="129">
        <f>IF($A54="","",IF(Q54="","",IF($K$4="Media aritmética",(Q54&lt;=$B54)*($G$5/$B$5)+(Q54&gt;$B54)*0,IF(AND(ROUND(AVERAGE($C54,$E54,$G54,$I54,$K54,$M54,$O54,$Q54,$S54,$U54,#REF!,#REF!,#REF!,#REF!,#REF!),2)-$B54/2&lt;=Q54,(ROUND(AVERAGE($C54,$E54,$G54,$I54,$K54,$M54,$O54,$Q54,$S54,$U54,#REF!,#REF!,#REF!,#REF!,#REF!),2)+$B54/2&gt;=Q54)),($G$5/$B$5),0))))</f>
        <v>0</v>
      </c>
      <c r="S54" s="128">
        <f>IF($S$8="Habilitado",IF($A54="","",ROUND(VLOOKUP($A54,'Presupuesto Consolidado'!$CC$12:$CH$80,6,FALSE),2)),"")</f>
        <v>2081178</v>
      </c>
      <c r="T54" s="129">
        <f>IF($A54="","",IF(S54="","",IF($K$4="Media aritmética",(S54&lt;=$B54)*($G$5/$B$5)+(S54&gt;$B54)*0,IF(AND(ROUND(AVERAGE($C54,$E54,$G54,$I54,$K54,$M54,$O54,$Q54,$S54,$U54,#REF!,#REF!,#REF!,#REF!,#REF!),2)-$B54/2&lt;=S54,(ROUND(AVERAGE($C54,$E54,$G54,$I54,$K54,$M54,$O54,$Q54,$S54,$U54,#REF!,#REF!,#REF!,#REF!,#REF!),2)+$B54/2&gt;=S54)),($G$5/$B$5),0))))</f>
        <v>1.8604651162790697</v>
      </c>
      <c r="U54" s="128" t="str">
        <f>IF($U$8="Habilitado",IF($A54="","",ROUND(VLOOKUP($A54,'Presupuesto Consolidado'!$CM$12:$CR$80,6,FALSE),2)),"")</f>
        <v/>
      </c>
      <c r="V54" s="129" t="str">
        <f>IF($A54="","",IF(U54="","",IF($K$4="Media aritmética",(U54&lt;=$B54)*($G$5/$B$5)+(U54&gt;$B54)*0,IF(AND(ROUND(AVERAGE($C54,$E54,$G54,$I54,$K54,$M54,$O54,$Q54,$S54,$U54,#REF!,#REF!,#REF!,#REF!,#REF!),2)-$B54/2&lt;=U54,(ROUND(AVERAGE($C54,$E54,$G54,$I54,$K54,$M54,$O54,$Q54,$S54,$U54,#REF!,#REF!,#REF!,#REF!,#REF!),2)+$B54/2&gt;=U54)),($G$5/$B$5),0))))</f>
        <v/>
      </c>
    </row>
    <row r="55" spans="1:22" s="122" customFormat="1" ht="21" customHeight="1">
      <c r="A55" s="256" t="str">
        <f>+'Presupuesto Consolidado'!A52</f>
        <v>7.3</v>
      </c>
      <c r="B55" s="127">
        <f t="shared" si="9"/>
        <v>763180</v>
      </c>
      <c r="C55" s="128">
        <f>IF($C$8="Habilitado",IF($A55="","",ROUND(VLOOKUP($A55,'Presupuesto Consolidado'!$A$12:$F$80,6,FALSE),2)),"")</f>
        <v>522400</v>
      </c>
      <c r="D55" s="129">
        <f>IF($A55="","",IF(C55="","",IF($K$4="Media aritmética",(C55&lt;=$B55)*($G$5/$B$5)+(C55&gt;$B55)*0,IF(AND(ROUND(AVERAGE($C55,$E55,$G55,$I55,$K55,$M55,$O55,$Q55,$S55,$U55,#REF!,#REF!,#REF!,#REF!,#REF!),2)-$B55/2&lt;=C55,(ROUND(AVERAGE($C55,$E55,$G55,$I55,$K55,$M55,$O55,$Q55,$S55,$U55,#REF!,#REF!,#REF!,#REF!,#REF!),2)+$B55/2&gt;=C55)),($G$5/$B$5),0))))</f>
        <v>1.8604651162790697</v>
      </c>
      <c r="E55" s="128">
        <f>IF($E$8="Habilitado",IF($A55="","",ROUND(VLOOKUP($A55,'Presupuesto Consolidado'!$K$12:$P$80,6,FALSE),2)),"")</f>
        <v>736000</v>
      </c>
      <c r="F55" s="129">
        <f>IF($A55="","",IF(E55="","",IF($K$4="Media aritmética",(E55&lt;=$B55)*($G$5/$B$5)+(E55&gt;$B55)*0,IF(AND(ROUND(AVERAGE($C55,$E55,$G55,$I55,$K55,$M55,$O55,$Q55,$S55,$U55,#REF!,#REF!,#REF!,#REF!,#REF!),2)-$B55/2&lt;=E55,(ROUND(AVERAGE($C55,$E55,$G55,$I55,$K55,$M55,$O55,$Q55,$S55,$U55,#REF!,#REF!,#REF!,#REF!,#REF!),2)+$B55/2&gt;=E55)),($G$5/$B$5),0))))</f>
        <v>1.8604651162790697</v>
      </c>
      <c r="G55" s="128">
        <f>IF($G$8="Habilitado",IF($A55="","",ROUND(VLOOKUP($A55,'Presupuesto Consolidado'!$U$12:$Z$80,6,FALSE),2)),"")</f>
        <v>624000</v>
      </c>
      <c r="H55" s="129">
        <f>IF($A55="","",IF(G55="","",IF($K$4="Media aritmética",(G55&lt;=$B55)*($G$5/$B$5)+(G55&gt;$B55)*0,IF(AND(ROUND(AVERAGE($C55,$E55,$G55,$I55,$K55,$M55,$O55,$Q55,$S55,$U55,#REF!,#REF!,#REF!,#REF!,#REF!),2)-$B55/2&lt;=G55,(ROUND(AVERAGE($C55,$E55,$G55,$I55,$K55,$M55,$O55,$Q55,$S55,$U55,#REF!,#REF!,#REF!,#REF!,#REF!),2)+$B55/2&gt;=G55)),($G$5/$B$5),0))))</f>
        <v>1.8604651162790697</v>
      </c>
      <c r="I55" s="128">
        <f>IF($I$8="Habilitado",IF($A55="","",ROUND(VLOOKUP($A55,'Presupuesto Consolidado'!$AE$12:$AJ$80,6,FALSE),2)),"")</f>
        <v>736000</v>
      </c>
      <c r="J55" s="129">
        <f>IF($A55="","",IF(I55="","",IF($K$4="Media aritmética",(I55&lt;=$B55)*($G$5/$B$5)+(I55&gt;$B55)*0,IF(AND(ROUND(AVERAGE($C55,$E55,$G55,$I55,$K55,$M55,$O55,$Q55,$S55,$U55,#REF!,#REF!,#REF!,#REF!,#REF!),2)-$B55/2&lt;=I55,(ROUND(AVERAGE($C55,$E55,$G55,$I55,$K55,$M55,$O55,$Q55,$S55,$U55,#REF!,#REF!,#REF!,#REF!,#REF!),2)+$B55/2&gt;=I55)),($G$5/$B$5),0))))</f>
        <v>1.8604651162790697</v>
      </c>
      <c r="K55" s="128">
        <f>IF($K$8="Habilitado",IF($A55="","",ROUND(VLOOKUP($A55,'Presupuesto Consolidado'!$AO$12:$AT$80,6,FALSE),2)),"")</f>
        <v>789600</v>
      </c>
      <c r="L55" s="129">
        <f>IF($A55="","",IF(K55="","",IF($K$4="Media aritmética",(K55&lt;=$B55)*($G$5/$B$5)+(K55&gt;$B55)*0,IF(AND(ROUND(AVERAGE($C55,$E55,$G55,$I55,$K55,$M55,$O55,$Q55,$S55,$U55,#REF!,#REF!,#REF!,#REF!,#REF!),2)-$B55/2&lt;=K55,(ROUND(AVERAGE($C55,$E55,$G55,$I55,$K55,$M55,$O55,$Q55,$S55,$U55,#REF!,#REF!,#REF!,#REF!,#REF!),2)+$B55/2&gt;=K55)),($G$5/$B$5),0))))</f>
        <v>0</v>
      </c>
      <c r="M55" s="128" t="str">
        <f>IF($M$8="Habilitado",IF($A55="","",ROUND(VLOOKUP($A55,'Presupuesto Consolidado'!$AY$12:$BD$80,6,FALSE),2)),"")</f>
        <v/>
      </c>
      <c r="N55" s="129" t="str">
        <f>IF($A55="","",IF(M55="","",IF($K$4="Media aritmética",(M55&lt;=$B55)*($G$5/$B$5)+(M55&gt;$B55)*0,IF(AND(ROUND(AVERAGE($C55,$E55,$G55,$I55,$K55,$M55,$O55,$Q55,$S55,$U55,#REF!,#REF!,#REF!,#REF!,#REF!),2)-$B55/2&lt;=M55,(ROUND(AVERAGE($C55,$E55,$G55,$I55,$K55,$M55,$O55,$Q55,$S55,$U55,#REF!,#REF!,#REF!,#REF!,#REF!),2)+$B55/2&gt;=M55)),($G$5/$B$5),0))))</f>
        <v/>
      </c>
      <c r="O55" s="128">
        <f>IF($O$8="Habilitado",IF($A55="","",ROUND(VLOOKUP($A55,'Presupuesto Consolidado'!$BI$12:$BN$80,6,FALSE),2)),"")</f>
        <v>991840</v>
      </c>
      <c r="P55" s="129">
        <f>IF($A55="","",IF(O55="","",IF($K$4="Media aritmética",(O55&lt;=$B55)*($G$5/$B$5)+(O55&gt;$B55)*0,IF(AND(ROUND(AVERAGE($C55,$E55,$G55,$I55,$K55,$M55,$O55,$Q55,$S55,$U55,#REF!,#REF!,#REF!,#REF!,#REF!),2)-$B55/2&lt;=O55,(ROUND(AVERAGE($C55,$E55,$G55,$I55,$K55,$M55,$O55,$Q55,$S55,$U55,#REF!,#REF!,#REF!,#REF!,#REF!),2)+$B55/2&gt;=O55)),($G$5/$B$5),0))))</f>
        <v>0</v>
      </c>
      <c r="Q55" s="128">
        <f>IF($Q$8="Habilitado",IF($A55="","",ROUND(VLOOKUP($A55,'Presupuesto Consolidado'!$BS$12:$BX$80,6,FALSE),2)),"")</f>
        <v>818400</v>
      </c>
      <c r="R55" s="129">
        <f>IF($A55="","",IF(Q55="","",IF($K$4="Media aritmética",(Q55&lt;=$B55)*($G$5/$B$5)+(Q55&gt;$B55)*0,IF(AND(ROUND(AVERAGE($C55,$E55,$G55,$I55,$K55,$M55,$O55,$Q55,$S55,$U55,#REF!,#REF!,#REF!,#REF!,#REF!),2)-$B55/2&lt;=Q55,(ROUND(AVERAGE($C55,$E55,$G55,$I55,$K55,$M55,$O55,$Q55,$S55,$U55,#REF!,#REF!,#REF!,#REF!,#REF!),2)+$B55/2&gt;=Q55)),($G$5/$B$5),0))))</f>
        <v>0</v>
      </c>
      <c r="S55" s="128">
        <f>IF($S$8="Habilitado",IF($A55="","",ROUND(VLOOKUP($A55,'Presupuesto Consolidado'!$CC$12:$CH$80,6,FALSE),2)),"")</f>
        <v>887200</v>
      </c>
      <c r="T55" s="129">
        <f>IF($A55="","",IF(S55="","",IF($K$4="Media aritmética",(S55&lt;=$B55)*($G$5/$B$5)+(S55&gt;$B55)*0,IF(AND(ROUND(AVERAGE($C55,$E55,$G55,$I55,$K55,$M55,$O55,$Q55,$S55,$U55,#REF!,#REF!,#REF!,#REF!,#REF!),2)-$B55/2&lt;=S55,(ROUND(AVERAGE($C55,$E55,$G55,$I55,$K55,$M55,$O55,$Q55,$S55,$U55,#REF!,#REF!,#REF!,#REF!,#REF!),2)+$B55/2&gt;=S55)),($G$5/$B$5),0))))</f>
        <v>0</v>
      </c>
      <c r="U55" s="128" t="str">
        <f>IF($U$8="Habilitado",IF($A55="","",ROUND(VLOOKUP($A55,'Presupuesto Consolidado'!$CM$12:$CR$80,6,FALSE),2)),"")</f>
        <v/>
      </c>
      <c r="V55" s="129" t="str">
        <f>IF($A55="","",IF(U55="","",IF($K$4="Media aritmética",(U55&lt;=$B55)*($G$5/$B$5)+(U55&gt;$B55)*0,IF(AND(ROUND(AVERAGE($C55,$E55,$G55,$I55,$K55,$M55,$O55,$Q55,$S55,$U55,#REF!,#REF!,#REF!,#REF!,#REF!),2)-$B55/2&lt;=U55,(ROUND(AVERAGE($C55,$E55,$G55,$I55,$K55,$M55,$O55,$Q55,$S55,$U55,#REF!,#REF!,#REF!,#REF!,#REF!),2)+$B55/2&gt;=U55)),($G$5/$B$5),0))))</f>
        <v/>
      </c>
    </row>
    <row r="56" spans="1:22" s="122" customFormat="1" ht="21" customHeight="1">
      <c r="A56" s="256" t="str">
        <f>+'Presupuesto Consolidado'!A54</f>
        <v>8.1</v>
      </c>
      <c r="B56" s="127">
        <f t="shared" si="9"/>
        <v>3153500</v>
      </c>
      <c r="C56" s="128">
        <f>IF($C$8="Habilitado",IF($A56="","",ROUND(VLOOKUP($A56,'Presupuesto Consolidado'!$A$12:$F$80,6,FALSE),2)),"")</f>
        <v>5193500</v>
      </c>
      <c r="D56" s="129">
        <f>IF($A56="","",IF(C56="","",IF($K$4="Media aritmética",(C56&lt;=$B56)*($G$5/$B$5)+(C56&gt;$B56)*0,IF(AND(ROUND(AVERAGE($C56,$E56,$G56,$I56,$K56,$M56,$O56,$Q56,$S56,$U56,#REF!,#REF!,#REF!,#REF!,#REF!),2)-$B56/2&lt;=C56,(ROUND(AVERAGE($C56,$E56,$G56,$I56,$K56,$M56,$O56,$Q56,$S56,$U56,#REF!,#REF!,#REF!,#REF!,#REF!),2)+$B56/2&gt;=C56)),($G$5/$B$5),0))))</f>
        <v>0</v>
      </c>
      <c r="E56" s="128">
        <f>IF($E$8="Habilitado",IF($A56="","",ROUND(VLOOKUP($A56,'Presupuesto Consolidado'!$K$12:$P$80,6,FALSE),2)),"")</f>
        <v>3315000</v>
      </c>
      <c r="F56" s="129">
        <f>IF($A56="","",IF(E56="","",IF($K$4="Media aritmética",(E56&lt;=$B56)*($G$5/$B$5)+(E56&gt;$B56)*0,IF(AND(ROUND(AVERAGE($C56,$E56,$G56,$I56,$K56,$M56,$O56,$Q56,$S56,$U56,#REF!,#REF!,#REF!,#REF!,#REF!),2)-$B56/2&lt;=E56,(ROUND(AVERAGE($C56,$E56,$G56,$I56,$K56,$M56,$O56,$Q56,$S56,$U56,#REF!,#REF!,#REF!,#REF!,#REF!),2)+$B56/2&gt;=E56)),($G$5/$B$5),0))))</f>
        <v>0</v>
      </c>
      <c r="G56" s="128">
        <f>IF($G$8="Habilitado",IF($A56="","",ROUND(VLOOKUP($A56,'Presupuesto Consolidado'!$U$12:$Z$80,6,FALSE),2)),"")</f>
        <v>2849200</v>
      </c>
      <c r="H56" s="129">
        <f>IF($A56="","",IF(G56="","",IF($K$4="Media aritmética",(G56&lt;=$B56)*($G$5/$B$5)+(G56&gt;$B56)*0,IF(AND(ROUND(AVERAGE($C56,$E56,$G56,$I56,$K56,$M56,$O56,$Q56,$S56,$U56,#REF!,#REF!,#REF!,#REF!,#REF!),2)-$B56/2&lt;=G56,(ROUND(AVERAGE($C56,$E56,$G56,$I56,$K56,$M56,$O56,$Q56,$S56,$U56,#REF!,#REF!,#REF!,#REF!,#REF!),2)+$B56/2&gt;=G56)),($G$5/$B$5),0))))</f>
        <v>1.8604651162790697</v>
      </c>
      <c r="I56" s="128">
        <f>IF($I$8="Habilitado",IF($A56="","",ROUND(VLOOKUP($A56,'Presupuesto Consolidado'!$AE$12:$AJ$80,6,FALSE),2)),"")</f>
        <v>2125000</v>
      </c>
      <c r="J56" s="129">
        <f>IF($A56="","",IF(I56="","",IF($K$4="Media aritmética",(I56&lt;=$B56)*($G$5/$B$5)+(I56&gt;$B56)*0,IF(AND(ROUND(AVERAGE($C56,$E56,$G56,$I56,$K56,$M56,$O56,$Q56,$S56,$U56,#REF!,#REF!,#REF!,#REF!,#REF!),2)-$B56/2&lt;=I56,(ROUND(AVERAGE($C56,$E56,$G56,$I56,$K56,$M56,$O56,$Q56,$S56,$U56,#REF!,#REF!,#REF!,#REF!,#REF!),2)+$B56/2&gt;=I56)),($G$5/$B$5),0))))</f>
        <v>1.8604651162790697</v>
      </c>
      <c r="K56" s="128">
        <f>IF($K$8="Habilitado",IF($A56="","",ROUND(VLOOKUP($A56,'Presupuesto Consolidado'!$AO$12:$AT$80,6,FALSE),2)),"")</f>
        <v>2907000</v>
      </c>
      <c r="L56" s="129">
        <f>IF($A56="","",IF(K56="","",IF($K$4="Media aritmética",(K56&lt;=$B56)*($G$5/$B$5)+(K56&gt;$B56)*0,IF(AND(ROUND(AVERAGE($C56,$E56,$G56,$I56,$K56,$M56,$O56,$Q56,$S56,$U56,#REF!,#REF!,#REF!,#REF!,#REF!),2)-$B56/2&lt;=K56,(ROUND(AVERAGE($C56,$E56,$G56,$I56,$K56,$M56,$O56,$Q56,$S56,$U56,#REF!,#REF!,#REF!,#REF!,#REF!),2)+$B56/2&gt;=K56)),($G$5/$B$5),0))))</f>
        <v>1.8604651162790697</v>
      </c>
      <c r="M56" s="128" t="str">
        <f>IF($M$8="Habilitado",IF($A56="","",ROUND(VLOOKUP($A56,'Presupuesto Consolidado'!$AY$12:$BD$80,6,FALSE),2)),"")</f>
        <v/>
      </c>
      <c r="N56" s="129" t="str">
        <f>IF($A56="","",IF(M56="","",IF($K$4="Media aritmética",(M56&lt;=$B56)*($G$5/$B$5)+(M56&gt;$B56)*0,IF(AND(ROUND(AVERAGE($C56,$E56,$G56,$I56,$K56,$M56,$O56,$Q56,$S56,$U56,#REF!,#REF!,#REF!,#REF!,#REF!),2)-$B56/2&lt;=M56,(ROUND(AVERAGE($C56,$E56,$G56,$I56,$K56,$M56,$O56,$Q56,$S56,$U56,#REF!,#REF!,#REF!,#REF!,#REF!),2)+$B56/2&gt;=M56)),($G$5/$B$5),0))))</f>
        <v/>
      </c>
      <c r="O56" s="128">
        <f>IF($O$8="Habilitado",IF($A56="","",ROUND(VLOOKUP($A56,'Presupuesto Consolidado'!$BI$12:$BN$80,6,FALSE),2)),"")</f>
        <v>2888300</v>
      </c>
      <c r="P56" s="129">
        <f>IF($A56="","",IF(O56="","",IF($K$4="Media aritmética",(O56&lt;=$B56)*($G$5/$B$5)+(O56&gt;$B56)*0,IF(AND(ROUND(AVERAGE($C56,$E56,$G56,$I56,$K56,$M56,$O56,$Q56,$S56,$U56,#REF!,#REF!,#REF!,#REF!,#REF!),2)-$B56/2&lt;=O56,(ROUND(AVERAGE($C56,$E56,$G56,$I56,$K56,$M56,$O56,$Q56,$S56,$U56,#REF!,#REF!,#REF!,#REF!,#REF!),2)+$B56/2&gt;=O56)),($G$5/$B$5),0))))</f>
        <v>1.8604651162790697</v>
      </c>
      <c r="Q56" s="128">
        <f>IF($Q$8="Habilitado",IF($A56="","",ROUND(VLOOKUP($A56,'Presupuesto Consolidado'!$BS$12:$BX$80,6,FALSE),2)),"")</f>
        <v>2983500</v>
      </c>
      <c r="R56" s="129">
        <f>IF($A56="","",IF(Q56="","",IF($K$4="Media aritmética",(Q56&lt;=$B56)*($G$5/$B$5)+(Q56&gt;$B56)*0,IF(AND(ROUND(AVERAGE($C56,$E56,$G56,$I56,$K56,$M56,$O56,$Q56,$S56,$U56,#REF!,#REF!,#REF!,#REF!,#REF!),2)-$B56/2&lt;=Q56,(ROUND(AVERAGE($C56,$E56,$G56,$I56,$K56,$M56,$O56,$Q56,$S56,$U56,#REF!,#REF!,#REF!,#REF!,#REF!),2)+$B56/2&gt;=Q56)),($G$5/$B$5),0))))</f>
        <v>1.8604651162790697</v>
      </c>
      <c r="S56" s="128">
        <f>IF($S$8="Habilitado",IF($A56="","",ROUND(VLOOKUP($A56,'Presupuesto Consolidado'!$CC$12:$CH$80,6,FALSE),2)),"")</f>
        <v>2966500</v>
      </c>
      <c r="T56" s="129">
        <f>IF($A56="","",IF(S56="","",IF($K$4="Media aritmética",(S56&lt;=$B56)*($G$5/$B$5)+(S56&gt;$B56)*0,IF(AND(ROUND(AVERAGE($C56,$E56,$G56,$I56,$K56,$M56,$O56,$Q56,$S56,$U56,#REF!,#REF!,#REF!,#REF!,#REF!),2)-$B56/2&lt;=S56,(ROUND(AVERAGE($C56,$E56,$G56,$I56,$K56,$M56,$O56,$Q56,$S56,$U56,#REF!,#REF!,#REF!,#REF!,#REF!),2)+$B56/2&gt;=S56)),($G$5/$B$5),0))))</f>
        <v>1.8604651162790697</v>
      </c>
      <c r="U56" s="128" t="str">
        <f>IF($U$8="Habilitado",IF($A56="","",ROUND(VLOOKUP($A56,'Presupuesto Consolidado'!$CM$12:$CR$80,6,FALSE),2)),"")</f>
        <v/>
      </c>
      <c r="V56" s="129" t="str">
        <f>IF($A56="","",IF(U56="","",IF($K$4="Media aritmética",(U56&lt;=$B56)*($G$5/$B$5)+(U56&gt;$B56)*0,IF(AND(ROUND(AVERAGE($C56,$E56,$G56,$I56,$K56,$M56,$O56,$Q56,$S56,$U56,#REF!,#REF!,#REF!,#REF!,#REF!),2)-$B56/2&lt;=U56,(ROUND(AVERAGE($C56,$E56,$G56,$I56,$K56,$M56,$O56,$Q56,$S56,$U56,#REF!,#REF!,#REF!,#REF!,#REF!),2)+$B56/2&gt;=U56)),($G$5/$B$5),0))))</f>
        <v/>
      </c>
    </row>
    <row r="57" spans="1:22" s="122" customFormat="1" ht="21" customHeight="1">
      <c r="A57" s="256" t="str">
        <f>+'Presupuesto Consolidado'!A55</f>
        <v>8.2</v>
      </c>
      <c r="B57" s="127">
        <f t="shared" si="9"/>
        <v>1220420.25</v>
      </c>
      <c r="C57" s="128">
        <f>IF($C$8="Habilitado",IF($A57="","",ROUND(VLOOKUP($A57,'Presupuesto Consolidado'!$A$12:$F$80,6,FALSE),2)),"")</f>
        <v>1612800</v>
      </c>
      <c r="D57" s="129">
        <f>IF($A57="","",IF(C57="","",IF($K$4="Media aritmética",(C57&lt;=$B57)*($G$5/$B$5)+(C57&gt;$B57)*0,IF(AND(ROUND(AVERAGE($C57,$E57,$G57,$I57,$K57,$M57,$O57,$Q57,$S57,$U57,#REF!,#REF!,#REF!,#REF!,#REF!),2)-$B57/2&lt;=C57,(ROUND(AVERAGE($C57,$E57,$G57,$I57,$K57,$M57,$O57,$Q57,$S57,$U57,#REF!,#REF!,#REF!,#REF!,#REF!),2)+$B57/2&gt;=C57)),($G$5/$B$5),0))))</f>
        <v>0</v>
      </c>
      <c r="E57" s="128">
        <f>IF($E$8="Habilitado",IF($A57="","",ROUND(VLOOKUP($A57,'Presupuesto Consolidado'!$K$12:$P$80,6,FALSE),2)),"")</f>
        <v>1449000</v>
      </c>
      <c r="F57" s="129">
        <f>IF($A57="","",IF(E57="","",IF($K$4="Media aritmética",(E57&lt;=$B57)*($G$5/$B$5)+(E57&gt;$B57)*0,IF(AND(ROUND(AVERAGE($C57,$E57,$G57,$I57,$K57,$M57,$O57,$Q57,$S57,$U57,#REF!,#REF!,#REF!,#REF!,#REF!),2)-$B57/2&lt;=E57,(ROUND(AVERAGE($C57,$E57,$G57,$I57,$K57,$M57,$O57,$Q57,$S57,$U57,#REF!,#REF!,#REF!,#REF!,#REF!),2)+$B57/2&gt;=E57)),($G$5/$B$5),0))))</f>
        <v>0</v>
      </c>
      <c r="G57" s="128">
        <f>IF($G$8="Habilitado",IF($A57="","",ROUND(VLOOKUP($A57,'Presupuesto Consolidado'!$U$12:$Z$80,6,FALSE),2)),"")</f>
        <v>1111362</v>
      </c>
      <c r="H57" s="129">
        <f>IF($A57="","",IF(G57="","",IF($K$4="Media aritmética",(G57&lt;=$B57)*($G$5/$B$5)+(G57&gt;$B57)*0,IF(AND(ROUND(AVERAGE($C57,$E57,$G57,$I57,$K57,$M57,$O57,$Q57,$S57,$U57,#REF!,#REF!,#REF!,#REF!,#REF!),2)-$B57/2&lt;=G57,(ROUND(AVERAGE($C57,$E57,$G57,$I57,$K57,$M57,$O57,$Q57,$S57,$U57,#REF!,#REF!,#REF!,#REF!,#REF!),2)+$B57/2&gt;=G57)),($G$5/$B$5),0))))</f>
        <v>1.8604651162790697</v>
      </c>
      <c r="I57" s="128">
        <f>IF($I$8="Habilitado",IF($A57="","",ROUND(VLOOKUP($A57,'Presupuesto Consolidado'!$AE$12:$AJ$80,6,FALSE),2)),"")</f>
        <v>945000</v>
      </c>
      <c r="J57" s="129">
        <f>IF($A57="","",IF(I57="","",IF($K$4="Media aritmética",(I57&lt;=$B57)*($G$5/$B$5)+(I57&gt;$B57)*0,IF(AND(ROUND(AVERAGE($C57,$E57,$G57,$I57,$K57,$M57,$O57,$Q57,$S57,$U57,#REF!,#REF!,#REF!,#REF!,#REF!),2)-$B57/2&lt;=I57,(ROUND(AVERAGE($C57,$E57,$G57,$I57,$K57,$M57,$O57,$Q57,$S57,$U57,#REF!,#REF!,#REF!,#REF!,#REF!),2)+$B57/2&gt;=I57)),($G$5/$B$5),0))))</f>
        <v>1.8604651162790697</v>
      </c>
      <c r="K57" s="128">
        <f>IF($K$8="Habilitado",IF($A57="","",ROUND(VLOOKUP($A57,'Presupuesto Consolidado'!$AO$12:$AT$80,6,FALSE),2)),"")</f>
        <v>1205400</v>
      </c>
      <c r="L57" s="129">
        <f>IF($A57="","",IF(K57="","",IF($K$4="Media aritmética",(K57&lt;=$B57)*($G$5/$B$5)+(K57&gt;$B57)*0,IF(AND(ROUND(AVERAGE($C57,$E57,$G57,$I57,$K57,$M57,$O57,$Q57,$S57,$U57,#REF!,#REF!,#REF!,#REF!,#REF!),2)-$B57/2&lt;=K57,(ROUND(AVERAGE($C57,$E57,$G57,$I57,$K57,$M57,$O57,$Q57,$S57,$U57,#REF!,#REF!,#REF!,#REF!,#REF!),2)+$B57/2&gt;=K57)),($G$5/$B$5),0))))</f>
        <v>1.8604651162790697</v>
      </c>
      <c r="M57" s="128" t="str">
        <f>IF($M$8="Habilitado",IF($A57="","",ROUND(VLOOKUP($A57,'Presupuesto Consolidado'!$AY$12:$BD$80,6,FALSE),2)),"")</f>
        <v/>
      </c>
      <c r="N57" s="129" t="str">
        <f>IF($A57="","",IF(M57="","",IF($K$4="Media aritmética",(M57&lt;=$B57)*($G$5/$B$5)+(M57&gt;$B57)*0,IF(AND(ROUND(AVERAGE($C57,$E57,$G57,$I57,$K57,$M57,$O57,$Q57,$S57,$U57,#REF!,#REF!,#REF!,#REF!,#REF!),2)-$B57/2&lt;=M57,(ROUND(AVERAGE($C57,$E57,$G57,$I57,$K57,$M57,$O57,$Q57,$S57,$U57,#REF!,#REF!,#REF!,#REF!,#REF!),2)+$B57/2&gt;=M57)),($G$5/$B$5),0))))</f>
        <v/>
      </c>
      <c r="O57" s="128">
        <f>IF($O$8="Habilitado",IF($A57="","",ROUND(VLOOKUP($A57,'Presupuesto Consolidado'!$BI$12:$BN$80,6,FALSE),2)),"")</f>
        <v>1138200</v>
      </c>
      <c r="P57" s="129">
        <f>IF($A57="","",IF(O57="","",IF($K$4="Media aritmética",(O57&lt;=$B57)*($G$5/$B$5)+(O57&gt;$B57)*0,IF(AND(ROUND(AVERAGE($C57,$E57,$G57,$I57,$K57,$M57,$O57,$Q57,$S57,$U57,#REF!,#REF!,#REF!,#REF!,#REF!),2)-$B57/2&lt;=O57,(ROUND(AVERAGE($C57,$E57,$G57,$I57,$K57,$M57,$O57,$Q57,$S57,$U57,#REF!,#REF!,#REF!,#REF!,#REF!),2)+$B57/2&gt;=O57)),($G$5/$B$5),0))))</f>
        <v>1.8604651162790697</v>
      </c>
      <c r="Q57" s="128">
        <f>IF($Q$8="Habilitado",IF($A57="","",ROUND(VLOOKUP($A57,'Presupuesto Consolidado'!$BS$12:$BX$80,6,FALSE),2)),"")</f>
        <v>1171800</v>
      </c>
      <c r="R57" s="129">
        <f>IF($A57="","",IF(Q57="","",IF($K$4="Media aritmética",(Q57&lt;=$B57)*($G$5/$B$5)+(Q57&gt;$B57)*0,IF(AND(ROUND(AVERAGE($C57,$E57,$G57,$I57,$K57,$M57,$O57,$Q57,$S57,$U57,#REF!,#REF!,#REF!,#REF!,#REF!),2)-$B57/2&lt;=Q57,(ROUND(AVERAGE($C57,$E57,$G57,$I57,$K57,$M57,$O57,$Q57,$S57,$U57,#REF!,#REF!,#REF!,#REF!,#REF!),2)+$B57/2&gt;=Q57)),($G$5/$B$5),0))))</f>
        <v>1.8604651162790697</v>
      </c>
      <c r="S57" s="128">
        <f>IF($S$8="Habilitado",IF($A57="","",ROUND(VLOOKUP($A57,'Presupuesto Consolidado'!$CC$12:$CH$80,6,FALSE),2)),"")</f>
        <v>1129800</v>
      </c>
      <c r="T57" s="129">
        <f>IF($A57="","",IF(S57="","",IF($K$4="Media aritmética",(S57&lt;=$B57)*($G$5/$B$5)+(S57&gt;$B57)*0,IF(AND(ROUND(AVERAGE($C57,$E57,$G57,$I57,$K57,$M57,$O57,$Q57,$S57,$U57,#REF!,#REF!,#REF!,#REF!,#REF!),2)-$B57/2&lt;=S57,(ROUND(AVERAGE($C57,$E57,$G57,$I57,$K57,$M57,$O57,$Q57,$S57,$U57,#REF!,#REF!,#REF!,#REF!,#REF!),2)+$B57/2&gt;=S57)),($G$5/$B$5),0))))</f>
        <v>1.8604651162790697</v>
      </c>
      <c r="U57" s="128" t="str">
        <f>IF($U$8="Habilitado",IF($A57="","",ROUND(VLOOKUP($A57,'Presupuesto Consolidado'!$CM$12:$CR$80,6,FALSE),2)),"")</f>
        <v/>
      </c>
      <c r="V57" s="129" t="str">
        <f>IF($A57="","",IF(U57="","",IF($K$4="Media aritmética",(U57&lt;=$B57)*($G$5/$B$5)+(U57&gt;$B57)*0,IF(AND(ROUND(AVERAGE($C57,$E57,$G57,$I57,$K57,$M57,$O57,$Q57,$S57,$U57,#REF!,#REF!,#REF!,#REF!,#REF!),2)-$B57/2&lt;=U57,(ROUND(AVERAGE($C57,$E57,$G57,$I57,$K57,$M57,$O57,$Q57,$S57,$U57,#REF!,#REF!,#REF!,#REF!,#REF!),2)+$B57/2&gt;=U57)),($G$5/$B$5),0))))</f>
        <v/>
      </c>
    </row>
    <row r="58" spans="1:22" s="122" customFormat="1" ht="21" customHeight="1">
      <c r="A58" s="256" t="str">
        <f>+'Presupuesto Consolidado'!A56</f>
        <v>8.3</v>
      </c>
      <c r="B58" s="127">
        <f t="shared" si="9"/>
        <v>289866.25</v>
      </c>
      <c r="C58" s="128">
        <f>IF($C$8="Habilitado",IF($A58="","",ROUND(VLOOKUP($A58,'Presupuesto Consolidado'!$A$12:$F$80,6,FALSE),2)),"")</f>
        <v>153500</v>
      </c>
      <c r="D58" s="129">
        <f>IF($A58="","",IF(C58="","",IF($K$4="Media aritmética",(C58&lt;=$B58)*($G$5/$B$5)+(C58&gt;$B58)*0,IF(AND(ROUND(AVERAGE($C58,$E58,$G58,$I58,$K58,$M58,$O58,$Q58,$S58,$U58,#REF!,#REF!,#REF!,#REF!,#REF!),2)-$B58/2&lt;=C58,(ROUND(AVERAGE($C58,$E58,$G58,$I58,$K58,$M58,$O58,$Q58,$S58,$U58,#REF!,#REF!,#REF!,#REF!,#REF!),2)+$B58/2&gt;=C58)),($G$5/$B$5),0))))</f>
        <v>1.8604651162790697</v>
      </c>
      <c r="E58" s="128">
        <f>IF($E$8="Habilitado",IF($A58="","",ROUND(VLOOKUP($A58,'Presupuesto Consolidado'!$K$12:$P$80,6,FALSE),2)),"")</f>
        <v>121000</v>
      </c>
      <c r="F58" s="129">
        <f>IF($A58="","",IF(E58="","",IF($K$4="Media aritmética",(E58&lt;=$B58)*($G$5/$B$5)+(E58&gt;$B58)*0,IF(AND(ROUND(AVERAGE($C58,$E58,$G58,$I58,$K58,$M58,$O58,$Q58,$S58,$U58,#REF!,#REF!,#REF!,#REF!,#REF!),2)-$B58/2&lt;=E58,(ROUND(AVERAGE($C58,$E58,$G58,$I58,$K58,$M58,$O58,$Q58,$S58,$U58,#REF!,#REF!,#REF!,#REF!,#REF!),2)+$B58/2&gt;=E58)),($G$5/$B$5),0))))</f>
        <v>1.8604651162790697</v>
      </c>
      <c r="G58" s="128">
        <f>IF($G$8="Habilitado",IF($A58="","",ROUND(VLOOKUP($A58,'Presupuesto Consolidado'!$U$12:$Z$80,6,FALSE),2)),"")</f>
        <v>45000</v>
      </c>
      <c r="H58" s="129">
        <f>IF($A58="","",IF(G58="","",IF($K$4="Media aritmética",(G58&lt;=$B58)*($G$5/$B$5)+(G58&gt;$B58)*0,IF(AND(ROUND(AVERAGE($C58,$E58,$G58,$I58,$K58,$M58,$O58,$Q58,$S58,$U58,#REF!,#REF!,#REF!,#REF!,#REF!),2)-$B58/2&lt;=G58,(ROUND(AVERAGE($C58,$E58,$G58,$I58,$K58,$M58,$O58,$Q58,$S58,$U58,#REF!,#REF!,#REF!,#REF!,#REF!),2)+$B58/2&gt;=G58)),($G$5/$B$5),0))))</f>
        <v>1.8604651162790697</v>
      </c>
      <c r="I58" s="128">
        <f>IF($I$8="Habilitado",IF($A58="","",ROUND(VLOOKUP($A58,'Presupuesto Consolidado'!$AE$12:$AJ$80,6,FALSE),2)),"")</f>
        <v>225000</v>
      </c>
      <c r="J58" s="129">
        <f>IF($A58="","",IF(I58="","",IF($K$4="Media aritmética",(I58&lt;=$B58)*($G$5/$B$5)+(I58&gt;$B58)*0,IF(AND(ROUND(AVERAGE($C58,$E58,$G58,$I58,$K58,$M58,$O58,$Q58,$S58,$U58,#REF!,#REF!,#REF!,#REF!,#REF!),2)-$B58/2&lt;=I58,(ROUND(AVERAGE($C58,$E58,$G58,$I58,$K58,$M58,$O58,$Q58,$S58,$U58,#REF!,#REF!,#REF!,#REF!,#REF!),2)+$B58/2&gt;=I58)),($G$5/$B$5),0))))</f>
        <v>1.8604651162790697</v>
      </c>
      <c r="K58" s="128">
        <f>IF($K$8="Habilitado",IF($A58="","",ROUND(VLOOKUP($A58,'Presupuesto Consolidado'!$AO$12:$AT$80,6,FALSE),2)),"")</f>
        <v>489430</v>
      </c>
      <c r="L58" s="129">
        <f>IF($A58="","",IF(K58="","",IF($K$4="Media aritmética",(K58&lt;=$B58)*($G$5/$B$5)+(K58&gt;$B58)*0,IF(AND(ROUND(AVERAGE($C58,$E58,$G58,$I58,$K58,$M58,$O58,$Q58,$S58,$U58,#REF!,#REF!,#REF!,#REF!,#REF!),2)-$B58/2&lt;=K58,(ROUND(AVERAGE($C58,$E58,$G58,$I58,$K58,$M58,$O58,$Q58,$S58,$U58,#REF!,#REF!,#REF!,#REF!,#REF!),2)+$B58/2&gt;=K58)),($G$5/$B$5),0))))</f>
        <v>0</v>
      </c>
      <c r="M58" s="128" t="str">
        <f>IF($M$8="Habilitado",IF($A58="","",ROUND(VLOOKUP($A58,'Presupuesto Consolidado'!$AY$12:$BD$80,6,FALSE),2)),"")</f>
        <v/>
      </c>
      <c r="N58" s="129" t="str">
        <f>IF($A58="","",IF(M58="","",IF($K$4="Media aritmética",(M58&lt;=$B58)*($G$5/$B$5)+(M58&gt;$B58)*0,IF(AND(ROUND(AVERAGE($C58,$E58,$G58,$I58,$K58,$M58,$O58,$Q58,$S58,$U58,#REF!,#REF!,#REF!,#REF!,#REF!),2)-$B58/2&lt;=M58,(ROUND(AVERAGE($C58,$E58,$G58,$I58,$K58,$M58,$O58,$Q58,$S58,$U58,#REF!,#REF!,#REF!,#REF!,#REF!),2)+$B58/2&gt;=M58)),($G$5/$B$5),0))))</f>
        <v/>
      </c>
      <c r="O58" s="128">
        <f>IF($O$8="Habilitado",IF($A58="","",ROUND(VLOOKUP($A58,'Presupuesto Consolidado'!$BI$12:$BN$80,6,FALSE),2)),"")</f>
        <v>398900</v>
      </c>
      <c r="P58" s="129">
        <f>IF($A58="","",IF(O58="","",IF($K$4="Media aritmética",(O58&lt;=$B58)*($G$5/$B$5)+(O58&gt;$B58)*0,IF(AND(ROUND(AVERAGE($C58,$E58,$G58,$I58,$K58,$M58,$O58,$Q58,$S58,$U58,#REF!,#REF!,#REF!,#REF!,#REF!),2)-$B58/2&lt;=O58,(ROUND(AVERAGE($C58,$E58,$G58,$I58,$K58,$M58,$O58,$Q58,$S58,$U58,#REF!,#REF!,#REF!,#REF!,#REF!),2)+$B58/2&gt;=O58)),($G$5/$B$5),0))))</f>
        <v>0</v>
      </c>
      <c r="Q58" s="128">
        <f>IF($Q$8="Habilitado",IF($A58="","",ROUND(VLOOKUP($A58,'Presupuesto Consolidado'!$BS$12:$BX$80,6,FALSE),2)),"")</f>
        <v>453200</v>
      </c>
      <c r="R58" s="129">
        <f>IF($A58="","",IF(Q58="","",IF($K$4="Media aritmética",(Q58&lt;=$B58)*($G$5/$B$5)+(Q58&gt;$B58)*0,IF(AND(ROUND(AVERAGE($C58,$E58,$G58,$I58,$K58,$M58,$O58,$Q58,$S58,$U58,#REF!,#REF!,#REF!,#REF!,#REF!),2)-$B58/2&lt;=Q58,(ROUND(AVERAGE($C58,$E58,$G58,$I58,$K58,$M58,$O58,$Q58,$S58,$U58,#REF!,#REF!,#REF!,#REF!,#REF!),2)+$B58/2&gt;=Q58)),($G$5/$B$5),0))))</f>
        <v>0</v>
      </c>
      <c r="S58" s="128">
        <f>IF($S$8="Habilitado",IF($A58="","",ROUND(VLOOKUP($A58,'Presupuesto Consolidado'!$CC$12:$CH$80,6,FALSE),2)),"")</f>
        <v>432900</v>
      </c>
      <c r="T58" s="129">
        <f>IF($A58="","",IF(S58="","",IF($K$4="Media aritmética",(S58&lt;=$B58)*($G$5/$B$5)+(S58&gt;$B58)*0,IF(AND(ROUND(AVERAGE($C58,$E58,$G58,$I58,$K58,$M58,$O58,$Q58,$S58,$U58,#REF!,#REF!,#REF!,#REF!,#REF!),2)-$B58/2&lt;=S58,(ROUND(AVERAGE($C58,$E58,$G58,$I58,$K58,$M58,$O58,$Q58,$S58,$U58,#REF!,#REF!,#REF!,#REF!,#REF!),2)+$B58/2&gt;=S58)),($G$5/$B$5),0))))</f>
        <v>0</v>
      </c>
      <c r="U58" s="128" t="str">
        <f>IF($U$8="Habilitado",IF($A58="","",ROUND(VLOOKUP($A58,'Presupuesto Consolidado'!$CM$12:$CR$80,6,FALSE),2)),"")</f>
        <v/>
      </c>
      <c r="V58" s="129" t="str">
        <f>IF($A58="","",IF(U58="","",IF($K$4="Media aritmética",(U58&lt;=$B58)*($G$5/$B$5)+(U58&gt;$B58)*0,IF(AND(ROUND(AVERAGE($C58,$E58,$G58,$I58,$K58,$M58,$O58,$Q58,$S58,$U58,#REF!,#REF!,#REF!,#REF!,#REF!),2)-$B58/2&lt;=U58,(ROUND(AVERAGE($C58,$E58,$G58,$I58,$K58,$M58,$O58,$Q58,$S58,$U58,#REF!,#REF!,#REF!,#REF!,#REF!),2)+$B58/2&gt;=U58)),($G$5/$B$5),0))))</f>
        <v/>
      </c>
    </row>
    <row r="59" spans="1:22" s="122" customFormat="1" ht="21" customHeight="1">
      <c r="A59" s="256" t="str">
        <f>+'Presupuesto Consolidado'!A57</f>
        <v>8.4</v>
      </c>
      <c r="B59" s="127">
        <f t="shared" si="9"/>
        <v>440922</v>
      </c>
      <c r="C59" s="128">
        <f>IF($C$8="Habilitado",IF($A59="","",ROUND(VLOOKUP($A59,'Presupuesto Consolidado'!$A$12:$F$80,6,FALSE),2)),"")</f>
        <v>453600</v>
      </c>
      <c r="D59" s="129">
        <f>IF($A59="","",IF(C59="","",IF($K$4="Media aritmética",(C59&lt;=$B59)*($G$5/$B$5)+(C59&gt;$B59)*0,IF(AND(ROUND(AVERAGE($C59,$E59,$G59,$I59,$K59,$M59,$O59,$Q59,$S59,$U59,#REF!,#REF!,#REF!,#REF!,#REF!),2)-$B59/2&lt;=C59,(ROUND(AVERAGE($C59,$E59,$G59,$I59,$K59,$M59,$O59,$Q59,$S59,$U59,#REF!,#REF!,#REF!,#REF!,#REF!),2)+$B59/2&gt;=C59)),($G$5/$B$5),0))))</f>
        <v>0</v>
      </c>
      <c r="E59" s="128">
        <f>IF($E$8="Habilitado",IF($A59="","",ROUND(VLOOKUP($A59,'Presupuesto Consolidado'!$K$12:$P$80,6,FALSE),2)),"")</f>
        <v>392000</v>
      </c>
      <c r="F59" s="129">
        <f>IF($A59="","",IF(E59="","",IF($K$4="Media aritmética",(E59&lt;=$B59)*($G$5/$B$5)+(E59&gt;$B59)*0,IF(AND(ROUND(AVERAGE($C59,$E59,$G59,$I59,$K59,$M59,$O59,$Q59,$S59,$U59,#REF!,#REF!,#REF!,#REF!,#REF!),2)-$B59/2&lt;=E59,(ROUND(AVERAGE($C59,$E59,$G59,$I59,$K59,$M59,$O59,$Q59,$S59,$U59,#REF!,#REF!,#REF!,#REF!,#REF!),2)+$B59/2&gt;=E59)),($G$5/$B$5),0))))</f>
        <v>1.8604651162790697</v>
      </c>
      <c r="G59" s="128">
        <f>IF($G$8="Habilitado",IF($A59="","",ROUND(VLOOKUP($A59,'Presupuesto Consolidado'!$U$12:$Z$80,6,FALSE),2)),"")</f>
        <v>325000</v>
      </c>
      <c r="H59" s="129">
        <f>IF($A59="","",IF(G59="","",IF($K$4="Media aritmética",(G59&lt;=$B59)*($G$5/$B$5)+(G59&gt;$B59)*0,IF(AND(ROUND(AVERAGE($C59,$E59,$G59,$I59,$K59,$M59,$O59,$Q59,$S59,$U59,#REF!,#REF!,#REF!,#REF!,#REF!),2)-$B59/2&lt;=G59,(ROUND(AVERAGE($C59,$E59,$G59,$I59,$K59,$M59,$O59,$Q59,$S59,$U59,#REF!,#REF!,#REF!,#REF!,#REF!),2)+$B59/2&gt;=G59)),($G$5/$B$5),0))))</f>
        <v>1.8604651162790697</v>
      </c>
      <c r="I59" s="128">
        <f>IF($I$8="Habilitado",IF($A59="","",ROUND(VLOOKUP($A59,'Presupuesto Consolidado'!$AE$12:$AJ$80,6,FALSE),2)),"")</f>
        <v>650000</v>
      </c>
      <c r="J59" s="129">
        <f>IF($A59="","",IF(I59="","",IF($K$4="Media aritmética",(I59&lt;=$B59)*($G$5/$B$5)+(I59&gt;$B59)*0,IF(AND(ROUND(AVERAGE($C59,$E59,$G59,$I59,$K59,$M59,$O59,$Q59,$S59,$U59,#REF!,#REF!,#REF!,#REF!,#REF!),2)-$B59/2&lt;=I59,(ROUND(AVERAGE($C59,$E59,$G59,$I59,$K59,$M59,$O59,$Q59,$S59,$U59,#REF!,#REF!,#REF!,#REF!,#REF!),2)+$B59/2&gt;=I59)),($G$5/$B$5),0))))</f>
        <v>0</v>
      </c>
      <c r="K59" s="128">
        <f>IF($K$8="Habilitado",IF($A59="","",ROUND(VLOOKUP($A59,'Presupuesto Consolidado'!$AO$12:$AT$80,6,FALSE),2)),"")</f>
        <v>433900</v>
      </c>
      <c r="L59" s="129">
        <f>IF($A59="","",IF(K59="","",IF($K$4="Media aritmética",(K59&lt;=$B59)*($G$5/$B$5)+(K59&gt;$B59)*0,IF(AND(ROUND(AVERAGE($C59,$E59,$G59,$I59,$K59,$M59,$O59,$Q59,$S59,$U59,#REF!,#REF!,#REF!,#REF!,#REF!),2)-$B59/2&lt;=K59,(ROUND(AVERAGE($C59,$E59,$G59,$I59,$K59,$M59,$O59,$Q59,$S59,$U59,#REF!,#REF!,#REF!,#REF!,#REF!),2)+$B59/2&gt;=K59)),($G$5/$B$5),0))))</f>
        <v>1.8604651162790697</v>
      </c>
      <c r="M59" s="128" t="str">
        <f>IF($M$8="Habilitado",IF($A59="","",ROUND(VLOOKUP($A59,'Presupuesto Consolidado'!$AY$12:$BD$80,6,FALSE),2)),"")</f>
        <v/>
      </c>
      <c r="N59" s="129" t="str">
        <f>IF($A59="","",IF(M59="","",IF($K$4="Media aritmética",(M59&lt;=$B59)*($G$5/$B$5)+(M59&gt;$B59)*0,IF(AND(ROUND(AVERAGE($C59,$E59,$G59,$I59,$K59,$M59,$O59,$Q59,$S59,$U59,#REF!,#REF!,#REF!,#REF!,#REF!),2)-$B59/2&lt;=M59,(ROUND(AVERAGE($C59,$E59,$G59,$I59,$K59,$M59,$O59,$Q59,$S59,$U59,#REF!,#REF!,#REF!,#REF!,#REF!),2)+$B59/2&gt;=M59)),($G$5/$B$5),0))))</f>
        <v/>
      </c>
      <c r="O59" s="128">
        <f>IF($O$8="Habilitado",IF($A59="","",ROUND(VLOOKUP($A59,'Presupuesto Consolidado'!$BI$12:$BN$80,6,FALSE),2)),"")</f>
        <v>432100</v>
      </c>
      <c r="P59" s="129">
        <f>IF($A59="","",IF(O59="","",IF($K$4="Media aritmética",(O59&lt;=$B59)*($G$5/$B$5)+(O59&gt;$B59)*0,IF(AND(ROUND(AVERAGE($C59,$E59,$G59,$I59,$K59,$M59,$O59,$Q59,$S59,$U59,#REF!,#REF!,#REF!,#REF!,#REF!),2)-$B59/2&lt;=O59,(ROUND(AVERAGE($C59,$E59,$G59,$I59,$K59,$M59,$O59,$Q59,$S59,$U59,#REF!,#REF!,#REF!,#REF!,#REF!),2)+$B59/2&gt;=O59)),($G$5/$B$5),0))))</f>
        <v>1.8604651162790697</v>
      </c>
      <c r="Q59" s="128">
        <f>IF($Q$8="Habilitado",IF($A59="","",ROUND(VLOOKUP($A59,'Presupuesto Consolidado'!$BS$12:$BX$80,6,FALSE),2)),"")</f>
        <v>421876</v>
      </c>
      <c r="R59" s="129">
        <f>IF($A59="","",IF(Q59="","",IF($K$4="Media aritmética",(Q59&lt;=$B59)*($G$5/$B$5)+(Q59&gt;$B59)*0,IF(AND(ROUND(AVERAGE($C59,$E59,$G59,$I59,$K59,$M59,$O59,$Q59,$S59,$U59,#REF!,#REF!,#REF!,#REF!,#REF!),2)-$B59/2&lt;=Q59,(ROUND(AVERAGE($C59,$E59,$G59,$I59,$K59,$M59,$O59,$Q59,$S59,$U59,#REF!,#REF!,#REF!,#REF!,#REF!),2)+$B59/2&gt;=Q59)),($G$5/$B$5),0))))</f>
        <v>1.8604651162790697</v>
      </c>
      <c r="S59" s="128">
        <f>IF($S$8="Habilitado",IF($A59="","",ROUND(VLOOKUP($A59,'Presupuesto Consolidado'!$CC$12:$CH$80,6,FALSE),2)),"")</f>
        <v>418900</v>
      </c>
      <c r="T59" s="129">
        <f>IF($A59="","",IF(S59="","",IF($K$4="Media aritmética",(S59&lt;=$B59)*($G$5/$B$5)+(S59&gt;$B59)*0,IF(AND(ROUND(AVERAGE($C59,$E59,$G59,$I59,$K59,$M59,$O59,$Q59,$S59,$U59,#REF!,#REF!,#REF!,#REF!,#REF!),2)-$B59/2&lt;=S59,(ROUND(AVERAGE($C59,$E59,$G59,$I59,$K59,$M59,$O59,$Q59,$S59,$U59,#REF!,#REF!,#REF!,#REF!,#REF!),2)+$B59/2&gt;=S59)),($G$5/$B$5),0))))</f>
        <v>1.8604651162790697</v>
      </c>
      <c r="U59" s="128" t="str">
        <f>IF($U$8="Habilitado",IF($A59="","",ROUND(VLOOKUP($A59,'Presupuesto Consolidado'!$CM$12:$CR$80,6,FALSE),2)),"")</f>
        <v/>
      </c>
      <c r="V59" s="129" t="str">
        <f>IF($A59="","",IF(U59="","",IF($K$4="Media aritmética",(U59&lt;=$B59)*($G$5/$B$5)+(U59&gt;$B59)*0,IF(AND(ROUND(AVERAGE($C59,$E59,$G59,$I59,$K59,$M59,$O59,$Q59,$S59,$U59,#REF!,#REF!,#REF!,#REF!,#REF!),2)-$B59/2&lt;=U59,(ROUND(AVERAGE($C59,$E59,$G59,$I59,$K59,$M59,$O59,$Q59,$S59,$U59,#REF!,#REF!,#REF!,#REF!,#REF!),2)+$B59/2&gt;=U59)),($G$5/$B$5),0))))</f>
        <v/>
      </c>
    </row>
    <row r="60" spans="1:22" s="122" customFormat="1" ht="21" customHeight="1">
      <c r="A60" s="256" t="str">
        <f>+'Presupuesto Consolidado'!A58</f>
        <v>8.5</v>
      </c>
      <c r="B60" s="127">
        <f t="shared" si="9"/>
        <v>4031033.75</v>
      </c>
      <c r="C60" s="128">
        <f>IF($C$8="Habilitado",IF($A60="","",ROUND(VLOOKUP($A60,'Presupuesto Consolidado'!$A$12:$F$80,6,FALSE),2)),"")</f>
        <v>4538600</v>
      </c>
      <c r="D60" s="129">
        <f>IF($A60="","",IF(C60="","",IF($K$4="Media aritmética",(C60&lt;=$B60)*($G$5/$B$5)+(C60&gt;$B60)*0,IF(AND(ROUND(AVERAGE($C60,$E60,$G60,$I60,$K60,$M60,$O60,$Q60,$S60,$U60,#REF!,#REF!,#REF!,#REF!,#REF!),2)-$B60/2&lt;=C60,(ROUND(AVERAGE($C60,$E60,$G60,$I60,$K60,$M60,$O60,$Q60,$S60,$U60,#REF!,#REF!,#REF!,#REF!,#REF!),2)+$B60/2&gt;=C60)),($G$5/$B$5),0))))</f>
        <v>0</v>
      </c>
      <c r="E60" s="128">
        <f>IF($E$8="Habilitado",IF($A60="","",ROUND(VLOOKUP($A60,'Presupuesto Consolidado'!$K$12:$P$80,6,FALSE),2)),"")</f>
        <v>2450000</v>
      </c>
      <c r="F60" s="129">
        <f>IF($A60="","",IF(E60="","",IF($K$4="Media aritmética",(E60&lt;=$B60)*($G$5/$B$5)+(E60&gt;$B60)*0,IF(AND(ROUND(AVERAGE($C60,$E60,$G60,$I60,$K60,$M60,$O60,$Q60,$S60,$U60,#REF!,#REF!,#REF!,#REF!,#REF!),2)-$B60/2&lt;=E60,(ROUND(AVERAGE($C60,$E60,$G60,$I60,$K60,$M60,$O60,$Q60,$S60,$U60,#REF!,#REF!,#REF!,#REF!,#REF!),2)+$B60/2&gt;=E60)),($G$5/$B$5),0))))</f>
        <v>1.8604651162790697</v>
      </c>
      <c r="G60" s="128">
        <f>IF($G$8="Habilitado",IF($A60="","",ROUND(VLOOKUP($A60,'Presupuesto Consolidado'!$U$12:$Z$80,6,FALSE),2)),"")</f>
        <v>5190000</v>
      </c>
      <c r="H60" s="129">
        <f>IF($A60="","",IF(G60="","",IF($K$4="Media aritmética",(G60&lt;=$B60)*($G$5/$B$5)+(G60&gt;$B60)*0,IF(AND(ROUND(AVERAGE($C60,$E60,$G60,$I60,$K60,$M60,$O60,$Q60,$S60,$U60,#REF!,#REF!,#REF!,#REF!,#REF!),2)-$B60/2&lt;=G60,(ROUND(AVERAGE($C60,$E60,$G60,$I60,$K60,$M60,$O60,$Q60,$S60,$U60,#REF!,#REF!,#REF!,#REF!,#REF!),2)+$B60/2&gt;=G60)),($G$5/$B$5),0))))</f>
        <v>0</v>
      </c>
      <c r="I60" s="128">
        <f>IF($I$8="Habilitado",IF($A60="","",ROUND(VLOOKUP($A60,'Presupuesto Consolidado'!$AE$12:$AJ$80,6,FALSE),2)),"")</f>
        <v>4000000</v>
      </c>
      <c r="J60" s="129">
        <f>IF($A60="","",IF(I60="","",IF($K$4="Media aritmética",(I60&lt;=$B60)*($G$5/$B$5)+(I60&gt;$B60)*0,IF(AND(ROUND(AVERAGE($C60,$E60,$G60,$I60,$K60,$M60,$O60,$Q60,$S60,$U60,#REF!,#REF!,#REF!,#REF!,#REF!),2)-$B60/2&lt;=I60,(ROUND(AVERAGE($C60,$E60,$G60,$I60,$K60,$M60,$O60,$Q60,$S60,$U60,#REF!,#REF!,#REF!,#REF!,#REF!),2)+$B60/2&gt;=I60)),($G$5/$B$5),0))))</f>
        <v>1.8604651162790697</v>
      </c>
      <c r="K60" s="128">
        <f>IF($K$8="Habilitado",IF($A60="","",ROUND(VLOOKUP($A60,'Presupuesto Consolidado'!$AO$12:$AT$80,6,FALSE),2)),"")</f>
        <v>3980000</v>
      </c>
      <c r="L60" s="129">
        <f>IF($A60="","",IF(K60="","",IF($K$4="Media aritmética",(K60&lt;=$B60)*($G$5/$B$5)+(K60&gt;$B60)*0,IF(AND(ROUND(AVERAGE($C60,$E60,$G60,$I60,$K60,$M60,$O60,$Q60,$S60,$U60,#REF!,#REF!,#REF!,#REF!,#REF!),2)-$B60/2&lt;=K60,(ROUND(AVERAGE($C60,$E60,$G60,$I60,$K60,$M60,$O60,$Q60,$S60,$U60,#REF!,#REF!,#REF!,#REF!,#REF!),2)+$B60/2&gt;=K60)),($G$5/$B$5),0))))</f>
        <v>1.8604651162790697</v>
      </c>
      <c r="M60" s="128" t="str">
        <f>IF($M$8="Habilitado",IF($A60="","",ROUND(VLOOKUP($A60,'Presupuesto Consolidado'!$AY$12:$BD$80,6,FALSE),2)),"")</f>
        <v/>
      </c>
      <c r="N60" s="129" t="str">
        <f>IF($A60="","",IF(M60="","",IF($K$4="Media aritmética",(M60&lt;=$B60)*($G$5/$B$5)+(M60&gt;$B60)*0,IF(AND(ROUND(AVERAGE($C60,$E60,$G60,$I60,$K60,$M60,$O60,$Q60,$S60,$U60,#REF!,#REF!,#REF!,#REF!,#REF!),2)-$B60/2&lt;=M60,(ROUND(AVERAGE($C60,$E60,$G60,$I60,$K60,$M60,$O60,$Q60,$S60,$U60,#REF!,#REF!,#REF!,#REF!,#REF!),2)+$B60/2&gt;=M60)),($G$5/$B$5),0))))</f>
        <v/>
      </c>
      <c r="O60" s="128">
        <f>IF($O$8="Habilitado",IF($A60="","",ROUND(VLOOKUP($A60,'Presupuesto Consolidado'!$BI$12:$BN$80,6,FALSE),2)),"")</f>
        <v>4007890</v>
      </c>
      <c r="P60" s="129">
        <f>IF($A60="","",IF(O60="","",IF($K$4="Media aritmética",(O60&lt;=$B60)*($G$5/$B$5)+(O60&gt;$B60)*0,IF(AND(ROUND(AVERAGE($C60,$E60,$G60,$I60,$K60,$M60,$O60,$Q60,$S60,$U60,#REF!,#REF!,#REF!,#REF!,#REF!),2)-$B60/2&lt;=O60,(ROUND(AVERAGE($C60,$E60,$G60,$I60,$K60,$M60,$O60,$Q60,$S60,$U60,#REF!,#REF!,#REF!,#REF!,#REF!),2)+$B60/2&gt;=O60)),($G$5/$B$5),0))))</f>
        <v>1.8604651162790697</v>
      </c>
      <c r="Q60" s="128">
        <f>IF($Q$8="Habilitado",IF($A60="","",ROUND(VLOOKUP($A60,'Presupuesto Consolidado'!$BS$12:$BX$80,6,FALSE),2)),"")</f>
        <v>4101000</v>
      </c>
      <c r="R60" s="129">
        <f>IF($A60="","",IF(Q60="","",IF($K$4="Media aritmética",(Q60&lt;=$B60)*($G$5/$B$5)+(Q60&gt;$B60)*0,IF(AND(ROUND(AVERAGE($C60,$E60,$G60,$I60,$K60,$M60,$O60,$Q60,$S60,$U60,#REF!,#REF!,#REF!,#REF!,#REF!),2)-$B60/2&lt;=Q60,(ROUND(AVERAGE($C60,$E60,$G60,$I60,$K60,$M60,$O60,$Q60,$S60,$U60,#REF!,#REF!,#REF!,#REF!,#REF!),2)+$B60/2&gt;=Q60)),($G$5/$B$5),0))))</f>
        <v>0</v>
      </c>
      <c r="S60" s="128">
        <f>IF($S$8="Habilitado",IF($A60="","",ROUND(VLOOKUP($A60,'Presupuesto Consolidado'!$CC$12:$CH$80,6,FALSE),2)),"")</f>
        <v>3980780</v>
      </c>
      <c r="T60" s="129">
        <f>IF($A60="","",IF(S60="","",IF($K$4="Media aritmética",(S60&lt;=$B60)*($G$5/$B$5)+(S60&gt;$B60)*0,IF(AND(ROUND(AVERAGE($C60,$E60,$G60,$I60,$K60,$M60,$O60,$Q60,$S60,$U60,#REF!,#REF!,#REF!,#REF!,#REF!),2)-$B60/2&lt;=S60,(ROUND(AVERAGE($C60,$E60,$G60,$I60,$K60,$M60,$O60,$Q60,$S60,$U60,#REF!,#REF!,#REF!,#REF!,#REF!),2)+$B60/2&gt;=S60)),($G$5/$B$5),0))))</f>
        <v>1.8604651162790697</v>
      </c>
      <c r="U60" s="128" t="str">
        <f>IF($U$8="Habilitado",IF($A60="","",ROUND(VLOOKUP($A60,'Presupuesto Consolidado'!$CM$12:$CR$80,6,FALSE),2)),"")</f>
        <v/>
      </c>
      <c r="V60" s="129" t="str">
        <f>IF($A60="","",IF(U60="","",IF($K$4="Media aritmética",(U60&lt;=$B60)*($G$5/$B$5)+(U60&gt;$B60)*0,IF(AND(ROUND(AVERAGE($C60,$E60,$G60,$I60,$K60,$M60,$O60,$Q60,$S60,$U60,#REF!,#REF!,#REF!,#REF!,#REF!),2)-$B60/2&lt;=U60,(ROUND(AVERAGE($C60,$E60,$G60,$I60,$K60,$M60,$O60,$Q60,$S60,$U60,#REF!,#REF!,#REF!,#REF!,#REF!),2)+$B60/2&gt;=U60)),($G$5/$B$5),0))))</f>
        <v/>
      </c>
    </row>
    <row r="61" spans="1:22" s="122" customFormat="1" ht="21" customHeight="1">
      <c r="A61" s="256" t="str">
        <f>+'Presupuesto Consolidado'!A59</f>
        <v>8.6</v>
      </c>
      <c r="B61" s="127">
        <f t="shared" si="9"/>
        <v>1834975</v>
      </c>
      <c r="C61" s="128">
        <f>IF($C$8="Habilitado",IF($A61="","",ROUND(VLOOKUP($A61,'Presupuesto Consolidado'!$A$12:$F$80,6,FALSE),2)),"")</f>
        <v>1834000</v>
      </c>
      <c r="D61" s="129">
        <f>IF($A61="","",IF(C61="","",IF($K$4="Media aritmética",(C61&lt;=$B61)*($G$5/$B$5)+(C61&gt;$B61)*0,IF(AND(ROUND(AVERAGE($C61,$E61,$G61,$I61,$K61,$M61,$O61,$Q61,$S61,$U61,#REF!,#REF!,#REF!,#REF!,#REF!),2)-$B61/2&lt;=C61,(ROUND(AVERAGE($C61,$E61,$G61,$I61,$K61,$M61,$O61,$Q61,$S61,$U61,#REF!,#REF!,#REF!,#REF!,#REF!),2)+$B61/2&gt;=C61)),($G$5/$B$5),0))))</f>
        <v>1.8604651162790697</v>
      </c>
      <c r="E61" s="128">
        <f>IF($E$8="Habilitado",IF($A61="","",ROUND(VLOOKUP($A61,'Presupuesto Consolidado'!$K$12:$P$80,6,FALSE),2)),"")</f>
        <v>1370000</v>
      </c>
      <c r="F61" s="129">
        <f>IF($A61="","",IF(E61="","",IF($K$4="Media aritmética",(E61&lt;=$B61)*($G$5/$B$5)+(E61&gt;$B61)*0,IF(AND(ROUND(AVERAGE($C61,$E61,$G61,$I61,$K61,$M61,$O61,$Q61,$S61,$U61,#REF!,#REF!,#REF!,#REF!,#REF!),2)-$B61/2&lt;=E61,(ROUND(AVERAGE($C61,$E61,$G61,$I61,$K61,$M61,$O61,$Q61,$S61,$U61,#REF!,#REF!,#REF!,#REF!,#REF!),2)+$B61/2&gt;=E61)),($G$5/$B$5),0))))</f>
        <v>1.8604651162790697</v>
      </c>
      <c r="G61" s="128">
        <f>IF($G$8="Habilitado",IF($A61="","",ROUND(VLOOKUP($A61,'Presupuesto Consolidado'!$U$12:$Z$80,6,FALSE),2)),"")</f>
        <v>1790000</v>
      </c>
      <c r="H61" s="129">
        <f>IF($A61="","",IF(G61="","",IF($K$4="Media aritmética",(G61&lt;=$B61)*($G$5/$B$5)+(G61&gt;$B61)*0,IF(AND(ROUND(AVERAGE($C61,$E61,$G61,$I61,$K61,$M61,$O61,$Q61,$S61,$U61,#REF!,#REF!,#REF!,#REF!,#REF!),2)-$B61/2&lt;=G61,(ROUND(AVERAGE($C61,$E61,$G61,$I61,$K61,$M61,$O61,$Q61,$S61,$U61,#REF!,#REF!,#REF!,#REF!,#REF!),2)+$B61/2&gt;=G61)),($G$5/$B$5),0))))</f>
        <v>1.8604651162790697</v>
      </c>
      <c r="I61" s="128">
        <f>IF($I$8="Habilitado",IF($A61="","",ROUND(VLOOKUP($A61,'Presupuesto Consolidado'!$AE$12:$AJ$80,6,FALSE),2)),"")</f>
        <v>1900000</v>
      </c>
      <c r="J61" s="129">
        <f>IF($A61="","",IF(I61="","",IF($K$4="Media aritmética",(I61&lt;=$B61)*($G$5/$B$5)+(I61&gt;$B61)*0,IF(AND(ROUND(AVERAGE($C61,$E61,$G61,$I61,$K61,$M61,$O61,$Q61,$S61,$U61,#REF!,#REF!,#REF!,#REF!,#REF!),2)-$B61/2&lt;=I61,(ROUND(AVERAGE($C61,$E61,$G61,$I61,$K61,$M61,$O61,$Q61,$S61,$U61,#REF!,#REF!,#REF!,#REF!,#REF!),2)+$B61/2&gt;=I61)),($G$5/$B$5),0))))</f>
        <v>0</v>
      </c>
      <c r="K61" s="128">
        <f>IF($K$8="Habilitado",IF($A61="","",ROUND(VLOOKUP($A61,'Presupuesto Consolidado'!$AO$12:$AT$80,6,FALSE),2)),"")</f>
        <v>1970000</v>
      </c>
      <c r="L61" s="129">
        <f>IF($A61="","",IF(K61="","",IF($K$4="Media aritmética",(K61&lt;=$B61)*($G$5/$B$5)+(K61&gt;$B61)*0,IF(AND(ROUND(AVERAGE($C61,$E61,$G61,$I61,$K61,$M61,$O61,$Q61,$S61,$U61,#REF!,#REF!,#REF!,#REF!,#REF!),2)-$B61/2&lt;=K61,(ROUND(AVERAGE($C61,$E61,$G61,$I61,$K61,$M61,$O61,$Q61,$S61,$U61,#REF!,#REF!,#REF!,#REF!,#REF!),2)+$B61/2&gt;=K61)),($G$5/$B$5),0))))</f>
        <v>0</v>
      </c>
      <c r="M61" s="128" t="str">
        <f>IF($M$8="Habilitado",IF($A61="","",ROUND(VLOOKUP($A61,'Presupuesto Consolidado'!$AY$12:$BD$80,6,FALSE),2)),"")</f>
        <v/>
      </c>
      <c r="N61" s="129" t="str">
        <f>IF($A61="","",IF(M61="","",IF($K$4="Media aritmética",(M61&lt;=$B61)*($G$5/$B$5)+(M61&gt;$B61)*0,IF(AND(ROUND(AVERAGE($C61,$E61,$G61,$I61,$K61,$M61,$O61,$Q61,$S61,$U61,#REF!,#REF!,#REF!,#REF!,#REF!),2)-$B61/2&lt;=M61,(ROUND(AVERAGE($C61,$E61,$G61,$I61,$K61,$M61,$O61,$Q61,$S61,$U61,#REF!,#REF!,#REF!,#REF!,#REF!),2)+$B61/2&gt;=M61)),($G$5/$B$5),0))))</f>
        <v/>
      </c>
      <c r="O61" s="128">
        <f>IF($O$8="Habilitado",IF($A61="","",ROUND(VLOOKUP($A61,'Presupuesto Consolidado'!$BI$12:$BN$80,6,FALSE),2)),"")</f>
        <v>1946000</v>
      </c>
      <c r="P61" s="129">
        <f>IF($A61="","",IF(O61="","",IF($K$4="Media aritmética",(O61&lt;=$B61)*($G$5/$B$5)+(O61&gt;$B61)*0,IF(AND(ROUND(AVERAGE($C61,$E61,$G61,$I61,$K61,$M61,$O61,$Q61,$S61,$U61,#REF!,#REF!,#REF!,#REF!,#REF!),2)-$B61/2&lt;=O61,(ROUND(AVERAGE($C61,$E61,$G61,$I61,$K61,$M61,$O61,$Q61,$S61,$U61,#REF!,#REF!,#REF!,#REF!,#REF!),2)+$B61/2&gt;=O61)),($G$5/$B$5),0))))</f>
        <v>0</v>
      </c>
      <c r="Q61" s="128">
        <f>IF($Q$8="Habilitado",IF($A61="","",ROUND(VLOOKUP($A61,'Presupuesto Consolidado'!$BS$12:$BX$80,6,FALSE),2)),"")</f>
        <v>1942000</v>
      </c>
      <c r="R61" s="129">
        <f>IF($A61="","",IF(Q61="","",IF($K$4="Media aritmética",(Q61&lt;=$B61)*($G$5/$B$5)+(Q61&gt;$B61)*0,IF(AND(ROUND(AVERAGE($C61,$E61,$G61,$I61,$K61,$M61,$O61,$Q61,$S61,$U61,#REF!,#REF!,#REF!,#REF!,#REF!),2)-$B61/2&lt;=Q61,(ROUND(AVERAGE($C61,$E61,$G61,$I61,$K61,$M61,$O61,$Q61,$S61,$U61,#REF!,#REF!,#REF!,#REF!,#REF!),2)+$B61/2&gt;=Q61)),($G$5/$B$5),0))))</f>
        <v>0</v>
      </c>
      <c r="S61" s="128">
        <f>IF($S$8="Habilitado",IF($A61="","",ROUND(VLOOKUP($A61,'Presupuesto Consolidado'!$CC$12:$CH$80,6,FALSE),2)),"")</f>
        <v>1927800</v>
      </c>
      <c r="T61" s="129">
        <f>IF($A61="","",IF(S61="","",IF($K$4="Media aritmética",(S61&lt;=$B61)*($G$5/$B$5)+(S61&gt;$B61)*0,IF(AND(ROUND(AVERAGE($C61,$E61,$G61,$I61,$K61,$M61,$O61,$Q61,$S61,$U61,#REF!,#REF!,#REF!,#REF!,#REF!),2)-$B61/2&lt;=S61,(ROUND(AVERAGE($C61,$E61,$G61,$I61,$K61,$M61,$O61,$Q61,$S61,$U61,#REF!,#REF!,#REF!,#REF!,#REF!),2)+$B61/2&gt;=S61)),($G$5/$B$5),0))))</f>
        <v>0</v>
      </c>
      <c r="U61" s="128" t="str">
        <f>IF($U$8="Habilitado",IF($A61="","",ROUND(VLOOKUP($A61,'Presupuesto Consolidado'!$CM$12:$CR$80,6,FALSE),2)),"")</f>
        <v/>
      </c>
      <c r="V61" s="129" t="str">
        <f>IF($A61="","",IF(U61="","",IF($K$4="Media aritmética",(U61&lt;=$B61)*($G$5/$B$5)+(U61&gt;$B61)*0,IF(AND(ROUND(AVERAGE($C61,$E61,$G61,$I61,$K61,$M61,$O61,$Q61,$S61,$U61,#REF!,#REF!,#REF!,#REF!,#REF!),2)-$B61/2&lt;=U61,(ROUND(AVERAGE($C61,$E61,$G61,$I61,$K61,$M61,$O61,$Q61,$S61,$U61,#REF!,#REF!,#REF!,#REF!,#REF!),2)+$B61/2&gt;=U61)),($G$5/$B$5),0))))</f>
        <v/>
      </c>
    </row>
    <row r="62" spans="1:22" s="122" customFormat="1" ht="21" customHeight="1">
      <c r="A62" s="256" t="str">
        <f>+'Presupuesto Consolidado'!A60</f>
        <v>8.7</v>
      </c>
      <c r="B62" s="127">
        <f t="shared" si="9"/>
        <v>4836582</v>
      </c>
      <c r="C62" s="128">
        <f>IF($C$8="Habilitado",IF($A62="","",ROUND(VLOOKUP($A62,'Presupuesto Consolidado'!$A$12:$F$80,6,FALSE),2)),"")</f>
        <v>2209680</v>
      </c>
      <c r="D62" s="129">
        <f>IF($A62="","",IF(C62="","",IF($K$4="Media aritmética",(C62&lt;=$B62)*($G$5/$B$5)+(C62&gt;$B62)*0,IF(AND(ROUND(AVERAGE($C62,$E62,$G62,$I62,$K62,$M62,$O62,$Q62,$S62,$U62,#REF!,#REF!,#REF!,#REF!,#REF!),2)-$B62/2&lt;=C62,(ROUND(AVERAGE($C62,$E62,$G62,$I62,$K62,$M62,$O62,$Q62,$S62,$U62,#REF!,#REF!,#REF!,#REF!,#REF!),2)+$B62/2&gt;=C62)),($G$5/$B$5),0))))</f>
        <v>1.8604651162790697</v>
      </c>
      <c r="E62" s="128">
        <f>IF($E$8="Habilitado",IF($A62="","",ROUND(VLOOKUP($A62,'Presupuesto Consolidado'!$K$12:$P$80,6,FALSE),2)),"")</f>
        <v>3960000</v>
      </c>
      <c r="F62" s="129">
        <f>IF($A62="","",IF(E62="","",IF($K$4="Media aritmética",(E62&lt;=$B62)*($G$5/$B$5)+(E62&gt;$B62)*0,IF(AND(ROUND(AVERAGE($C62,$E62,$G62,$I62,$K62,$M62,$O62,$Q62,$S62,$U62,#REF!,#REF!,#REF!,#REF!,#REF!),2)-$B62/2&lt;=E62,(ROUND(AVERAGE($C62,$E62,$G62,$I62,$K62,$M62,$O62,$Q62,$S62,$U62,#REF!,#REF!,#REF!,#REF!,#REF!),2)+$B62/2&gt;=E62)),($G$5/$B$5),0))))</f>
        <v>1.8604651162790697</v>
      </c>
      <c r="G62" s="128">
        <f>IF($G$8="Habilitado",IF($A62="","",ROUND(VLOOKUP($A62,'Presupuesto Consolidado'!$U$12:$Z$80,6,FALSE),2)),"")</f>
        <v>3168000</v>
      </c>
      <c r="H62" s="129">
        <f>IF($A62="","",IF(G62="","",IF($K$4="Media aritmética",(G62&lt;=$B62)*($G$5/$B$5)+(G62&gt;$B62)*0,IF(AND(ROUND(AVERAGE($C62,$E62,$G62,$I62,$K62,$M62,$O62,$Q62,$S62,$U62,#REF!,#REF!,#REF!,#REF!,#REF!),2)-$B62/2&lt;=G62,(ROUND(AVERAGE($C62,$E62,$G62,$I62,$K62,$M62,$O62,$Q62,$S62,$U62,#REF!,#REF!,#REF!,#REF!,#REF!),2)+$B62/2&gt;=G62)),($G$5/$B$5),0))))</f>
        <v>1.8604651162790697</v>
      </c>
      <c r="I62" s="128">
        <f>IF($I$8="Habilitado",IF($A62="","",ROUND(VLOOKUP($A62,'Presupuesto Consolidado'!$AE$12:$AJ$80,6,FALSE),2)),"")</f>
        <v>1728000</v>
      </c>
      <c r="J62" s="129">
        <f>IF($A62="","",IF(I62="","",IF($K$4="Media aritmética",(I62&lt;=$B62)*($G$5/$B$5)+(I62&gt;$B62)*0,IF(AND(ROUND(AVERAGE($C62,$E62,$G62,$I62,$K62,$M62,$O62,$Q62,$S62,$U62,#REF!,#REF!,#REF!,#REF!,#REF!),2)-$B62/2&lt;=I62,(ROUND(AVERAGE($C62,$E62,$G62,$I62,$K62,$M62,$O62,$Q62,$S62,$U62,#REF!,#REF!,#REF!,#REF!,#REF!),2)+$B62/2&gt;=I62)),($G$5/$B$5),0))))</f>
        <v>1.8604651162790697</v>
      </c>
      <c r="K62" s="128">
        <f>IF($K$8="Habilitado",IF($A62="","",ROUND(VLOOKUP($A62,'Presupuesto Consolidado'!$AO$12:$AT$80,6,FALSE),2)),"")</f>
        <v>7041600</v>
      </c>
      <c r="L62" s="129">
        <f>IF($A62="","",IF(K62="","",IF($K$4="Media aritmética",(K62&lt;=$B62)*($G$5/$B$5)+(K62&gt;$B62)*0,IF(AND(ROUND(AVERAGE($C62,$E62,$G62,$I62,$K62,$M62,$O62,$Q62,$S62,$U62,#REF!,#REF!,#REF!,#REF!,#REF!),2)-$B62/2&lt;=K62,(ROUND(AVERAGE($C62,$E62,$G62,$I62,$K62,$M62,$O62,$Q62,$S62,$U62,#REF!,#REF!,#REF!,#REF!,#REF!),2)+$B62/2&gt;=K62)),($G$5/$B$5),0))))</f>
        <v>0</v>
      </c>
      <c r="M62" s="128" t="str">
        <f>IF($M$8="Habilitado",IF($A62="","",ROUND(VLOOKUP($A62,'Presupuesto Consolidado'!$AY$12:$BD$80,6,FALSE),2)),"")</f>
        <v/>
      </c>
      <c r="N62" s="129" t="str">
        <f>IF($A62="","",IF(M62="","",IF($K$4="Media aritmética",(M62&lt;=$B62)*($G$5/$B$5)+(M62&gt;$B62)*0,IF(AND(ROUND(AVERAGE($C62,$E62,$G62,$I62,$K62,$M62,$O62,$Q62,$S62,$U62,#REF!,#REF!,#REF!,#REF!,#REF!),2)-$B62/2&lt;=M62,(ROUND(AVERAGE($C62,$E62,$G62,$I62,$K62,$M62,$O62,$Q62,$S62,$U62,#REF!,#REF!,#REF!,#REF!,#REF!),2)+$B62/2&gt;=M62)),($G$5/$B$5),0))))</f>
        <v/>
      </c>
      <c r="O62" s="128">
        <f>IF($O$8="Habilitado",IF($A62="","",ROUND(VLOOKUP($A62,'Presupuesto Consolidado'!$BI$12:$BN$80,6,FALSE),2)),"")</f>
        <v>6749856</v>
      </c>
      <c r="P62" s="129">
        <f>IF($A62="","",IF(O62="","",IF($K$4="Media aritmética",(O62&lt;=$B62)*($G$5/$B$5)+(O62&gt;$B62)*0,IF(AND(ROUND(AVERAGE($C62,$E62,$G62,$I62,$K62,$M62,$O62,$Q62,$S62,$U62,#REF!,#REF!,#REF!,#REF!,#REF!),2)-$B62/2&lt;=O62,(ROUND(AVERAGE($C62,$E62,$G62,$I62,$K62,$M62,$O62,$Q62,$S62,$U62,#REF!,#REF!,#REF!,#REF!,#REF!),2)+$B62/2&gt;=O62)),($G$5/$B$5),0))))</f>
        <v>0</v>
      </c>
      <c r="Q62" s="128">
        <f>IF($Q$8="Habilitado",IF($A62="","",ROUND(VLOOKUP($A62,'Presupuesto Consolidado'!$BS$12:$BX$80,6,FALSE),2)),"")</f>
        <v>6926400</v>
      </c>
      <c r="R62" s="129">
        <f>IF($A62="","",IF(Q62="","",IF($K$4="Media aritmética",(Q62&lt;=$B62)*($G$5/$B$5)+(Q62&gt;$B62)*0,IF(AND(ROUND(AVERAGE($C62,$E62,$G62,$I62,$K62,$M62,$O62,$Q62,$S62,$U62,#REF!,#REF!,#REF!,#REF!,#REF!),2)-$B62/2&lt;=Q62,(ROUND(AVERAGE($C62,$E62,$G62,$I62,$K62,$M62,$O62,$Q62,$S62,$U62,#REF!,#REF!,#REF!,#REF!,#REF!),2)+$B62/2&gt;=Q62)),($G$5/$B$5),0))))</f>
        <v>0</v>
      </c>
      <c r="S62" s="128">
        <f>IF($S$8="Habilitado",IF($A62="","",ROUND(VLOOKUP($A62,'Presupuesto Consolidado'!$CC$12:$CH$80,6,FALSE),2)),"")</f>
        <v>6909120</v>
      </c>
      <c r="T62" s="129">
        <f>IF($A62="","",IF(S62="","",IF($K$4="Media aritmética",(S62&lt;=$B62)*($G$5/$B$5)+(S62&gt;$B62)*0,IF(AND(ROUND(AVERAGE($C62,$E62,$G62,$I62,$K62,$M62,$O62,$Q62,$S62,$U62,#REF!,#REF!,#REF!,#REF!,#REF!),2)-$B62/2&lt;=S62,(ROUND(AVERAGE($C62,$E62,$G62,$I62,$K62,$M62,$O62,$Q62,$S62,$U62,#REF!,#REF!,#REF!,#REF!,#REF!),2)+$B62/2&gt;=S62)),($G$5/$B$5),0))))</f>
        <v>0</v>
      </c>
      <c r="U62" s="128" t="str">
        <f>IF($U$8="Habilitado",IF($A62="","",ROUND(VLOOKUP($A62,'Presupuesto Consolidado'!$CM$12:$CR$80,6,FALSE),2)),"")</f>
        <v/>
      </c>
      <c r="V62" s="129" t="str">
        <f>IF($A62="","",IF(U62="","",IF($K$4="Media aritmética",(U62&lt;=$B62)*($G$5/$B$5)+(U62&gt;$B62)*0,IF(AND(ROUND(AVERAGE($C62,$E62,$G62,$I62,$K62,$M62,$O62,$Q62,$S62,$U62,#REF!,#REF!,#REF!,#REF!,#REF!),2)-$B62/2&lt;=U62,(ROUND(AVERAGE($C62,$E62,$G62,$I62,$K62,$M62,$O62,$Q62,$S62,$U62,#REF!,#REF!,#REF!,#REF!,#REF!),2)+$B62/2&gt;=U62)),($G$5/$B$5),0))))</f>
        <v/>
      </c>
    </row>
    <row r="63" spans="1:22" s="122" customFormat="1" ht="21" customHeight="1">
      <c r="A63" s="256" t="str">
        <f>+'Presupuesto Consolidado'!A63</f>
        <v>8.10</v>
      </c>
      <c r="B63" s="127">
        <f t="shared" si="9"/>
        <v>709917.5</v>
      </c>
      <c r="C63" s="128">
        <f>IF($C$8="Habilitado",IF($A63="","",ROUND(VLOOKUP($A63,'Presupuesto Consolidado'!$A$12:$F$80,6,FALSE),2)),"")</f>
        <v>105600</v>
      </c>
      <c r="D63" s="129">
        <f>IF($A63="","",IF(C63="","",IF($K$4="Media aritmética",(C63&lt;=$B63)*($G$5/$B$5)+(C63&gt;$B63)*0,IF(AND(ROUND(AVERAGE($C63,$E63,$G63,$I63,$K63,$M63,$O63,$Q63,$S63,$U63,#REF!,#REF!,#REF!,#REF!,#REF!),2)-$B63/2&lt;=C63,(ROUND(AVERAGE($C63,$E63,$G63,$I63,$K63,$M63,$O63,$Q63,$S63,$U63,#REF!,#REF!,#REF!,#REF!,#REF!),2)+$B63/2&gt;=C63)),($G$5/$B$5),0))))</f>
        <v>1.8604651162790697</v>
      </c>
      <c r="E63" s="128">
        <f>IF($E$8="Habilitado",IF($A63="","",ROUND(VLOOKUP($A63,'Presupuesto Consolidado'!$K$12:$P$80,6,FALSE),2)),"")</f>
        <v>378000</v>
      </c>
      <c r="F63" s="129">
        <f>IF($A63="","",IF(E63="","",IF($K$4="Media aritmética",(E63&lt;=$B63)*($G$5/$B$5)+(E63&gt;$B63)*0,IF(AND(ROUND(AVERAGE($C63,$E63,$G63,$I63,$K63,$M63,$O63,$Q63,$S63,$U63,#REF!,#REF!,#REF!,#REF!,#REF!),2)-$B63/2&lt;=E63,(ROUND(AVERAGE($C63,$E63,$G63,$I63,$K63,$M63,$O63,$Q63,$S63,$U63,#REF!,#REF!,#REF!,#REF!,#REF!),2)+$B63/2&gt;=E63)),($G$5/$B$5),0))))</f>
        <v>1.8604651162790697</v>
      </c>
      <c r="G63" s="128">
        <f>IF($G$8="Habilitado",IF($A63="","",ROUND(VLOOKUP($A63,'Presupuesto Consolidado'!$U$12:$Z$80,6,FALSE),2)),"")</f>
        <v>1500000</v>
      </c>
      <c r="H63" s="129">
        <f>IF($A63="","",IF(G63="","",IF($K$4="Media aritmética",(G63&lt;=$B63)*($G$5/$B$5)+(G63&gt;$B63)*0,IF(AND(ROUND(AVERAGE($C63,$E63,$G63,$I63,$K63,$M63,$O63,$Q63,$S63,$U63,#REF!,#REF!,#REF!,#REF!,#REF!),2)-$B63/2&lt;=G63,(ROUND(AVERAGE($C63,$E63,$G63,$I63,$K63,$M63,$O63,$Q63,$S63,$U63,#REF!,#REF!,#REF!,#REF!,#REF!),2)+$B63/2&gt;=G63)),($G$5/$B$5),0))))</f>
        <v>0</v>
      </c>
      <c r="I63" s="128">
        <f>IF($I$8="Habilitado",IF($A63="","",ROUND(VLOOKUP($A63,'Presupuesto Consolidado'!$AE$12:$AJ$80,6,FALSE),2)),"")</f>
        <v>410000</v>
      </c>
      <c r="J63" s="129">
        <f>IF($A63="","",IF(I63="","",IF($K$4="Media aritmética",(I63&lt;=$B63)*($G$5/$B$5)+(I63&gt;$B63)*0,IF(AND(ROUND(AVERAGE($C63,$E63,$G63,$I63,$K63,$M63,$O63,$Q63,$S63,$U63,#REF!,#REF!,#REF!,#REF!,#REF!),2)-$B63/2&lt;=I63,(ROUND(AVERAGE($C63,$E63,$G63,$I63,$K63,$M63,$O63,$Q63,$S63,$U63,#REF!,#REF!,#REF!,#REF!,#REF!),2)+$B63/2&gt;=I63)),($G$5/$B$5),0))))</f>
        <v>1.8604651162790697</v>
      </c>
      <c r="K63" s="128">
        <f>IF($K$8="Habilitado",IF($A63="","",ROUND(VLOOKUP($A63,'Presupuesto Consolidado'!$AO$12:$AT$80,6,FALSE),2)),"")</f>
        <v>796640</v>
      </c>
      <c r="L63" s="129">
        <f>IF($A63="","",IF(K63="","",IF($K$4="Media aritmética",(K63&lt;=$B63)*($G$5/$B$5)+(K63&gt;$B63)*0,IF(AND(ROUND(AVERAGE($C63,$E63,$G63,$I63,$K63,$M63,$O63,$Q63,$S63,$U63,#REF!,#REF!,#REF!,#REF!,#REF!),2)-$B63/2&lt;=K63,(ROUND(AVERAGE($C63,$E63,$G63,$I63,$K63,$M63,$O63,$Q63,$S63,$U63,#REF!,#REF!,#REF!,#REF!,#REF!),2)+$B63/2&gt;=K63)),($G$5/$B$5),0))))</f>
        <v>0</v>
      </c>
      <c r="M63" s="128" t="str">
        <f>IF($M$8="Habilitado",IF($A63="","",ROUND(VLOOKUP($A63,'Presupuesto Consolidado'!$AY$12:$BD$80,6,FALSE),2)),"")</f>
        <v/>
      </c>
      <c r="N63" s="129" t="str">
        <f>IF($A63="","",IF(M63="","",IF($K$4="Media aritmética",(M63&lt;=$B63)*($G$5/$B$5)+(M63&gt;$B63)*0,IF(AND(ROUND(AVERAGE($C63,$E63,$G63,$I63,$K63,$M63,$O63,$Q63,$S63,$U63,#REF!,#REF!,#REF!,#REF!,#REF!),2)-$B63/2&lt;=M63,(ROUND(AVERAGE($C63,$E63,$G63,$I63,$K63,$M63,$O63,$Q63,$S63,$U63,#REF!,#REF!,#REF!,#REF!,#REF!),2)+$B63/2&gt;=M63)),($G$5/$B$5),0))))</f>
        <v/>
      </c>
      <c r="O63" s="128">
        <f>IF($O$8="Habilitado",IF($A63="","",ROUND(VLOOKUP($A63,'Presupuesto Consolidado'!$BI$12:$BN$80,6,FALSE),2)),"")</f>
        <v>873440</v>
      </c>
      <c r="P63" s="129">
        <f>IF($A63="","",IF(O63="","",IF($K$4="Media aritmética",(O63&lt;=$B63)*($G$5/$B$5)+(O63&gt;$B63)*0,IF(AND(ROUND(AVERAGE($C63,$E63,$G63,$I63,$K63,$M63,$O63,$Q63,$S63,$U63,#REF!,#REF!,#REF!,#REF!,#REF!),2)-$B63/2&lt;=O63,(ROUND(AVERAGE($C63,$E63,$G63,$I63,$K63,$M63,$O63,$Q63,$S63,$U63,#REF!,#REF!,#REF!,#REF!,#REF!),2)+$B63/2&gt;=O63)),($G$5/$B$5),0))))</f>
        <v>0</v>
      </c>
      <c r="Q63" s="128">
        <f>IF($Q$8="Habilitado",IF($A63="","",ROUND(VLOOKUP($A63,'Presupuesto Consolidado'!$BS$12:$BX$80,6,FALSE),2)),"")</f>
        <v>802800</v>
      </c>
      <c r="R63" s="129">
        <f>IF($A63="","",IF(Q63="","",IF($K$4="Media aritmética",(Q63&lt;=$B63)*($G$5/$B$5)+(Q63&gt;$B63)*0,IF(AND(ROUND(AVERAGE($C63,$E63,$G63,$I63,$K63,$M63,$O63,$Q63,$S63,$U63,#REF!,#REF!,#REF!,#REF!,#REF!),2)-$B63/2&lt;=Q63,(ROUND(AVERAGE($C63,$E63,$G63,$I63,$K63,$M63,$O63,$Q63,$S63,$U63,#REF!,#REF!,#REF!,#REF!,#REF!),2)+$B63/2&gt;=Q63)),($G$5/$B$5),0))))</f>
        <v>0</v>
      </c>
      <c r="S63" s="128">
        <f>IF($S$8="Habilitado",IF($A63="","",ROUND(VLOOKUP($A63,'Presupuesto Consolidado'!$CC$12:$CH$80,6,FALSE),2)),"")</f>
        <v>812860</v>
      </c>
      <c r="T63" s="129">
        <f>IF($A63="","",IF(S63="","",IF($K$4="Media aritmética",(S63&lt;=$B63)*($G$5/$B$5)+(S63&gt;$B63)*0,IF(AND(ROUND(AVERAGE($C63,$E63,$G63,$I63,$K63,$M63,$O63,$Q63,$S63,$U63,#REF!,#REF!,#REF!,#REF!,#REF!),2)-$B63/2&lt;=S63,(ROUND(AVERAGE($C63,$E63,$G63,$I63,$K63,$M63,$O63,$Q63,$S63,$U63,#REF!,#REF!,#REF!,#REF!,#REF!),2)+$B63/2&gt;=S63)),($G$5/$B$5),0))))</f>
        <v>0</v>
      </c>
      <c r="U63" s="128" t="str">
        <f>IF($U$8="Habilitado",IF($A63="","",ROUND(VLOOKUP($A63,'Presupuesto Consolidado'!$CM$12:$CR$80,6,FALSE),2)),"")</f>
        <v/>
      </c>
      <c r="V63" s="129" t="str">
        <f>IF($A63="","",IF(U63="","",IF($K$4="Media aritmética",(U63&lt;=$B63)*($G$5/$B$5)+(U63&gt;$B63)*0,IF(AND(ROUND(AVERAGE($C63,$E63,$G63,$I63,$K63,$M63,$O63,$Q63,$S63,$U63,#REF!,#REF!,#REF!,#REF!,#REF!),2)-$B63/2&lt;=U63,(ROUND(AVERAGE($C63,$E63,$G63,$I63,$K63,$M63,$O63,$Q63,$S63,$U63,#REF!,#REF!,#REF!,#REF!,#REF!),2)+$B63/2&gt;=U63)),($G$5/$B$5),0))))</f>
        <v/>
      </c>
    </row>
    <row r="64" spans="1:22" s="122" customFormat="1" ht="21" customHeight="1">
      <c r="A64" s="256" t="str">
        <f>+'Presupuesto Consolidado'!A64</f>
        <v>8.11</v>
      </c>
      <c r="B64" s="127">
        <f t="shared" si="9"/>
        <v>432456.25</v>
      </c>
      <c r="C64" s="128">
        <f>IF($C$8="Habilitado",IF($A64="","",ROUND(VLOOKUP($A64,'Presupuesto Consolidado'!$A$12:$F$80,6,FALSE),2)),"")</f>
        <v>61100</v>
      </c>
      <c r="D64" s="129">
        <f>IF($A64="","",IF(C64="","",IF($K$4="Media aritmética",(C64&lt;=$B64)*($G$5/$B$5)+(C64&gt;$B64)*0,IF(AND(ROUND(AVERAGE($C64,$E64,$G64,$I64,$K64,$M64,$O64,$Q64,$S64,$U64,#REF!,#REF!,#REF!,#REF!,#REF!),2)-$B64/2&lt;=C64,(ROUND(AVERAGE($C64,$E64,$G64,$I64,$K64,$M64,$O64,$Q64,$S64,$U64,#REF!,#REF!,#REF!,#REF!,#REF!),2)+$B64/2&gt;=C64)),($G$5/$B$5),0))))</f>
        <v>1.8604651162790697</v>
      </c>
      <c r="E64" s="128">
        <f>IF($E$8="Habilitado",IF($A64="","",ROUND(VLOOKUP($A64,'Presupuesto Consolidado'!$K$12:$P$80,6,FALSE),2)),"")</f>
        <v>345000</v>
      </c>
      <c r="F64" s="129">
        <f>IF($A64="","",IF(E64="","",IF($K$4="Media aritmética",(E64&lt;=$B64)*($G$5/$B$5)+(E64&gt;$B64)*0,IF(AND(ROUND(AVERAGE($C64,$E64,$G64,$I64,$K64,$M64,$O64,$Q64,$S64,$U64,#REF!,#REF!,#REF!,#REF!,#REF!),2)-$B64/2&lt;=E64,(ROUND(AVERAGE($C64,$E64,$G64,$I64,$K64,$M64,$O64,$Q64,$S64,$U64,#REF!,#REF!,#REF!,#REF!,#REF!),2)+$B64/2&gt;=E64)),($G$5/$B$5),0))))</f>
        <v>1.8604651162790697</v>
      </c>
      <c r="G64" s="128">
        <f>IF($G$8="Habilitado",IF($A64="","",ROUND(VLOOKUP($A64,'Presupuesto Consolidado'!$U$12:$Z$80,6,FALSE),2)),"")</f>
        <v>125000</v>
      </c>
      <c r="H64" s="129">
        <f>IF($A64="","",IF(G64="","",IF($K$4="Media aritmética",(G64&lt;=$B64)*($G$5/$B$5)+(G64&gt;$B64)*0,IF(AND(ROUND(AVERAGE($C64,$E64,$G64,$I64,$K64,$M64,$O64,$Q64,$S64,$U64,#REF!,#REF!,#REF!,#REF!,#REF!),2)-$B64/2&lt;=G64,(ROUND(AVERAGE($C64,$E64,$G64,$I64,$K64,$M64,$O64,$Q64,$S64,$U64,#REF!,#REF!,#REF!,#REF!,#REF!),2)+$B64/2&gt;=G64)),($G$5/$B$5),0))))</f>
        <v>1.8604651162790697</v>
      </c>
      <c r="I64" s="128">
        <f>IF($I$8="Habilitado",IF($A64="","",ROUND(VLOOKUP($A64,'Presupuesto Consolidado'!$AE$12:$AJ$80,6,FALSE),2)),"")</f>
        <v>300000</v>
      </c>
      <c r="J64" s="129">
        <f>IF($A64="","",IF(I64="","",IF($K$4="Media aritmética",(I64&lt;=$B64)*($G$5/$B$5)+(I64&gt;$B64)*0,IF(AND(ROUND(AVERAGE($C64,$E64,$G64,$I64,$K64,$M64,$O64,$Q64,$S64,$U64,#REF!,#REF!,#REF!,#REF!,#REF!),2)-$B64/2&lt;=I64,(ROUND(AVERAGE($C64,$E64,$G64,$I64,$K64,$M64,$O64,$Q64,$S64,$U64,#REF!,#REF!,#REF!,#REF!,#REF!),2)+$B64/2&gt;=I64)),($G$5/$B$5),0))))</f>
        <v>1.8604651162790697</v>
      </c>
      <c r="K64" s="128">
        <f>IF($K$8="Habilitado",IF($A64="","",ROUND(VLOOKUP($A64,'Presupuesto Consolidado'!$AO$12:$AT$80,6,FALSE),2)),"")</f>
        <v>634900</v>
      </c>
      <c r="L64" s="129">
        <f>IF($A64="","",IF(K64="","",IF($K$4="Media aritmética",(K64&lt;=$B64)*($G$5/$B$5)+(K64&gt;$B64)*0,IF(AND(ROUND(AVERAGE($C64,$E64,$G64,$I64,$K64,$M64,$O64,$Q64,$S64,$U64,#REF!,#REF!,#REF!,#REF!,#REF!),2)-$B64/2&lt;=K64,(ROUND(AVERAGE($C64,$E64,$G64,$I64,$K64,$M64,$O64,$Q64,$S64,$U64,#REF!,#REF!,#REF!,#REF!,#REF!),2)+$B64/2&gt;=K64)),($G$5/$B$5),0))))</f>
        <v>0</v>
      </c>
      <c r="M64" s="128" t="str">
        <f>IF($M$8="Habilitado",IF($A64="","",ROUND(VLOOKUP($A64,'Presupuesto Consolidado'!$AY$12:$BD$80,6,FALSE),2)),"")</f>
        <v/>
      </c>
      <c r="N64" s="129" t="str">
        <f>IF($A64="","",IF(M64="","",IF($K$4="Media aritmética",(M64&lt;=$B64)*($G$5/$B$5)+(M64&gt;$B64)*0,IF(AND(ROUND(AVERAGE($C64,$E64,$G64,$I64,$K64,$M64,$O64,$Q64,$S64,$U64,#REF!,#REF!,#REF!,#REF!,#REF!),2)-$B64/2&lt;=M64,(ROUND(AVERAGE($C64,$E64,$G64,$I64,$K64,$M64,$O64,$Q64,$S64,$U64,#REF!,#REF!,#REF!,#REF!,#REF!),2)+$B64/2&gt;=M64)),($G$5/$B$5),0))))</f>
        <v/>
      </c>
      <c r="O64" s="128">
        <f>IF($O$8="Habilitado",IF($A64="","",ROUND(VLOOKUP($A64,'Presupuesto Consolidado'!$BI$12:$BN$80,6,FALSE),2)),"")</f>
        <v>678320</v>
      </c>
      <c r="P64" s="129">
        <f>IF($A64="","",IF(O64="","",IF($K$4="Media aritmética",(O64&lt;=$B64)*($G$5/$B$5)+(O64&gt;$B64)*0,IF(AND(ROUND(AVERAGE($C64,$E64,$G64,$I64,$K64,$M64,$O64,$Q64,$S64,$U64,#REF!,#REF!,#REF!,#REF!,#REF!),2)-$B64/2&lt;=O64,(ROUND(AVERAGE($C64,$E64,$G64,$I64,$K64,$M64,$O64,$Q64,$S64,$U64,#REF!,#REF!,#REF!,#REF!,#REF!),2)+$B64/2&gt;=O64)),($G$5/$B$5),0))))</f>
        <v>0</v>
      </c>
      <c r="Q64" s="128">
        <f>IF($Q$8="Habilitado",IF($A64="","",ROUND(VLOOKUP($A64,'Presupuesto Consolidado'!$BS$12:$BX$80,6,FALSE),2)),"")</f>
        <v>653200</v>
      </c>
      <c r="R64" s="129">
        <f>IF($A64="","",IF(Q64="","",IF($K$4="Media aritmética",(Q64&lt;=$B64)*($G$5/$B$5)+(Q64&gt;$B64)*0,IF(AND(ROUND(AVERAGE($C64,$E64,$G64,$I64,$K64,$M64,$O64,$Q64,$S64,$U64,#REF!,#REF!,#REF!,#REF!,#REF!),2)-$B64/2&lt;=Q64,(ROUND(AVERAGE($C64,$E64,$G64,$I64,$K64,$M64,$O64,$Q64,$S64,$U64,#REF!,#REF!,#REF!,#REF!,#REF!),2)+$B64/2&gt;=Q64)),($G$5/$B$5),0))))</f>
        <v>0</v>
      </c>
      <c r="S64" s="128">
        <f>IF($S$8="Habilitado",IF($A64="","",ROUND(VLOOKUP($A64,'Presupuesto Consolidado'!$CC$12:$CH$80,6,FALSE),2)),"")</f>
        <v>662130</v>
      </c>
      <c r="T64" s="129">
        <f>IF($A64="","",IF(S64="","",IF($K$4="Media aritmética",(S64&lt;=$B64)*($G$5/$B$5)+(S64&gt;$B64)*0,IF(AND(ROUND(AVERAGE($C64,$E64,$G64,$I64,$K64,$M64,$O64,$Q64,$S64,$U64,#REF!,#REF!,#REF!,#REF!,#REF!),2)-$B64/2&lt;=S64,(ROUND(AVERAGE($C64,$E64,$G64,$I64,$K64,$M64,$O64,$Q64,$S64,$U64,#REF!,#REF!,#REF!,#REF!,#REF!),2)+$B64/2&gt;=S64)),($G$5/$B$5),0))))</f>
        <v>0</v>
      </c>
      <c r="U64" s="128" t="str">
        <f>IF($U$8="Habilitado",IF($A64="","",ROUND(VLOOKUP($A64,'Presupuesto Consolidado'!$CM$12:$CR$80,6,FALSE),2)),"")</f>
        <v/>
      </c>
      <c r="V64" s="129" t="str">
        <f>IF($A64="","",IF(U64="","",IF($K$4="Media aritmética",(U64&lt;=$B64)*($G$5/$B$5)+(U64&gt;$B64)*0,IF(AND(ROUND(AVERAGE($C64,$E64,$G64,$I64,$K64,$M64,$O64,$Q64,$S64,$U64,#REF!,#REF!,#REF!,#REF!,#REF!),2)-$B64/2&lt;=U64,(ROUND(AVERAGE($C64,$E64,$G64,$I64,$K64,$M64,$O64,$Q64,$S64,$U64,#REF!,#REF!,#REF!,#REF!,#REF!),2)+$B64/2&gt;=U64)),($G$5/$B$5),0))))</f>
        <v/>
      </c>
    </row>
    <row r="65" spans="1:22" s="122" customFormat="1" ht="21" customHeight="1">
      <c r="A65" s="256" t="str">
        <f>+'Presupuesto Consolidado'!A65</f>
        <v>8.12</v>
      </c>
      <c r="B65" s="127">
        <f t="shared" si="9"/>
        <v>330780</v>
      </c>
      <c r="C65" s="128">
        <f>IF($C$8="Habilitado",IF($A65="","",ROUND(VLOOKUP($A65,'Presupuesto Consolidado'!$A$12:$F$80,6,FALSE),2)),"")</f>
        <v>127500</v>
      </c>
      <c r="D65" s="129">
        <f>IF($A65="","",IF(C65="","",IF($K$4="Media aritmética",(C65&lt;=$B65)*($G$5/$B$5)+(C65&gt;$B65)*0,IF(AND(ROUND(AVERAGE($C65,$E65,$G65,$I65,$K65,$M65,$O65,$Q65,$S65,$U65,#REF!,#REF!,#REF!,#REF!,#REF!),2)-$B65/2&lt;=C65,(ROUND(AVERAGE($C65,$E65,$G65,$I65,$K65,$M65,$O65,$Q65,$S65,$U65,#REF!,#REF!,#REF!,#REF!,#REF!),2)+$B65/2&gt;=C65)),($G$5/$B$5),0))))</f>
        <v>1.8604651162790697</v>
      </c>
      <c r="E65" s="128">
        <f>IF($E$8="Habilitado",IF($A65="","",ROUND(VLOOKUP($A65,'Presupuesto Consolidado'!$K$12:$P$80,6,FALSE),2)),"")</f>
        <v>345600</v>
      </c>
      <c r="F65" s="129">
        <f>IF($A65="","",IF(E65="","",IF($K$4="Media aritmética",(E65&lt;=$B65)*($G$5/$B$5)+(E65&gt;$B65)*0,IF(AND(ROUND(AVERAGE($C65,$E65,$G65,$I65,$K65,$M65,$O65,$Q65,$S65,$U65,#REF!,#REF!,#REF!,#REF!,#REF!),2)-$B65/2&lt;=E65,(ROUND(AVERAGE($C65,$E65,$G65,$I65,$K65,$M65,$O65,$Q65,$S65,$U65,#REF!,#REF!,#REF!,#REF!,#REF!),2)+$B65/2&gt;=E65)),($G$5/$B$5),0))))</f>
        <v>0</v>
      </c>
      <c r="G65" s="128">
        <f>IF($G$8="Habilitado",IF($A65="","",ROUND(VLOOKUP($A65,'Presupuesto Consolidado'!$U$12:$Z$80,6,FALSE),2)),"")</f>
        <v>975000</v>
      </c>
      <c r="H65" s="129">
        <f>IF($A65="","",IF(G65="","",IF($K$4="Media aritmética",(G65&lt;=$B65)*($G$5/$B$5)+(G65&gt;$B65)*0,IF(AND(ROUND(AVERAGE($C65,$E65,$G65,$I65,$K65,$M65,$O65,$Q65,$S65,$U65,#REF!,#REF!,#REF!,#REF!,#REF!),2)-$B65/2&lt;=G65,(ROUND(AVERAGE($C65,$E65,$G65,$I65,$K65,$M65,$O65,$Q65,$S65,$U65,#REF!,#REF!,#REF!,#REF!,#REF!),2)+$B65/2&gt;=G65)),($G$5/$B$5),0))))</f>
        <v>0</v>
      </c>
      <c r="I65" s="128">
        <f>IF($I$8="Habilitado",IF($A65="","",ROUND(VLOOKUP($A65,'Presupuesto Consolidado'!$AE$12:$AJ$80,6,FALSE),2)),"")</f>
        <v>75000</v>
      </c>
      <c r="J65" s="129">
        <f>IF($A65="","",IF(I65="","",IF($K$4="Media aritmética",(I65&lt;=$B65)*($G$5/$B$5)+(I65&gt;$B65)*0,IF(AND(ROUND(AVERAGE($C65,$E65,$G65,$I65,$K65,$M65,$O65,$Q65,$S65,$U65,#REF!,#REF!,#REF!,#REF!,#REF!),2)-$B65/2&lt;=I65,(ROUND(AVERAGE($C65,$E65,$G65,$I65,$K65,$M65,$O65,$Q65,$S65,$U65,#REF!,#REF!,#REF!,#REF!,#REF!),2)+$B65/2&gt;=I65)),($G$5/$B$5),0))))</f>
        <v>1.8604651162790697</v>
      </c>
      <c r="K65" s="128">
        <f>IF($K$8="Habilitado",IF($A65="","",ROUND(VLOOKUP($A65,'Presupuesto Consolidado'!$AO$12:$AT$80,6,FALSE),2)),"")</f>
        <v>295290</v>
      </c>
      <c r="L65" s="129">
        <f>IF($A65="","",IF(K65="","",IF($K$4="Media aritmética",(K65&lt;=$B65)*($G$5/$B$5)+(K65&gt;$B65)*0,IF(AND(ROUND(AVERAGE($C65,$E65,$G65,$I65,$K65,$M65,$O65,$Q65,$S65,$U65,#REF!,#REF!,#REF!,#REF!,#REF!),2)-$B65/2&lt;=K65,(ROUND(AVERAGE($C65,$E65,$G65,$I65,$K65,$M65,$O65,$Q65,$S65,$U65,#REF!,#REF!,#REF!,#REF!,#REF!),2)+$B65/2&gt;=K65)),($G$5/$B$5),0))))</f>
        <v>1.8604651162790697</v>
      </c>
      <c r="M65" s="128" t="str">
        <f>IF($M$8="Habilitado",IF($A65="","",ROUND(VLOOKUP($A65,'Presupuesto Consolidado'!$AY$12:$BD$80,6,FALSE),2)),"")</f>
        <v/>
      </c>
      <c r="N65" s="129" t="str">
        <f>IF($A65="","",IF(M65="","",IF($K$4="Media aritmética",(M65&lt;=$B65)*($G$5/$B$5)+(M65&gt;$B65)*0,IF(AND(ROUND(AVERAGE($C65,$E65,$G65,$I65,$K65,$M65,$O65,$Q65,$S65,$U65,#REF!,#REF!,#REF!,#REF!,#REF!),2)-$B65/2&lt;=M65,(ROUND(AVERAGE($C65,$E65,$G65,$I65,$K65,$M65,$O65,$Q65,$S65,$U65,#REF!,#REF!,#REF!,#REF!,#REF!),2)+$B65/2&gt;=M65)),($G$5/$B$5),0))))</f>
        <v/>
      </c>
      <c r="O65" s="128">
        <f>IF($O$8="Habilitado",IF($A65="","",ROUND(VLOOKUP($A65,'Presupuesto Consolidado'!$BI$12:$BN$80,6,FALSE),2)),"")</f>
        <v>271950</v>
      </c>
      <c r="P65" s="129">
        <f>IF($A65="","",IF(O65="","",IF($K$4="Media aritmética",(O65&lt;=$B65)*($G$5/$B$5)+(O65&gt;$B65)*0,IF(AND(ROUND(AVERAGE($C65,$E65,$G65,$I65,$K65,$M65,$O65,$Q65,$S65,$U65,#REF!,#REF!,#REF!,#REF!,#REF!),2)-$B65/2&lt;=O65,(ROUND(AVERAGE($C65,$E65,$G65,$I65,$K65,$M65,$O65,$Q65,$S65,$U65,#REF!,#REF!,#REF!,#REF!,#REF!),2)+$B65/2&gt;=O65)),($G$5/$B$5),0))))</f>
        <v>1.8604651162790697</v>
      </c>
      <c r="Q65" s="128">
        <f>IF($Q$8="Habilitado",IF($A65="","",ROUND(VLOOKUP($A65,'Presupuesto Consolidado'!$BS$12:$BX$80,6,FALSE),2)),"")</f>
        <v>286200</v>
      </c>
      <c r="R65" s="129">
        <f>IF($A65="","",IF(Q65="","",IF($K$4="Media aritmética",(Q65&lt;=$B65)*($G$5/$B$5)+(Q65&gt;$B65)*0,IF(AND(ROUND(AVERAGE($C65,$E65,$G65,$I65,$K65,$M65,$O65,$Q65,$S65,$U65,#REF!,#REF!,#REF!,#REF!,#REF!),2)-$B65/2&lt;=Q65,(ROUND(AVERAGE($C65,$E65,$G65,$I65,$K65,$M65,$O65,$Q65,$S65,$U65,#REF!,#REF!,#REF!,#REF!,#REF!),2)+$B65/2&gt;=Q65)),($G$5/$B$5),0))))</f>
        <v>1.8604651162790697</v>
      </c>
      <c r="S65" s="128">
        <f>IF($S$8="Habilitado",IF($A65="","",ROUND(VLOOKUP($A65,'Presupuesto Consolidado'!$CC$12:$CH$80,6,FALSE),2)),"")</f>
        <v>269700</v>
      </c>
      <c r="T65" s="129">
        <f>IF($A65="","",IF(S65="","",IF($K$4="Media aritmética",(S65&lt;=$B65)*($G$5/$B$5)+(S65&gt;$B65)*0,IF(AND(ROUND(AVERAGE($C65,$E65,$G65,$I65,$K65,$M65,$O65,$Q65,$S65,$U65,#REF!,#REF!,#REF!,#REF!,#REF!),2)-$B65/2&lt;=S65,(ROUND(AVERAGE($C65,$E65,$G65,$I65,$K65,$M65,$O65,$Q65,$S65,$U65,#REF!,#REF!,#REF!,#REF!,#REF!),2)+$B65/2&gt;=S65)),($G$5/$B$5),0))))</f>
        <v>1.8604651162790697</v>
      </c>
      <c r="U65" s="128" t="str">
        <f>IF($U$8="Habilitado",IF($A65="","",ROUND(VLOOKUP($A65,'Presupuesto Consolidado'!$CM$12:$CR$80,6,FALSE),2)),"")</f>
        <v/>
      </c>
      <c r="V65" s="129" t="str">
        <f>IF($A65="","",IF(U65="","",IF($K$4="Media aritmética",(U65&lt;=$B65)*($G$5/$B$5)+(U65&gt;$B65)*0,IF(AND(ROUND(AVERAGE($C65,$E65,$G65,$I65,$K65,$M65,$O65,$Q65,$S65,$U65,#REF!,#REF!,#REF!,#REF!,#REF!),2)-$B65/2&lt;=U65,(ROUND(AVERAGE($C65,$E65,$G65,$I65,$K65,$M65,$O65,$Q65,$S65,$U65,#REF!,#REF!,#REF!,#REF!,#REF!),2)+$B65/2&gt;=U65)),($G$5/$B$5),0))))</f>
        <v/>
      </c>
    </row>
    <row r="66" spans="1:22" s="122" customFormat="1" ht="21" customHeight="1">
      <c r="A66" s="256" t="str">
        <f>+'Presupuesto Consolidado'!A66</f>
        <v>8.13</v>
      </c>
      <c r="B66" s="127">
        <f t="shared" si="9"/>
        <v>406290.5</v>
      </c>
      <c r="C66" s="128">
        <f>IF($C$8="Habilitado",IF($A66="","",ROUND(VLOOKUP($A66,'Presupuesto Consolidado'!$A$12:$F$80,6,FALSE),2)),"")</f>
        <v>212100</v>
      </c>
      <c r="D66" s="129">
        <f>IF($A66="","",IF(C66="","",IF($K$4="Media aritmética",(C66&lt;=$B66)*($G$5/$B$5)+(C66&gt;$B66)*0,IF(AND(ROUND(AVERAGE($C66,$E66,$G66,$I66,$K66,$M66,$O66,$Q66,$S66,$U66,#REF!,#REF!,#REF!,#REF!,#REF!),2)-$B66/2&lt;=C66,(ROUND(AVERAGE($C66,$E66,$G66,$I66,$K66,$M66,$O66,$Q66,$S66,$U66,#REF!,#REF!,#REF!,#REF!,#REF!),2)+$B66/2&gt;=C66)),($G$5/$B$5),0))))</f>
        <v>1.8604651162790697</v>
      </c>
      <c r="E66" s="128">
        <f>IF($E$8="Habilitado",IF($A66="","",ROUND(VLOOKUP($A66,'Presupuesto Consolidado'!$K$12:$P$80,6,FALSE),2)),"")</f>
        <v>546000</v>
      </c>
      <c r="F66" s="129">
        <f>IF($A66="","",IF(E66="","",IF($K$4="Media aritmética",(E66&lt;=$B66)*($G$5/$B$5)+(E66&gt;$B66)*0,IF(AND(ROUND(AVERAGE($C66,$E66,$G66,$I66,$K66,$M66,$O66,$Q66,$S66,$U66,#REF!,#REF!,#REF!,#REF!,#REF!),2)-$B66/2&lt;=E66,(ROUND(AVERAGE($C66,$E66,$G66,$I66,$K66,$M66,$O66,$Q66,$S66,$U66,#REF!,#REF!,#REF!,#REF!,#REF!),2)+$B66/2&gt;=E66)),($G$5/$B$5),0))))</f>
        <v>0</v>
      </c>
      <c r="G66" s="128">
        <f>IF($G$8="Habilitado",IF($A66="","",ROUND(VLOOKUP($A66,'Presupuesto Consolidado'!$U$12:$Z$80,6,FALSE),2)),"")</f>
        <v>245000</v>
      </c>
      <c r="H66" s="129">
        <f>IF($A66="","",IF(G66="","",IF($K$4="Media aritmética",(G66&lt;=$B66)*($G$5/$B$5)+(G66&gt;$B66)*0,IF(AND(ROUND(AVERAGE($C66,$E66,$G66,$I66,$K66,$M66,$O66,$Q66,$S66,$U66,#REF!,#REF!,#REF!,#REF!,#REF!),2)-$B66/2&lt;=G66,(ROUND(AVERAGE($C66,$E66,$G66,$I66,$K66,$M66,$O66,$Q66,$S66,$U66,#REF!,#REF!,#REF!,#REF!,#REF!),2)+$B66/2&gt;=G66)),($G$5/$B$5),0))))</f>
        <v>1.8604651162790697</v>
      </c>
      <c r="I66" s="128">
        <f>IF($I$8="Habilitado",IF($A66="","",ROUND(VLOOKUP($A66,'Presupuesto Consolidado'!$AE$12:$AJ$80,6,FALSE),2)),"")</f>
        <v>196000</v>
      </c>
      <c r="J66" s="129">
        <f>IF($A66="","",IF(I66="","",IF($K$4="Media aritmética",(I66&lt;=$B66)*($G$5/$B$5)+(I66&gt;$B66)*0,IF(AND(ROUND(AVERAGE($C66,$E66,$G66,$I66,$K66,$M66,$O66,$Q66,$S66,$U66,#REF!,#REF!,#REF!,#REF!,#REF!),2)-$B66/2&lt;=I66,(ROUND(AVERAGE($C66,$E66,$G66,$I66,$K66,$M66,$O66,$Q66,$S66,$U66,#REF!,#REF!,#REF!,#REF!,#REF!),2)+$B66/2&gt;=I66)),($G$5/$B$5),0))))</f>
        <v>1.8604651162790697</v>
      </c>
      <c r="K66" s="128">
        <f>IF($K$8="Habilitado",IF($A66="","",ROUND(VLOOKUP($A66,'Presupuesto Consolidado'!$AO$12:$AT$80,6,FALSE),2)),"")</f>
        <v>549038</v>
      </c>
      <c r="L66" s="129">
        <f>IF($A66="","",IF(K66="","",IF($K$4="Media aritmética",(K66&lt;=$B66)*($G$5/$B$5)+(K66&gt;$B66)*0,IF(AND(ROUND(AVERAGE($C66,$E66,$G66,$I66,$K66,$M66,$O66,$Q66,$S66,$U66,#REF!,#REF!,#REF!,#REF!,#REF!),2)-$B66/2&lt;=K66,(ROUND(AVERAGE($C66,$E66,$G66,$I66,$K66,$M66,$O66,$Q66,$S66,$U66,#REF!,#REF!,#REF!,#REF!,#REF!),2)+$B66/2&gt;=K66)),($G$5/$B$5),0))))</f>
        <v>0</v>
      </c>
      <c r="M66" s="128" t="str">
        <f>IF($M$8="Habilitado",IF($A66="","",ROUND(VLOOKUP($A66,'Presupuesto Consolidado'!$AY$12:$BD$80,6,FALSE),2)),"")</f>
        <v/>
      </c>
      <c r="N66" s="129" t="str">
        <f>IF($A66="","",IF(M66="","",IF($K$4="Media aritmética",(M66&lt;=$B66)*($G$5/$B$5)+(M66&gt;$B66)*0,IF(AND(ROUND(AVERAGE($C66,$E66,$G66,$I66,$K66,$M66,$O66,$Q66,$S66,$U66,#REF!,#REF!,#REF!,#REF!,#REF!),2)-$B66/2&lt;=M66,(ROUND(AVERAGE($C66,$E66,$G66,$I66,$K66,$M66,$O66,$Q66,$S66,$U66,#REF!,#REF!,#REF!,#REF!,#REF!),2)+$B66/2&gt;=M66)),($G$5/$B$5),0))))</f>
        <v/>
      </c>
      <c r="O66" s="128">
        <f>IF($O$8="Habilitado",IF($A66="","",ROUND(VLOOKUP($A66,'Presupuesto Consolidado'!$BI$12:$BN$80,6,FALSE),2)),"")</f>
        <v>490686</v>
      </c>
      <c r="P66" s="129">
        <f>IF($A66="","",IF(O66="","",IF($K$4="Media aritmética",(O66&lt;=$B66)*($G$5/$B$5)+(O66&gt;$B66)*0,IF(AND(ROUND(AVERAGE($C66,$E66,$G66,$I66,$K66,$M66,$O66,$Q66,$S66,$U66,#REF!,#REF!,#REF!,#REF!,#REF!),2)-$B66/2&lt;=O66,(ROUND(AVERAGE($C66,$E66,$G66,$I66,$K66,$M66,$O66,$Q66,$S66,$U66,#REF!,#REF!,#REF!,#REF!,#REF!),2)+$B66/2&gt;=O66)),($G$5/$B$5),0))))</f>
        <v>0</v>
      </c>
      <c r="Q66" s="128">
        <f>IF($Q$8="Habilitado",IF($A66="","",ROUND(VLOOKUP($A66,'Presupuesto Consolidado'!$BS$12:$BX$80,6,FALSE),2)),"")</f>
        <v>512400</v>
      </c>
      <c r="R66" s="129">
        <f>IF($A66="","",IF(Q66="","",IF($K$4="Media aritmética",(Q66&lt;=$B66)*($G$5/$B$5)+(Q66&gt;$B66)*0,IF(AND(ROUND(AVERAGE($C66,$E66,$G66,$I66,$K66,$M66,$O66,$Q66,$S66,$U66,#REF!,#REF!,#REF!,#REF!,#REF!),2)-$B66/2&lt;=Q66,(ROUND(AVERAGE($C66,$E66,$G66,$I66,$K66,$M66,$O66,$Q66,$S66,$U66,#REF!,#REF!,#REF!,#REF!,#REF!),2)+$B66/2&gt;=Q66)),($G$5/$B$5),0))))</f>
        <v>0</v>
      </c>
      <c r="S66" s="128">
        <f>IF($S$8="Habilitado",IF($A66="","",ROUND(VLOOKUP($A66,'Presupuesto Consolidado'!$CC$12:$CH$80,6,FALSE),2)),"")</f>
        <v>499100</v>
      </c>
      <c r="T66" s="129">
        <f>IF($A66="","",IF(S66="","",IF($K$4="Media aritmética",(S66&lt;=$B66)*($G$5/$B$5)+(S66&gt;$B66)*0,IF(AND(ROUND(AVERAGE($C66,$E66,$G66,$I66,$K66,$M66,$O66,$Q66,$S66,$U66,#REF!,#REF!,#REF!,#REF!,#REF!),2)-$B66/2&lt;=S66,(ROUND(AVERAGE($C66,$E66,$G66,$I66,$K66,$M66,$O66,$Q66,$S66,$U66,#REF!,#REF!,#REF!,#REF!,#REF!),2)+$B66/2&gt;=S66)),($G$5/$B$5),0))))</f>
        <v>0</v>
      </c>
      <c r="U66" s="128" t="str">
        <f>IF($U$8="Habilitado",IF($A66="","",ROUND(VLOOKUP($A66,'Presupuesto Consolidado'!$CM$12:$CR$80,6,FALSE),2)),"")</f>
        <v/>
      </c>
      <c r="V66" s="129" t="str">
        <f>IF($A66="","",IF(U66="","",IF($K$4="Media aritmética",(U66&lt;=$B66)*($G$5/$B$5)+(U66&gt;$B66)*0,IF(AND(ROUND(AVERAGE($C66,$E66,$G66,$I66,$K66,$M66,$O66,$Q66,$S66,$U66,#REF!,#REF!,#REF!,#REF!,#REF!),2)-$B66/2&lt;=U66,(ROUND(AVERAGE($C66,$E66,$G66,$I66,$K66,$M66,$O66,$Q66,$S66,$U66,#REF!,#REF!,#REF!,#REF!,#REF!),2)+$B66/2&gt;=U66)),($G$5/$B$5),0))))</f>
        <v/>
      </c>
    </row>
    <row r="67" spans="1:22" s="122" customFormat="1" ht="21" customHeight="1">
      <c r="A67" s="256" t="str">
        <f>+'Presupuesto Consolidado'!A68</f>
        <v>9.1</v>
      </c>
      <c r="B67" s="127">
        <f t="shared" si="9"/>
        <v>4186290.38</v>
      </c>
      <c r="C67" s="128">
        <f>IF($C$8="Habilitado",IF($A67="","",ROUND(VLOOKUP($A67,'Presupuesto Consolidado'!$A$12:$F$80,6,FALSE),2)),"")</f>
        <v>4229838</v>
      </c>
      <c r="D67" s="129">
        <f>IF($A67="","",IF(C67="","",IF($K$4="Media aritmética",(C67&lt;=$B67)*($G$5/$B$5)+(C67&gt;$B67)*0,IF(AND(ROUND(AVERAGE($C67,$E67,$G67,$I67,$K67,$M67,$O67,$Q67,$S67,$U67,#REF!,#REF!,#REF!,#REF!,#REF!),2)-$B67/2&lt;=C67,(ROUND(AVERAGE($C67,$E67,$G67,$I67,$K67,$M67,$O67,$Q67,$S67,$U67,#REF!,#REF!,#REF!,#REF!,#REF!),2)+$B67/2&gt;=C67)),($G$5/$B$5),0))))</f>
        <v>0</v>
      </c>
      <c r="E67" s="128">
        <f>IF($E$8="Habilitado",IF($A67="","",ROUND(VLOOKUP($A67,'Presupuesto Consolidado'!$K$12:$P$80,6,FALSE),2)),"")</f>
        <v>4785840</v>
      </c>
      <c r="F67" s="129">
        <f>IF($A67="","",IF(E67="","",IF($K$4="Media aritmética",(E67&lt;=$B67)*($G$5/$B$5)+(E67&gt;$B67)*0,IF(AND(ROUND(AVERAGE($C67,$E67,$G67,$I67,$K67,$M67,$O67,$Q67,$S67,$U67,#REF!,#REF!,#REF!,#REF!,#REF!),2)-$B67/2&lt;=E67,(ROUND(AVERAGE($C67,$E67,$G67,$I67,$K67,$M67,$O67,$Q67,$S67,$U67,#REF!,#REF!,#REF!,#REF!,#REF!),2)+$B67/2&gt;=E67)),($G$5/$B$5),0))))</f>
        <v>0</v>
      </c>
      <c r="G67" s="128">
        <f>IF($G$8="Habilitado",IF($A67="","",ROUND(VLOOKUP($A67,'Presupuesto Consolidado'!$U$12:$Z$80,6,FALSE),2)),"")</f>
        <v>4844255.4000000004</v>
      </c>
      <c r="H67" s="129">
        <f>IF($A67="","",IF(G67="","",IF($K$4="Media aritmética",(G67&lt;=$B67)*($G$5/$B$5)+(G67&gt;$B67)*0,IF(AND(ROUND(AVERAGE($C67,$E67,$G67,$I67,$K67,$M67,$O67,$Q67,$S67,$U67,#REF!,#REF!,#REF!,#REF!,#REF!),2)-$B67/2&lt;=G67,(ROUND(AVERAGE($C67,$E67,$G67,$I67,$K67,$M67,$O67,$Q67,$S67,$U67,#REF!,#REF!,#REF!,#REF!,#REF!),2)+$B67/2&gt;=G67)),($G$5/$B$5),0))))</f>
        <v>0</v>
      </c>
      <c r="I67" s="128">
        <f>IF($I$8="Habilitado",IF($A67="","",ROUND(VLOOKUP($A67,'Presupuesto Consolidado'!$AE$12:$AJ$80,6,FALSE),2)),"")</f>
        <v>5278500</v>
      </c>
      <c r="J67" s="129">
        <f>IF($A67="","",IF(I67="","",IF($K$4="Media aritmética",(I67&lt;=$B67)*($G$5/$B$5)+(I67&gt;$B67)*0,IF(AND(ROUND(AVERAGE($C67,$E67,$G67,$I67,$K67,$M67,$O67,$Q67,$S67,$U67,#REF!,#REF!,#REF!,#REF!,#REF!),2)-$B67/2&lt;=I67,(ROUND(AVERAGE($C67,$E67,$G67,$I67,$K67,$M67,$O67,$Q67,$S67,$U67,#REF!,#REF!,#REF!,#REF!,#REF!),2)+$B67/2&gt;=I67)),($G$5/$B$5),0))))</f>
        <v>0</v>
      </c>
      <c r="K67" s="128">
        <f>IF($K$8="Habilitado",IF($A67="","",ROUND(VLOOKUP($A67,'Presupuesto Consolidado'!$AO$12:$AT$80,6,FALSE),2)),"")</f>
        <v>3209328</v>
      </c>
      <c r="L67" s="129">
        <f>IF($A67="","",IF(K67="","",IF($K$4="Media aritmética",(K67&lt;=$B67)*($G$5/$B$5)+(K67&gt;$B67)*0,IF(AND(ROUND(AVERAGE($C67,$E67,$G67,$I67,$K67,$M67,$O67,$Q67,$S67,$U67,#REF!,#REF!,#REF!,#REF!,#REF!),2)-$B67/2&lt;=K67,(ROUND(AVERAGE($C67,$E67,$G67,$I67,$K67,$M67,$O67,$Q67,$S67,$U67,#REF!,#REF!,#REF!,#REF!,#REF!),2)+$B67/2&gt;=K67)),($G$5/$B$5),0))))</f>
        <v>1.8604651162790697</v>
      </c>
      <c r="M67" s="128" t="str">
        <f>IF($M$8="Habilitado",IF($A67="","",ROUND(VLOOKUP($A67,'Presupuesto Consolidado'!$AY$12:$BD$80,6,FALSE),2)),"")</f>
        <v/>
      </c>
      <c r="N67" s="129" t="str">
        <f>IF($A67="","",IF(M67="","",IF($K$4="Media aritmética",(M67&lt;=$B67)*($G$5/$B$5)+(M67&gt;$B67)*0,IF(AND(ROUND(AVERAGE($C67,$E67,$G67,$I67,$K67,$M67,$O67,$Q67,$S67,$U67,#REF!,#REF!,#REF!,#REF!,#REF!),2)-$B67/2&lt;=M67,(ROUND(AVERAGE($C67,$E67,$G67,$I67,$K67,$M67,$O67,$Q67,$S67,$U67,#REF!,#REF!,#REF!,#REF!,#REF!),2)+$B67/2&gt;=M67)),($G$5/$B$5),0))))</f>
        <v/>
      </c>
      <c r="O67" s="128">
        <f>IF($O$8="Habilitado",IF($A67="","",ROUND(VLOOKUP($A67,'Presupuesto Consolidado'!$BI$12:$BN$80,6,FALSE),2)),"")</f>
        <v>3934242</v>
      </c>
      <c r="P67" s="129">
        <f>IF($A67="","",IF(O67="","",IF($K$4="Media aritmética",(O67&lt;=$B67)*($G$5/$B$5)+(O67&gt;$B67)*0,IF(AND(ROUND(AVERAGE($C67,$E67,$G67,$I67,$K67,$M67,$O67,$Q67,$S67,$U67,#REF!,#REF!,#REF!,#REF!,#REF!),2)-$B67/2&lt;=O67,(ROUND(AVERAGE($C67,$E67,$G67,$I67,$K67,$M67,$O67,$Q67,$S67,$U67,#REF!,#REF!,#REF!,#REF!,#REF!),2)+$B67/2&gt;=O67)),($G$5/$B$5),0))))</f>
        <v>1.8604651162790697</v>
      </c>
      <c r="Q67" s="128">
        <f>IF($Q$8="Habilitado",IF($A67="","",ROUND(VLOOKUP($A67,'Presupuesto Consolidado'!$BS$12:$BX$80,6,FALSE),2)),"")</f>
        <v>3244518</v>
      </c>
      <c r="R67" s="129">
        <f>IF($A67="","",IF(Q67="","",IF($K$4="Media aritmética",(Q67&lt;=$B67)*($G$5/$B$5)+(Q67&gt;$B67)*0,IF(AND(ROUND(AVERAGE($C67,$E67,$G67,$I67,$K67,$M67,$O67,$Q67,$S67,$U67,#REF!,#REF!,#REF!,#REF!,#REF!),2)-$B67/2&lt;=Q67,(ROUND(AVERAGE($C67,$E67,$G67,$I67,$K67,$M67,$O67,$Q67,$S67,$U67,#REF!,#REF!,#REF!,#REF!,#REF!),2)+$B67/2&gt;=Q67)),($G$5/$B$5),0))))</f>
        <v>1.8604651162790697</v>
      </c>
      <c r="S67" s="128">
        <f>IF($S$8="Habilitado",IF($A67="","",ROUND(VLOOKUP($A67,'Presupuesto Consolidado'!$CC$12:$CH$80,6,FALSE),2)),"")</f>
        <v>3963801.6000000001</v>
      </c>
      <c r="T67" s="129">
        <f>IF($A67="","",IF(S67="","",IF($K$4="Media aritmética",(S67&lt;=$B67)*($G$5/$B$5)+(S67&gt;$B67)*0,IF(AND(ROUND(AVERAGE($C67,$E67,$G67,$I67,$K67,$M67,$O67,$Q67,$S67,$U67,#REF!,#REF!,#REF!,#REF!,#REF!),2)-$B67/2&lt;=S67,(ROUND(AVERAGE($C67,$E67,$G67,$I67,$K67,$M67,$O67,$Q67,$S67,$U67,#REF!,#REF!,#REF!,#REF!,#REF!),2)+$B67/2&gt;=S67)),($G$5/$B$5),0))))</f>
        <v>1.8604651162790697</v>
      </c>
      <c r="U67" s="128" t="str">
        <f>IF($U$8="Habilitado",IF($A67="","",ROUND(VLOOKUP($A67,'Presupuesto Consolidado'!$CM$12:$CR$80,6,FALSE),2)),"")</f>
        <v/>
      </c>
      <c r="V67" s="129" t="str">
        <f>IF($A67="","",IF(U67="","",IF($K$4="Media aritmética",(U67&lt;=$B67)*($G$5/$B$5)+(U67&gt;$B67)*0,IF(AND(ROUND(AVERAGE($C67,$E67,$G67,$I67,$K67,$M67,$O67,$Q67,$S67,$U67,#REF!,#REF!,#REF!,#REF!,#REF!),2)-$B67/2&lt;=U67,(ROUND(AVERAGE($C67,$E67,$G67,$I67,$K67,$M67,$O67,$Q67,$S67,$U67,#REF!,#REF!,#REF!,#REF!,#REF!),2)+$B67/2&gt;=U67)),($G$5/$B$5),0))))</f>
        <v/>
      </c>
    </row>
    <row r="68" spans="1:22" s="122" customFormat="1" ht="21" customHeight="1">
      <c r="A68" s="256" t="str">
        <f>+'Presupuesto Consolidado'!A69</f>
        <v>9.2</v>
      </c>
      <c r="B68" s="127">
        <f t="shared" si="9"/>
        <v>370532</v>
      </c>
      <c r="C68" s="128">
        <f>IF($C$8="Habilitado",IF($A68="","",ROUND(VLOOKUP($A68,'Presupuesto Consolidado'!$A$12:$F$80,6,FALSE),2)),"")</f>
        <v>421600</v>
      </c>
      <c r="D68" s="129">
        <f>IF($A68="","",IF(C68="","",IF($K$4="Media aritmética",(C68&lt;=$B68)*($G$5/$B$5)+(C68&gt;$B68)*0,IF(AND(ROUND(AVERAGE($C68,$E68,$G68,$I68,$K68,$M68,$O68,$Q68,$S68,$U68,#REF!,#REF!,#REF!,#REF!,#REF!),2)-$B68/2&lt;=C68,(ROUND(AVERAGE($C68,$E68,$G68,$I68,$K68,$M68,$O68,$Q68,$S68,$U68,#REF!,#REF!,#REF!,#REF!,#REF!),2)+$B68/2&gt;=C68)),($G$5/$B$5),0))))</f>
        <v>0</v>
      </c>
      <c r="E68" s="128">
        <f>IF($E$8="Habilitado",IF($A68="","",ROUND(VLOOKUP($A68,'Presupuesto Consolidado'!$K$12:$P$80,6,FALSE),2)),"")</f>
        <v>448000</v>
      </c>
      <c r="F68" s="129">
        <f>IF($A68="","",IF(E68="","",IF($K$4="Media aritmética",(E68&lt;=$B68)*($G$5/$B$5)+(E68&gt;$B68)*0,IF(AND(ROUND(AVERAGE($C68,$E68,$G68,$I68,$K68,$M68,$O68,$Q68,$S68,$U68,#REF!,#REF!,#REF!,#REF!,#REF!),2)-$B68/2&lt;=E68,(ROUND(AVERAGE($C68,$E68,$G68,$I68,$K68,$M68,$O68,$Q68,$S68,$U68,#REF!,#REF!,#REF!,#REF!,#REF!),2)+$B68/2&gt;=E68)),($G$5/$B$5),0))))</f>
        <v>0</v>
      </c>
      <c r="G68" s="128">
        <f>IF($G$8="Habilitado",IF($A68="","",ROUND(VLOOKUP($A68,'Presupuesto Consolidado'!$U$12:$Z$80,6,FALSE),2)),"")</f>
        <v>366400</v>
      </c>
      <c r="H68" s="129">
        <f>IF($A68="","",IF(G68="","",IF($K$4="Media aritmética",(G68&lt;=$B68)*($G$5/$B$5)+(G68&gt;$B68)*0,IF(AND(ROUND(AVERAGE($C68,$E68,$G68,$I68,$K68,$M68,$O68,$Q68,$S68,$U68,#REF!,#REF!,#REF!,#REF!,#REF!),2)-$B68/2&lt;=G68,(ROUND(AVERAGE($C68,$E68,$G68,$I68,$K68,$M68,$O68,$Q68,$S68,$U68,#REF!,#REF!,#REF!,#REF!,#REF!),2)+$B68/2&gt;=G68)),($G$5/$B$5),0))))</f>
        <v>1.8604651162790697</v>
      </c>
      <c r="I68" s="128">
        <f>IF($I$8="Habilitado",IF($A68="","",ROUND(VLOOKUP($A68,'Presupuesto Consolidado'!$AE$12:$AJ$80,6,FALSE),2)),"")</f>
        <v>280000</v>
      </c>
      <c r="J68" s="129">
        <f>IF($A68="","",IF(I68="","",IF($K$4="Media aritmética",(I68&lt;=$B68)*($G$5/$B$5)+(I68&gt;$B68)*0,IF(AND(ROUND(AVERAGE($C68,$E68,$G68,$I68,$K68,$M68,$O68,$Q68,$S68,$U68,#REF!,#REF!,#REF!,#REF!,#REF!),2)-$B68/2&lt;=I68,(ROUND(AVERAGE($C68,$E68,$G68,$I68,$K68,$M68,$O68,$Q68,$S68,$U68,#REF!,#REF!,#REF!,#REF!,#REF!),2)+$B68/2&gt;=I68)),($G$5/$B$5),0))))</f>
        <v>1.8604651162790697</v>
      </c>
      <c r="K68" s="128">
        <f>IF($K$8="Habilitado",IF($A68="","",ROUND(VLOOKUP($A68,'Presupuesto Consolidado'!$AO$12:$AT$80,6,FALSE),2)),"")</f>
        <v>336800</v>
      </c>
      <c r="L68" s="129">
        <f>IF($A68="","",IF(K68="","",IF($K$4="Media aritmética",(K68&lt;=$B68)*($G$5/$B$5)+(K68&gt;$B68)*0,IF(AND(ROUND(AVERAGE($C68,$E68,$G68,$I68,$K68,$M68,$O68,$Q68,$S68,$U68,#REF!,#REF!,#REF!,#REF!,#REF!),2)-$B68/2&lt;=K68,(ROUND(AVERAGE($C68,$E68,$G68,$I68,$K68,$M68,$O68,$Q68,$S68,$U68,#REF!,#REF!,#REF!,#REF!,#REF!),2)+$B68/2&gt;=K68)),($G$5/$B$5),0))))</f>
        <v>1.8604651162790697</v>
      </c>
      <c r="M68" s="128" t="str">
        <f>IF($M$8="Habilitado",IF($A68="","",ROUND(VLOOKUP($A68,'Presupuesto Consolidado'!$AY$12:$BD$80,6,FALSE),2)),"")</f>
        <v/>
      </c>
      <c r="N68" s="129" t="str">
        <f>IF($A68="","",IF(M68="","",IF($K$4="Media aritmética",(M68&lt;=$B68)*($G$5/$B$5)+(M68&gt;$B68)*0,IF(AND(ROUND(AVERAGE($C68,$E68,$G68,$I68,$K68,$M68,$O68,$Q68,$S68,$U68,#REF!,#REF!,#REF!,#REF!,#REF!),2)-$B68/2&lt;=M68,(ROUND(AVERAGE($C68,$E68,$G68,$I68,$K68,$M68,$O68,$Q68,$S68,$U68,#REF!,#REF!,#REF!,#REF!,#REF!),2)+$B68/2&gt;=M68)),($G$5/$B$5),0))))</f>
        <v/>
      </c>
      <c r="O68" s="128">
        <f>IF($O$8="Habilitado",IF($A68="","",ROUND(VLOOKUP($A68,'Presupuesto Consolidado'!$BI$12:$BN$80,6,FALSE),2)),"")</f>
        <v>376800</v>
      </c>
      <c r="P68" s="129">
        <f>IF($A68="","",IF(O68="","",IF($K$4="Media aritmética",(O68&lt;=$B68)*($G$5/$B$5)+(O68&gt;$B68)*0,IF(AND(ROUND(AVERAGE($C68,$E68,$G68,$I68,$K68,$M68,$O68,$Q68,$S68,$U68,#REF!,#REF!,#REF!,#REF!,#REF!),2)-$B68/2&lt;=O68,(ROUND(AVERAGE($C68,$E68,$G68,$I68,$K68,$M68,$O68,$Q68,$S68,$U68,#REF!,#REF!,#REF!,#REF!,#REF!),2)+$B68/2&gt;=O68)),($G$5/$B$5),0))))</f>
        <v>0</v>
      </c>
      <c r="Q68" s="128">
        <f>IF($Q$8="Habilitado",IF($A68="","",ROUND(VLOOKUP($A68,'Presupuesto Consolidado'!$BS$12:$BX$80,6,FALSE),2)),"")</f>
        <v>360800</v>
      </c>
      <c r="R68" s="129">
        <f>IF($A68="","",IF(Q68="","",IF($K$4="Media aritmética",(Q68&lt;=$B68)*($G$5/$B$5)+(Q68&gt;$B68)*0,IF(AND(ROUND(AVERAGE($C68,$E68,$G68,$I68,$K68,$M68,$O68,$Q68,$S68,$U68,#REF!,#REF!,#REF!,#REF!,#REF!),2)-$B68/2&lt;=Q68,(ROUND(AVERAGE($C68,$E68,$G68,$I68,$K68,$M68,$O68,$Q68,$S68,$U68,#REF!,#REF!,#REF!,#REF!,#REF!),2)+$B68/2&gt;=Q68)),($G$5/$B$5),0))))</f>
        <v>1.8604651162790697</v>
      </c>
      <c r="S68" s="128">
        <f>IF($S$8="Habilitado",IF($A68="","",ROUND(VLOOKUP($A68,'Presupuesto Consolidado'!$CC$12:$CH$80,6,FALSE),2)),"")</f>
        <v>373856</v>
      </c>
      <c r="T68" s="129">
        <f>IF($A68="","",IF(S68="","",IF($K$4="Media aritmética",(S68&lt;=$B68)*($G$5/$B$5)+(S68&gt;$B68)*0,IF(AND(ROUND(AVERAGE($C68,$E68,$G68,$I68,$K68,$M68,$O68,$Q68,$S68,$U68,#REF!,#REF!,#REF!,#REF!,#REF!),2)-$B68/2&lt;=S68,(ROUND(AVERAGE($C68,$E68,$G68,$I68,$K68,$M68,$O68,$Q68,$S68,$U68,#REF!,#REF!,#REF!,#REF!,#REF!),2)+$B68/2&gt;=S68)),($G$5/$B$5),0))))</f>
        <v>0</v>
      </c>
      <c r="U68" s="128" t="str">
        <f>IF($U$8="Habilitado",IF($A68="","",ROUND(VLOOKUP($A68,'Presupuesto Consolidado'!$CM$12:$CR$80,6,FALSE),2)),"")</f>
        <v/>
      </c>
      <c r="V68" s="129" t="str">
        <f>IF($A68="","",IF(U68="","",IF($K$4="Media aritmética",(U68&lt;=$B68)*($G$5/$B$5)+(U68&gt;$B68)*0,IF(AND(ROUND(AVERAGE($C68,$E68,$G68,$I68,$K68,$M68,$O68,$Q68,$S68,$U68,#REF!,#REF!,#REF!,#REF!,#REF!),2)-$B68/2&lt;=U68,(ROUND(AVERAGE($C68,$E68,$G68,$I68,$K68,$M68,$O68,$Q68,$S68,$U68,#REF!,#REF!,#REF!,#REF!,#REF!),2)+$B68/2&gt;=U68)),($G$5/$B$5),0))))</f>
        <v/>
      </c>
    </row>
    <row r="69" spans="1:22" s="122" customFormat="1" ht="21" customHeight="1">
      <c r="A69" s="256" t="str">
        <f>+'Presupuesto Consolidado'!A70</f>
        <v>9.3</v>
      </c>
      <c r="B69" s="127">
        <f t="shared" si="9"/>
        <v>1507500</v>
      </c>
      <c r="C69" s="128">
        <f>IF($C$8="Habilitado",IF($A69="","",ROUND(VLOOKUP($A69,'Presupuesto Consolidado'!$A$12:$F$80,6,FALSE),2)),"")</f>
        <v>1360000</v>
      </c>
      <c r="D69" s="129">
        <f>IF($A69="","",IF(C69="","",IF($K$4="Media aritmética",(C69&lt;=$B69)*($G$5/$B$5)+(C69&gt;$B69)*0,IF(AND(ROUND(AVERAGE($C69,$E69,$G69,$I69,$K69,$M69,$O69,$Q69,$S69,$U69,#REF!,#REF!,#REF!,#REF!,#REF!),2)-$B69/2&lt;=C69,(ROUND(AVERAGE($C69,$E69,$G69,$I69,$K69,$M69,$O69,$Q69,$S69,$U69,#REF!,#REF!,#REF!,#REF!,#REF!),2)+$B69/2&gt;=C69)),($G$5/$B$5),0))))</f>
        <v>1.8604651162790697</v>
      </c>
      <c r="E69" s="128">
        <f>IF($E$8="Habilitado",IF($A69="","",ROUND(VLOOKUP($A69,'Presupuesto Consolidado'!$K$12:$P$80,6,FALSE),2)),"")</f>
        <v>1700000</v>
      </c>
      <c r="F69" s="129">
        <f>IF($A69="","",IF(E69="","",IF($K$4="Media aritmética",(E69&lt;=$B69)*($G$5/$B$5)+(E69&gt;$B69)*0,IF(AND(ROUND(AVERAGE($C69,$E69,$G69,$I69,$K69,$M69,$O69,$Q69,$S69,$U69,#REF!,#REF!,#REF!,#REF!,#REF!),2)-$B69/2&lt;=E69,(ROUND(AVERAGE($C69,$E69,$G69,$I69,$K69,$M69,$O69,$Q69,$S69,$U69,#REF!,#REF!,#REF!,#REF!,#REF!),2)+$B69/2&gt;=E69)),($G$5/$B$5),0))))</f>
        <v>0</v>
      </c>
      <c r="G69" s="128">
        <f>IF($G$8="Habilitado",IF($A69="","",ROUND(VLOOKUP($A69,'Presupuesto Consolidado'!$U$12:$Z$80,6,FALSE),2)),"")</f>
        <v>1800000</v>
      </c>
      <c r="H69" s="129">
        <f>IF($A69="","",IF(G69="","",IF($K$4="Media aritmética",(G69&lt;=$B69)*($G$5/$B$5)+(G69&gt;$B69)*0,IF(AND(ROUND(AVERAGE($C69,$E69,$G69,$I69,$K69,$M69,$O69,$Q69,$S69,$U69,#REF!,#REF!,#REF!,#REF!,#REF!),2)-$B69/2&lt;=G69,(ROUND(AVERAGE($C69,$E69,$G69,$I69,$K69,$M69,$O69,$Q69,$S69,$U69,#REF!,#REF!,#REF!,#REF!,#REF!),2)+$B69/2&gt;=G69)),($G$5/$B$5),0))))</f>
        <v>0</v>
      </c>
      <c r="I69" s="128">
        <f>IF($I$8="Habilitado",IF($A69="","",ROUND(VLOOKUP($A69,'Presupuesto Consolidado'!$AE$12:$AJ$80,6,FALSE),2)),"")</f>
        <v>1000000</v>
      </c>
      <c r="J69" s="129">
        <f>IF($A69="","",IF(I69="","",IF($K$4="Media aritmética",(I69&lt;=$B69)*($G$5/$B$5)+(I69&gt;$B69)*0,IF(AND(ROUND(AVERAGE($C69,$E69,$G69,$I69,$K69,$M69,$O69,$Q69,$S69,$U69,#REF!,#REF!,#REF!,#REF!,#REF!),2)-$B69/2&lt;=I69,(ROUND(AVERAGE($C69,$E69,$G69,$I69,$K69,$M69,$O69,$Q69,$S69,$U69,#REF!,#REF!,#REF!,#REF!,#REF!),2)+$B69/2&gt;=I69)),($G$5/$B$5),0))))</f>
        <v>1.8604651162790697</v>
      </c>
      <c r="K69" s="128">
        <f>IF($K$8="Habilitado",IF($A69="","",ROUND(VLOOKUP($A69,'Presupuesto Consolidado'!$AO$12:$AT$80,6,FALSE),2)),"")</f>
        <v>1600000</v>
      </c>
      <c r="L69" s="129">
        <f>IF($A69="","",IF(K69="","",IF($K$4="Media aritmética",(K69&lt;=$B69)*($G$5/$B$5)+(K69&gt;$B69)*0,IF(AND(ROUND(AVERAGE($C69,$E69,$G69,$I69,$K69,$M69,$O69,$Q69,$S69,$U69,#REF!,#REF!,#REF!,#REF!,#REF!),2)-$B69/2&lt;=K69,(ROUND(AVERAGE($C69,$E69,$G69,$I69,$K69,$M69,$O69,$Q69,$S69,$U69,#REF!,#REF!,#REF!,#REF!,#REF!),2)+$B69/2&gt;=K69)),($G$5/$B$5),0))))</f>
        <v>0</v>
      </c>
      <c r="M69" s="128" t="str">
        <f>IF($M$8="Habilitado",IF($A69="","",ROUND(VLOOKUP($A69,'Presupuesto Consolidado'!$AY$12:$BD$80,6,FALSE),2)),"")</f>
        <v/>
      </c>
      <c r="N69" s="129" t="str">
        <f>IF($A69="","",IF(M69="","",IF($K$4="Media aritmética",(M69&lt;=$B69)*($G$5/$B$5)+(M69&gt;$B69)*0,IF(AND(ROUND(AVERAGE($C69,$E69,$G69,$I69,$K69,$M69,$O69,$Q69,$S69,$U69,#REF!,#REF!,#REF!,#REF!,#REF!),2)-$B69/2&lt;=M69,(ROUND(AVERAGE($C69,$E69,$G69,$I69,$K69,$M69,$O69,$Q69,$S69,$U69,#REF!,#REF!,#REF!,#REF!,#REF!),2)+$B69/2&gt;=M69)),($G$5/$B$5),0))))</f>
        <v/>
      </c>
      <c r="O69" s="128">
        <f>IF($O$8="Habilitado",IF($A69="","",ROUND(VLOOKUP($A69,'Presupuesto Consolidado'!$BI$12:$BN$80,6,FALSE),2)),"")</f>
        <v>1500000</v>
      </c>
      <c r="P69" s="129">
        <f>IF($A69="","",IF(O69="","",IF($K$4="Media aritmética",(O69&lt;=$B69)*($G$5/$B$5)+(O69&gt;$B69)*0,IF(AND(ROUND(AVERAGE($C69,$E69,$G69,$I69,$K69,$M69,$O69,$Q69,$S69,$U69,#REF!,#REF!,#REF!,#REF!,#REF!),2)-$B69/2&lt;=O69,(ROUND(AVERAGE($C69,$E69,$G69,$I69,$K69,$M69,$O69,$Q69,$S69,$U69,#REF!,#REF!,#REF!,#REF!,#REF!),2)+$B69/2&gt;=O69)),($G$5/$B$5),0))))</f>
        <v>1.8604651162790697</v>
      </c>
      <c r="Q69" s="128">
        <f>IF($Q$8="Habilitado",IF($A69="","",ROUND(VLOOKUP($A69,'Presupuesto Consolidado'!$BS$12:$BX$80,6,FALSE),2)),"")</f>
        <v>1580000</v>
      </c>
      <c r="R69" s="129">
        <f>IF($A69="","",IF(Q69="","",IF($K$4="Media aritmética",(Q69&lt;=$B69)*($G$5/$B$5)+(Q69&gt;$B69)*0,IF(AND(ROUND(AVERAGE($C69,$E69,$G69,$I69,$K69,$M69,$O69,$Q69,$S69,$U69,#REF!,#REF!,#REF!,#REF!,#REF!),2)-$B69/2&lt;=Q69,(ROUND(AVERAGE($C69,$E69,$G69,$I69,$K69,$M69,$O69,$Q69,$S69,$U69,#REF!,#REF!,#REF!,#REF!,#REF!),2)+$B69/2&gt;=Q69)),($G$5/$B$5),0))))</f>
        <v>0</v>
      </c>
      <c r="S69" s="128">
        <f>IF($S$8="Habilitado",IF($A69="","",ROUND(VLOOKUP($A69,'Presupuesto Consolidado'!$CC$12:$CH$80,6,FALSE),2)),"")</f>
        <v>1520000</v>
      </c>
      <c r="T69" s="129">
        <f>IF($A69="","",IF(S69="","",IF($K$4="Media aritmética",(S69&lt;=$B69)*($G$5/$B$5)+(S69&gt;$B69)*0,IF(AND(ROUND(AVERAGE($C69,$E69,$G69,$I69,$K69,$M69,$O69,$Q69,$S69,$U69,#REF!,#REF!,#REF!,#REF!,#REF!),2)-$B69/2&lt;=S69,(ROUND(AVERAGE($C69,$E69,$G69,$I69,$K69,$M69,$O69,$Q69,$S69,$U69,#REF!,#REF!,#REF!,#REF!,#REF!),2)+$B69/2&gt;=S69)),($G$5/$B$5),0))))</f>
        <v>0</v>
      </c>
      <c r="U69" s="128" t="str">
        <f>IF($U$8="Habilitado",IF($A69="","",ROUND(VLOOKUP($A69,'Presupuesto Consolidado'!$CM$12:$CR$80,6,FALSE),2)),"")</f>
        <v/>
      </c>
      <c r="V69" s="129" t="str">
        <f>IF($A69="","",IF(U69="","",IF($K$4="Media aritmética",(U69&lt;=$B69)*($G$5/$B$5)+(U69&gt;$B69)*0,IF(AND(ROUND(AVERAGE($C69,$E69,$G69,$I69,$K69,$M69,$O69,$Q69,$S69,$U69,#REF!,#REF!,#REF!,#REF!,#REF!),2)-$B69/2&lt;=U69,(ROUND(AVERAGE($C69,$E69,$G69,$I69,$K69,$M69,$O69,$Q69,$S69,$U69,#REF!,#REF!,#REF!,#REF!,#REF!),2)+$B69/2&gt;=U69)),($G$5/$B$5),0))))</f>
        <v/>
      </c>
    </row>
    <row r="70" spans="1:22" s="122" customFormat="1" ht="21" customHeight="1">
      <c r="A70" s="256" t="str">
        <f>+'Presupuesto Consolidado'!A71</f>
        <v>9.4</v>
      </c>
      <c r="B70" s="127">
        <f t="shared" si="9"/>
        <v>2004750</v>
      </c>
      <c r="C70" s="128">
        <f>IF($C$8="Habilitado",IF($A70="","",ROUND(VLOOKUP($A70,'Presupuesto Consolidado'!$A$12:$F$80,6,FALSE),2)),"")</f>
        <v>1960000</v>
      </c>
      <c r="D70" s="129">
        <f>IF($A70="","",IF(C70="","",IF($K$4="Media aritmética",(C70&lt;=$B70)*($G$5/$B$5)+(C70&gt;$B70)*0,IF(AND(ROUND(AVERAGE($C70,$E70,$G70,$I70,$K70,$M70,$O70,$Q70,$S70,$U70,#REF!,#REF!,#REF!,#REF!,#REF!),2)-$B70/2&lt;=C70,(ROUND(AVERAGE($C70,$E70,$G70,$I70,$K70,$M70,$O70,$Q70,$S70,$U70,#REF!,#REF!,#REF!,#REF!,#REF!),2)+$B70/2&gt;=C70)),($G$5/$B$5),0))))</f>
        <v>1.8604651162790697</v>
      </c>
      <c r="E70" s="128">
        <f>IF($E$8="Habilitado",IF($A70="","",ROUND(VLOOKUP($A70,'Presupuesto Consolidado'!$K$12:$P$80,6,FALSE),2)),"")</f>
        <v>2200000</v>
      </c>
      <c r="F70" s="129">
        <f>IF($A70="","",IF(E70="","",IF($K$4="Media aritmética",(E70&lt;=$B70)*($G$5/$B$5)+(E70&gt;$B70)*0,IF(AND(ROUND(AVERAGE($C70,$E70,$G70,$I70,$K70,$M70,$O70,$Q70,$S70,$U70,#REF!,#REF!,#REF!,#REF!,#REF!),2)-$B70/2&lt;=E70,(ROUND(AVERAGE($C70,$E70,$G70,$I70,$K70,$M70,$O70,$Q70,$S70,$U70,#REF!,#REF!,#REF!,#REF!,#REF!),2)+$B70/2&gt;=E70)),($G$5/$B$5),0))))</f>
        <v>0</v>
      </c>
      <c r="G70" s="128">
        <f>IF($G$8="Habilitado",IF($A70="","",ROUND(VLOOKUP($A70,'Presupuesto Consolidado'!$U$12:$Z$80,6,FALSE),2)),"")</f>
        <v>2300000</v>
      </c>
      <c r="H70" s="129">
        <f>IF($A70="","",IF(G70="","",IF($K$4="Media aritmética",(G70&lt;=$B70)*($G$5/$B$5)+(G70&gt;$B70)*0,IF(AND(ROUND(AVERAGE($C70,$E70,$G70,$I70,$K70,$M70,$O70,$Q70,$S70,$U70,#REF!,#REF!,#REF!,#REF!,#REF!),2)-$B70/2&lt;=G70,(ROUND(AVERAGE($C70,$E70,$G70,$I70,$K70,$M70,$O70,$Q70,$S70,$U70,#REF!,#REF!,#REF!,#REF!,#REF!),2)+$B70/2&gt;=G70)),($G$5/$B$5),0))))</f>
        <v>0</v>
      </c>
      <c r="I70" s="128">
        <f>IF($I$8="Habilitado",IF($A70="","",ROUND(VLOOKUP($A70,'Presupuesto Consolidado'!$AE$12:$AJ$80,6,FALSE),2)),"")</f>
        <v>1200000</v>
      </c>
      <c r="J70" s="129">
        <f>IF($A70="","",IF(I70="","",IF($K$4="Media aritmética",(I70&lt;=$B70)*($G$5/$B$5)+(I70&gt;$B70)*0,IF(AND(ROUND(AVERAGE($C70,$E70,$G70,$I70,$K70,$M70,$O70,$Q70,$S70,$U70,#REF!,#REF!,#REF!,#REF!,#REF!),2)-$B70/2&lt;=I70,(ROUND(AVERAGE($C70,$E70,$G70,$I70,$K70,$M70,$O70,$Q70,$S70,$U70,#REF!,#REF!,#REF!,#REF!,#REF!),2)+$B70/2&gt;=I70)),($G$5/$B$5),0))))</f>
        <v>1.8604651162790697</v>
      </c>
      <c r="K70" s="128">
        <f>IF($K$8="Habilitado",IF($A70="","",ROUND(VLOOKUP($A70,'Presupuesto Consolidado'!$AO$12:$AT$80,6,FALSE),2)),"")</f>
        <v>1960000</v>
      </c>
      <c r="L70" s="129">
        <f>IF($A70="","",IF(K70="","",IF($K$4="Media aritmética",(K70&lt;=$B70)*($G$5/$B$5)+(K70&gt;$B70)*0,IF(AND(ROUND(AVERAGE($C70,$E70,$G70,$I70,$K70,$M70,$O70,$Q70,$S70,$U70,#REF!,#REF!,#REF!,#REF!,#REF!),2)-$B70/2&lt;=K70,(ROUND(AVERAGE($C70,$E70,$G70,$I70,$K70,$M70,$O70,$Q70,$S70,$U70,#REF!,#REF!,#REF!,#REF!,#REF!),2)+$B70/2&gt;=K70)),($G$5/$B$5),0))))</f>
        <v>1.8604651162790697</v>
      </c>
      <c r="M70" s="128" t="str">
        <f>IF($M$8="Habilitado",IF($A70="","",ROUND(VLOOKUP($A70,'Presupuesto Consolidado'!$AY$12:$BD$80,6,FALSE),2)),"")</f>
        <v/>
      </c>
      <c r="N70" s="129" t="str">
        <f>IF($A70="","",IF(M70="","",IF($K$4="Media aritmética",(M70&lt;=$B70)*($G$5/$B$5)+(M70&gt;$B70)*0,IF(AND(ROUND(AVERAGE($C70,$E70,$G70,$I70,$K70,$M70,$O70,$Q70,$S70,$U70,#REF!,#REF!,#REF!,#REF!,#REF!),2)-$B70/2&lt;=M70,(ROUND(AVERAGE($C70,$E70,$G70,$I70,$K70,$M70,$O70,$Q70,$S70,$U70,#REF!,#REF!,#REF!,#REF!,#REF!),2)+$B70/2&gt;=M70)),($G$5/$B$5),0))))</f>
        <v/>
      </c>
      <c r="O70" s="128">
        <f>IF($O$8="Habilitado",IF($A70="","",ROUND(VLOOKUP($A70,'Presupuesto Consolidado'!$BI$12:$BN$80,6,FALSE),2)),"")</f>
        <v>2196000</v>
      </c>
      <c r="P70" s="129">
        <f>IF($A70="","",IF(O70="","",IF($K$4="Media aritmética",(O70&lt;=$B70)*($G$5/$B$5)+(O70&gt;$B70)*0,IF(AND(ROUND(AVERAGE($C70,$E70,$G70,$I70,$K70,$M70,$O70,$Q70,$S70,$U70,#REF!,#REF!,#REF!,#REF!,#REF!),2)-$B70/2&lt;=O70,(ROUND(AVERAGE($C70,$E70,$G70,$I70,$K70,$M70,$O70,$Q70,$S70,$U70,#REF!,#REF!,#REF!,#REF!,#REF!),2)+$B70/2&gt;=O70)),($G$5/$B$5),0))))</f>
        <v>0</v>
      </c>
      <c r="Q70" s="128">
        <f>IF($Q$8="Habilitado",IF($A70="","",ROUND(VLOOKUP($A70,'Presupuesto Consolidado'!$BS$12:$BX$80,6,FALSE),2)),"")</f>
        <v>2020000</v>
      </c>
      <c r="R70" s="129">
        <f>IF($A70="","",IF(Q70="","",IF($K$4="Media aritmética",(Q70&lt;=$B70)*($G$5/$B$5)+(Q70&gt;$B70)*0,IF(AND(ROUND(AVERAGE($C70,$E70,$G70,$I70,$K70,$M70,$O70,$Q70,$S70,$U70,#REF!,#REF!,#REF!,#REF!,#REF!),2)-$B70/2&lt;=Q70,(ROUND(AVERAGE($C70,$E70,$G70,$I70,$K70,$M70,$O70,$Q70,$S70,$U70,#REF!,#REF!,#REF!,#REF!,#REF!),2)+$B70/2&gt;=Q70)),($G$5/$B$5),0))))</f>
        <v>0</v>
      </c>
      <c r="S70" s="128">
        <f>IF($S$8="Habilitado",IF($A70="","",ROUND(VLOOKUP($A70,'Presupuesto Consolidado'!$CC$12:$CH$80,6,FALSE),2)),"")</f>
        <v>2202000</v>
      </c>
      <c r="T70" s="129">
        <f>IF($A70="","",IF(S70="","",IF($K$4="Media aritmética",(S70&lt;=$B70)*($G$5/$B$5)+(S70&gt;$B70)*0,IF(AND(ROUND(AVERAGE($C70,$E70,$G70,$I70,$K70,$M70,$O70,$Q70,$S70,$U70,#REF!,#REF!,#REF!,#REF!,#REF!),2)-$B70/2&lt;=S70,(ROUND(AVERAGE($C70,$E70,$G70,$I70,$K70,$M70,$O70,$Q70,$S70,$U70,#REF!,#REF!,#REF!,#REF!,#REF!),2)+$B70/2&gt;=S70)),($G$5/$B$5),0))))</f>
        <v>0</v>
      </c>
      <c r="U70" s="128" t="str">
        <f>IF($U$8="Habilitado",IF($A70="","",ROUND(VLOOKUP($A70,'Presupuesto Consolidado'!$CM$12:$CR$80,6,FALSE),2)),"")</f>
        <v/>
      </c>
      <c r="V70" s="129" t="str">
        <f>IF($A70="","",IF(U70="","",IF($K$4="Media aritmética",(U70&lt;=$B70)*($G$5/$B$5)+(U70&gt;$B70)*0,IF(AND(ROUND(AVERAGE($C70,$E70,$G70,$I70,$K70,$M70,$O70,$Q70,$S70,$U70,#REF!,#REF!,#REF!,#REF!,#REF!),2)-$B70/2&lt;=U70,(ROUND(AVERAGE($C70,$E70,$G70,$I70,$K70,$M70,$O70,$Q70,$S70,$U70,#REF!,#REF!,#REF!,#REF!,#REF!),2)+$B70/2&gt;=U70)),($G$5/$B$5),0))))</f>
        <v/>
      </c>
    </row>
    <row r="71" spans="1:22" s="122" customFormat="1" ht="21" customHeight="1">
      <c r="A71" s="256" t="str">
        <f>+'Presupuesto Consolidado'!A72</f>
        <v>9.5</v>
      </c>
      <c r="B71" s="127">
        <f t="shared" si="9"/>
        <v>1763962.5</v>
      </c>
      <c r="C71" s="128">
        <f>IF($C$8="Habilitado",IF($A71="","",ROUND(VLOOKUP($A71,'Presupuesto Consolidado'!$A$12:$F$80,6,FALSE),2)),"")</f>
        <v>1674500</v>
      </c>
      <c r="D71" s="129">
        <f>IF($A71="","",IF(C71="","",IF($K$4="Media aritmética",(C71&lt;=$B71)*($G$5/$B$5)+(C71&gt;$B71)*0,IF(AND(ROUND(AVERAGE($C71,$E71,$G71,$I71,$K71,$M71,$O71,$Q71,$S71,$U71,#REF!,#REF!,#REF!,#REF!,#REF!),2)-$B71/2&lt;=C71,(ROUND(AVERAGE($C71,$E71,$G71,$I71,$K71,$M71,$O71,$Q71,$S71,$U71,#REF!,#REF!,#REF!,#REF!,#REF!),2)+$B71/2&gt;=C71)),($G$5/$B$5),0))))</f>
        <v>1.8604651162790697</v>
      </c>
      <c r="E71" s="128">
        <f>IF($E$8="Habilitado",IF($A71="","",ROUND(VLOOKUP($A71,'Presupuesto Consolidado'!$K$12:$P$80,6,FALSE),2)),"")</f>
        <v>1122000</v>
      </c>
      <c r="F71" s="129">
        <f>IF($A71="","",IF(E71="","",IF($K$4="Media aritmética",(E71&lt;=$B71)*($G$5/$B$5)+(E71&gt;$B71)*0,IF(AND(ROUND(AVERAGE($C71,$E71,$G71,$I71,$K71,$M71,$O71,$Q71,$S71,$U71,#REF!,#REF!,#REF!,#REF!,#REF!),2)-$B71/2&lt;=E71,(ROUND(AVERAGE($C71,$E71,$G71,$I71,$K71,$M71,$O71,$Q71,$S71,$U71,#REF!,#REF!,#REF!,#REF!,#REF!),2)+$B71/2&gt;=E71)),($G$5/$B$5),0))))</f>
        <v>1.8604651162790697</v>
      </c>
      <c r="G71" s="128">
        <f>IF($G$8="Habilitado",IF($A71="","",ROUND(VLOOKUP($A71,'Presupuesto Consolidado'!$U$12:$Z$80,6,FALSE),2)),"")</f>
        <v>1933750</v>
      </c>
      <c r="H71" s="129">
        <f>IF($A71="","",IF(G71="","",IF($K$4="Media aritmética",(G71&lt;=$B71)*($G$5/$B$5)+(G71&gt;$B71)*0,IF(AND(ROUND(AVERAGE($C71,$E71,$G71,$I71,$K71,$M71,$O71,$Q71,$S71,$U71,#REF!,#REF!,#REF!,#REF!,#REF!),2)-$B71/2&lt;=G71,(ROUND(AVERAGE($C71,$E71,$G71,$I71,$K71,$M71,$O71,$Q71,$S71,$U71,#REF!,#REF!,#REF!,#REF!,#REF!),2)+$B71/2&gt;=G71)),($G$5/$B$5),0))))</f>
        <v>0</v>
      </c>
      <c r="I71" s="128">
        <f>IF($I$8="Habilitado",IF($A71="","",ROUND(VLOOKUP($A71,'Presupuesto Consolidado'!$AE$12:$AJ$80,6,FALSE),2)),"")</f>
        <v>2125000</v>
      </c>
      <c r="J71" s="129">
        <f>IF($A71="","",IF(I71="","",IF($K$4="Media aritmética",(I71&lt;=$B71)*($G$5/$B$5)+(I71&gt;$B71)*0,IF(AND(ROUND(AVERAGE($C71,$E71,$G71,$I71,$K71,$M71,$O71,$Q71,$S71,$U71,#REF!,#REF!,#REF!,#REF!,#REF!),2)-$B71/2&lt;=I71,(ROUND(AVERAGE($C71,$E71,$G71,$I71,$K71,$M71,$O71,$Q71,$S71,$U71,#REF!,#REF!,#REF!,#REF!,#REF!),2)+$B71/2&gt;=I71)),($G$5/$B$5),0))))</f>
        <v>0</v>
      </c>
      <c r="K71" s="128">
        <f>IF($K$8="Habilitado",IF($A71="","",ROUND(VLOOKUP($A71,'Presupuesto Consolidado'!$AO$12:$AT$80,6,FALSE),2)),"")</f>
        <v>1802000</v>
      </c>
      <c r="L71" s="129">
        <f>IF($A71="","",IF(K71="","",IF($K$4="Media aritmética",(K71&lt;=$B71)*($G$5/$B$5)+(K71&gt;$B71)*0,IF(AND(ROUND(AVERAGE($C71,$E71,$G71,$I71,$K71,$M71,$O71,$Q71,$S71,$U71,#REF!,#REF!,#REF!,#REF!,#REF!),2)-$B71/2&lt;=K71,(ROUND(AVERAGE($C71,$E71,$G71,$I71,$K71,$M71,$O71,$Q71,$S71,$U71,#REF!,#REF!,#REF!,#REF!,#REF!),2)+$B71/2&gt;=K71)),($G$5/$B$5),0))))</f>
        <v>0</v>
      </c>
      <c r="M71" s="128" t="str">
        <f>IF($M$8="Habilitado",IF($A71="","",ROUND(VLOOKUP($A71,'Presupuesto Consolidado'!$AY$12:$BD$80,6,FALSE),2)),"")</f>
        <v/>
      </c>
      <c r="N71" s="129" t="str">
        <f>IF($A71="","",IF(M71="","",IF($K$4="Media aritmética",(M71&lt;=$B71)*($G$5/$B$5)+(M71&gt;$B71)*0,IF(AND(ROUND(AVERAGE($C71,$E71,$G71,$I71,$K71,$M71,$O71,$Q71,$S71,$U71,#REF!,#REF!,#REF!,#REF!,#REF!),2)-$B71/2&lt;=M71,(ROUND(AVERAGE($C71,$E71,$G71,$I71,$K71,$M71,$O71,$Q71,$S71,$U71,#REF!,#REF!,#REF!,#REF!,#REF!),2)+$B71/2&gt;=M71)),($G$5/$B$5),0))))</f>
        <v/>
      </c>
      <c r="O71" s="128">
        <f>IF($O$8="Habilitado",IF($A71="","",ROUND(VLOOKUP($A71,'Presupuesto Consolidado'!$BI$12:$BN$80,6,FALSE),2)),"")</f>
        <v>1698300</v>
      </c>
      <c r="P71" s="129">
        <f>IF($A71="","",IF(O71="","",IF($K$4="Media aritmética",(O71&lt;=$B71)*($G$5/$B$5)+(O71&gt;$B71)*0,IF(AND(ROUND(AVERAGE($C71,$E71,$G71,$I71,$K71,$M71,$O71,$Q71,$S71,$U71,#REF!,#REF!,#REF!,#REF!,#REF!),2)-$B71/2&lt;=O71,(ROUND(AVERAGE($C71,$E71,$G71,$I71,$K71,$M71,$O71,$Q71,$S71,$U71,#REF!,#REF!,#REF!,#REF!,#REF!),2)+$B71/2&gt;=O71)),($G$5/$B$5),0))))</f>
        <v>1.8604651162790697</v>
      </c>
      <c r="Q71" s="128">
        <f>IF($Q$8="Habilitado",IF($A71="","",ROUND(VLOOKUP($A71,'Presupuesto Consolidado'!$BS$12:$BX$80,6,FALSE),2)),"")</f>
        <v>1963500</v>
      </c>
      <c r="R71" s="129">
        <f>IF($A71="","",IF(Q71="","",IF($K$4="Media aritmética",(Q71&lt;=$B71)*($G$5/$B$5)+(Q71&gt;$B71)*0,IF(AND(ROUND(AVERAGE($C71,$E71,$G71,$I71,$K71,$M71,$O71,$Q71,$S71,$U71,#REF!,#REF!,#REF!,#REF!,#REF!),2)-$B71/2&lt;=Q71,(ROUND(AVERAGE($C71,$E71,$G71,$I71,$K71,$M71,$O71,$Q71,$S71,$U71,#REF!,#REF!,#REF!,#REF!,#REF!),2)+$B71/2&gt;=Q71)),($G$5/$B$5),0))))</f>
        <v>0</v>
      </c>
      <c r="S71" s="128">
        <f>IF($S$8="Habilitado",IF($A71="","",ROUND(VLOOKUP($A71,'Presupuesto Consolidado'!$CC$12:$CH$80,6,FALSE),2)),"")</f>
        <v>1792650</v>
      </c>
      <c r="T71" s="129">
        <f>IF($A71="","",IF(S71="","",IF($K$4="Media aritmética",(S71&lt;=$B71)*($G$5/$B$5)+(S71&gt;$B71)*0,IF(AND(ROUND(AVERAGE($C71,$E71,$G71,$I71,$K71,$M71,$O71,$Q71,$S71,$U71,#REF!,#REF!,#REF!,#REF!,#REF!),2)-$B71/2&lt;=S71,(ROUND(AVERAGE($C71,$E71,$G71,$I71,$K71,$M71,$O71,$Q71,$S71,$U71,#REF!,#REF!,#REF!,#REF!,#REF!),2)+$B71/2&gt;=S71)),($G$5/$B$5),0))))</f>
        <v>0</v>
      </c>
      <c r="U71" s="128" t="str">
        <f>IF($U$8="Habilitado",IF($A71="","",ROUND(VLOOKUP($A71,'Presupuesto Consolidado'!$CM$12:$CR$80,6,FALSE),2)),"")</f>
        <v/>
      </c>
      <c r="V71" s="129" t="str">
        <f>IF($A71="","",IF(U71="","",IF($K$4="Media aritmética",(U71&lt;=$B71)*($G$5/$B$5)+(U71&gt;$B71)*0,IF(AND(ROUND(AVERAGE($C71,$E71,$G71,$I71,$K71,$M71,$O71,$Q71,$S71,$U71,#REF!,#REF!,#REF!,#REF!,#REF!),2)-$B71/2&lt;=U71,(ROUND(AVERAGE($C71,$E71,$G71,$I71,$K71,$M71,$O71,$Q71,$S71,$U71,#REF!,#REF!,#REF!,#REF!,#REF!),2)+$B71/2&gt;=U71)),($G$5/$B$5),0))))</f>
        <v/>
      </c>
    </row>
    <row r="72" spans="1:22" s="122" customFormat="1" ht="21" customHeight="1">
      <c r="A72" s="256" t="str">
        <f>+'Presupuesto Consolidado'!A73</f>
        <v>9.6</v>
      </c>
      <c r="B72" s="127">
        <f t="shared" si="9"/>
        <v>963378</v>
      </c>
      <c r="C72" s="128">
        <f>IF($C$8="Habilitado",IF($A72="","",ROUND(VLOOKUP($A72,'Presupuesto Consolidado'!$A$12:$F$80,6,FALSE),2)),"")</f>
        <v>795300</v>
      </c>
      <c r="D72" s="129">
        <f>IF($A72="","",IF(C72="","",IF($K$4="Media aritmética",(C72&lt;=$B72)*($G$5/$B$5)+(C72&gt;$B72)*0,IF(AND(ROUND(AVERAGE($C72,$E72,$G72,$I72,$K72,$M72,$O72,$Q72,$S72,$U72,#REF!,#REF!,#REF!,#REF!,#REF!),2)-$B72/2&lt;=C72,(ROUND(AVERAGE($C72,$E72,$G72,$I72,$K72,$M72,$O72,$Q72,$S72,$U72,#REF!,#REF!,#REF!,#REF!,#REF!),2)+$B72/2&gt;=C72)),($G$5/$B$5),0))))</f>
        <v>1.8604651162790697</v>
      </c>
      <c r="E72" s="128">
        <f>IF($E$8="Habilitado",IF($A72="","",ROUND(VLOOKUP($A72,'Presupuesto Consolidado'!$K$12:$P$80,6,FALSE),2)),"")</f>
        <v>1035000</v>
      </c>
      <c r="F72" s="129">
        <f>IF($A72="","",IF(E72="","",IF($K$4="Media aritmética",(E72&lt;=$B72)*($G$5/$B$5)+(E72&gt;$B72)*0,IF(AND(ROUND(AVERAGE($C72,$E72,$G72,$I72,$K72,$M72,$O72,$Q72,$S72,$U72,#REF!,#REF!,#REF!,#REF!,#REF!),2)-$B72/2&lt;=E72,(ROUND(AVERAGE($C72,$E72,$G72,$I72,$K72,$M72,$O72,$Q72,$S72,$U72,#REF!,#REF!,#REF!,#REF!,#REF!),2)+$B72/2&gt;=E72)),($G$5/$B$5),0))))</f>
        <v>0</v>
      </c>
      <c r="G72" s="128">
        <f>IF($G$8="Habilitado",IF($A72="","",ROUND(VLOOKUP($A72,'Presupuesto Consolidado'!$U$12:$Z$80,6,FALSE),2)),"")</f>
        <v>750000</v>
      </c>
      <c r="H72" s="129">
        <f>IF($A72="","",IF(G72="","",IF($K$4="Media aritmética",(G72&lt;=$B72)*($G$5/$B$5)+(G72&gt;$B72)*0,IF(AND(ROUND(AVERAGE($C72,$E72,$G72,$I72,$K72,$M72,$O72,$Q72,$S72,$U72,#REF!,#REF!,#REF!,#REF!,#REF!),2)-$B72/2&lt;=G72,(ROUND(AVERAGE($C72,$E72,$G72,$I72,$K72,$M72,$O72,$Q72,$S72,$U72,#REF!,#REF!,#REF!,#REF!,#REF!),2)+$B72/2&gt;=G72)),($G$5/$B$5),0))))</f>
        <v>1.8604651162790697</v>
      </c>
      <c r="I72" s="128">
        <f>IF($I$8="Habilitado",IF($A72="","",ROUND(VLOOKUP($A72,'Presupuesto Consolidado'!$AE$12:$AJ$80,6,FALSE),2)),"")</f>
        <v>1215000</v>
      </c>
      <c r="J72" s="129">
        <f>IF($A72="","",IF(I72="","",IF($K$4="Media aritmética",(I72&lt;=$B72)*($G$5/$B$5)+(I72&gt;$B72)*0,IF(AND(ROUND(AVERAGE($C72,$E72,$G72,$I72,$K72,$M72,$O72,$Q72,$S72,$U72,#REF!,#REF!,#REF!,#REF!,#REF!),2)-$B72/2&lt;=I72,(ROUND(AVERAGE($C72,$E72,$G72,$I72,$K72,$M72,$O72,$Q72,$S72,$U72,#REF!,#REF!,#REF!,#REF!,#REF!),2)+$B72/2&gt;=I72)),($G$5/$B$5),0))))</f>
        <v>0</v>
      </c>
      <c r="K72" s="128">
        <f>IF($K$8="Habilitado",IF($A72="","",ROUND(VLOOKUP($A72,'Presupuesto Consolidado'!$AO$12:$AT$80,6,FALSE),2)),"")</f>
        <v>973500</v>
      </c>
      <c r="L72" s="129">
        <f>IF($A72="","",IF(K72="","",IF($K$4="Media aritmética",(K72&lt;=$B72)*($G$5/$B$5)+(K72&gt;$B72)*0,IF(AND(ROUND(AVERAGE($C72,$E72,$G72,$I72,$K72,$M72,$O72,$Q72,$S72,$U72,#REF!,#REF!,#REF!,#REF!,#REF!),2)-$B72/2&lt;=K72,(ROUND(AVERAGE($C72,$E72,$G72,$I72,$K72,$M72,$O72,$Q72,$S72,$U72,#REF!,#REF!,#REF!,#REF!,#REF!),2)+$B72/2&gt;=K72)),($G$5/$B$5),0))))</f>
        <v>0</v>
      </c>
      <c r="M72" s="128" t="str">
        <f>IF($M$8="Habilitado",IF($A72="","",ROUND(VLOOKUP($A72,'Presupuesto Consolidado'!$AY$12:$BD$80,6,FALSE),2)),"")</f>
        <v/>
      </c>
      <c r="N72" s="129" t="str">
        <f>IF($A72="","",IF(M72="","",IF($K$4="Media aritmética",(M72&lt;=$B72)*($G$5/$B$5)+(M72&gt;$B72)*0,IF(AND(ROUND(AVERAGE($C72,$E72,$G72,$I72,$K72,$M72,$O72,$Q72,$S72,$U72,#REF!,#REF!,#REF!,#REF!,#REF!),2)-$B72/2&lt;=M72,(ROUND(AVERAGE($C72,$E72,$G72,$I72,$K72,$M72,$O72,$Q72,$S72,$U72,#REF!,#REF!,#REF!,#REF!,#REF!),2)+$B72/2&gt;=M72)),($G$5/$B$5),0))))</f>
        <v/>
      </c>
      <c r="O72" s="128">
        <f>IF($O$8="Habilitado",IF($A72="","",ROUND(VLOOKUP($A72,'Presupuesto Consolidado'!$BI$12:$BN$80,6,FALSE),2)),"")</f>
        <v>1035600</v>
      </c>
      <c r="P72" s="129">
        <f>IF($A72="","",IF(O72="","",IF($K$4="Media aritmética",(O72&lt;=$B72)*($G$5/$B$5)+(O72&gt;$B72)*0,IF(AND(ROUND(AVERAGE($C72,$E72,$G72,$I72,$K72,$M72,$O72,$Q72,$S72,$U72,#REF!,#REF!,#REF!,#REF!,#REF!),2)-$B72/2&lt;=O72,(ROUND(AVERAGE($C72,$E72,$G72,$I72,$K72,$M72,$O72,$Q72,$S72,$U72,#REF!,#REF!,#REF!,#REF!,#REF!),2)+$B72/2&gt;=O72)),($G$5/$B$5),0))))</f>
        <v>0</v>
      </c>
      <c r="Q72" s="128">
        <f>IF($Q$8="Habilitado",IF($A72="","",ROUND(VLOOKUP($A72,'Presupuesto Consolidado'!$BS$12:$BX$80,6,FALSE),2)),"")</f>
        <v>930600</v>
      </c>
      <c r="R72" s="129">
        <f>IF($A72="","",IF(Q72="","",IF($K$4="Media aritmética",(Q72&lt;=$B72)*($G$5/$B$5)+(Q72&gt;$B72)*0,IF(AND(ROUND(AVERAGE($C72,$E72,$G72,$I72,$K72,$M72,$O72,$Q72,$S72,$U72,#REF!,#REF!,#REF!,#REF!,#REF!),2)-$B72/2&lt;=Q72,(ROUND(AVERAGE($C72,$E72,$G72,$I72,$K72,$M72,$O72,$Q72,$S72,$U72,#REF!,#REF!,#REF!,#REF!,#REF!),2)+$B72/2&gt;=Q72)),($G$5/$B$5),0))))</f>
        <v>1.8604651162790697</v>
      </c>
      <c r="S72" s="128">
        <f>IF($S$8="Habilitado",IF($A72="","",ROUND(VLOOKUP($A72,'Presupuesto Consolidado'!$CC$12:$CH$80,6,FALSE),2)),"")</f>
        <v>972024</v>
      </c>
      <c r="T72" s="129">
        <f>IF($A72="","",IF(S72="","",IF($K$4="Media aritmética",(S72&lt;=$B72)*($G$5/$B$5)+(S72&gt;$B72)*0,IF(AND(ROUND(AVERAGE($C72,$E72,$G72,$I72,$K72,$M72,$O72,$Q72,$S72,$U72,#REF!,#REF!,#REF!,#REF!,#REF!),2)-$B72/2&lt;=S72,(ROUND(AVERAGE($C72,$E72,$G72,$I72,$K72,$M72,$O72,$Q72,$S72,$U72,#REF!,#REF!,#REF!,#REF!,#REF!),2)+$B72/2&gt;=S72)),($G$5/$B$5),0))))</f>
        <v>0</v>
      </c>
      <c r="U72" s="128" t="str">
        <f>IF($U$8="Habilitado",IF($A72="","",ROUND(VLOOKUP($A72,'Presupuesto Consolidado'!$CM$12:$CR$80,6,FALSE),2)),"")</f>
        <v/>
      </c>
      <c r="V72" s="129" t="str">
        <f>IF($A72="","",IF(U72="","",IF($K$4="Media aritmética",(U72&lt;=$B72)*($G$5/$B$5)+(U72&gt;$B72)*0,IF(AND(ROUND(AVERAGE($C72,$E72,$G72,$I72,$K72,$M72,$O72,$Q72,$S72,$U72,#REF!,#REF!,#REF!,#REF!,#REF!),2)-$B72/2&lt;=U72,(ROUND(AVERAGE($C72,$E72,$G72,$I72,$K72,$M72,$O72,$Q72,$S72,$U72,#REF!,#REF!,#REF!,#REF!,#REF!),2)+$B72/2&gt;=U72)),($G$5/$B$5),0))))</f>
        <v/>
      </c>
    </row>
    <row r="73" spans="1:22" s="122" customFormat="1" ht="21" customHeight="1">
      <c r="A73" s="256" t="str">
        <f>+'Presupuesto Consolidado'!A75</f>
        <v>10.1</v>
      </c>
      <c r="B73" s="127">
        <f t="shared" si="9"/>
        <v>251331.25</v>
      </c>
      <c r="C73" s="128">
        <f>IF($C$8="Habilitado",IF($A73="","",ROUND(VLOOKUP($A73,'Presupuesto Consolidado'!$A$12:$F$80,6,FALSE),2)),"")</f>
        <v>116500</v>
      </c>
      <c r="D73" s="129">
        <f>IF($A73="","",IF(C73="","",IF($K$4="Media aritmética",(C73&lt;=$B73)*($G$5/$B$5)+(C73&gt;$B73)*0,IF(AND(ROUND(AVERAGE($C73,$E73,$G73,$I73,$K73,$M73,$O73,$Q73,$S73,$U73,#REF!,#REF!,#REF!,#REF!,#REF!),2)-$B73/2&lt;=C73,(ROUND(AVERAGE($C73,$E73,$G73,$I73,$K73,$M73,$O73,$Q73,$S73,$U73,#REF!,#REF!,#REF!,#REF!,#REF!),2)+$B73/2&gt;=C73)),($G$5/$B$5),0))))</f>
        <v>1.8604651162790697</v>
      </c>
      <c r="E73" s="128">
        <f>IF($E$8="Habilitado",IF($A73="","",ROUND(VLOOKUP($A73,'Presupuesto Consolidado'!$K$12:$P$80,6,FALSE),2)),"")</f>
        <v>525000</v>
      </c>
      <c r="F73" s="129">
        <f>IF($A73="","",IF(E73="","",IF($K$4="Media aritmética",(E73&lt;=$B73)*($G$5/$B$5)+(E73&gt;$B73)*0,IF(AND(ROUND(AVERAGE($C73,$E73,$G73,$I73,$K73,$M73,$O73,$Q73,$S73,$U73,#REF!,#REF!,#REF!,#REF!,#REF!),2)-$B73/2&lt;=E73,(ROUND(AVERAGE($C73,$E73,$G73,$I73,$K73,$M73,$O73,$Q73,$S73,$U73,#REF!,#REF!,#REF!,#REF!,#REF!),2)+$B73/2&gt;=E73)),($G$5/$B$5),0))))</f>
        <v>0</v>
      </c>
      <c r="G73" s="128">
        <f>IF($G$8="Habilitado",IF($A73="","",ROUND(VLOOKUP($A73,'Presupuesto Consolidado'!$U$12:$Z$80,6,FALSE),2)),"")</f>
        <v>198150</v>
      </c>
      <c r="H73" s="129">
        <f>IF($A73="","",IF(G73="","",IF($K$4="Media aritmética",(G73&lt;=$B73)*($G$5/$B$5)+(G73&gt;$B73)*0,IF(AND(ROUND(AVERAGE($C73,$E73,$G73,$I73,$K73,$M73,$O73,$Q73,$S73,$U73,#REF!,#REF!,#REF!,#REF!,#REF!),2)-$B73/2&lt;=G73,(ROUND(AVERAGE($C73,$E73,$G73,$I73,$K73,$M73,$O73,$Q73,$S73,$U73,#REF!,#REF!,#REF!,#REF!,#REF!),2)+$B73/2&gt;=G73)),($G$5/$B$5),0))))</f>
        <v>1.8604651162790697</v>
      </c>
      <c r="I73" s="128">
        <f>IF($I$8="Habilitado",IF($A73="","",ROUND(VLOOKUP($A73,'Presupuesto Consolidado'!$AE$12:$AJ$80,6,FALSE),2)),"")</f>
        <v>270000</v>
      </c>
      <c r="J73" s="129">
        <f>IF($A73="","",IF(I73="","",IF($K$4="Media aritmética",(I73&lt;=$B73)*($G$5/$B$5)+(I73&gt;$B73)*0,IF(AND(ROUND(AVERAGE($C73,$E73,$G73,$I73,$K73,$M73,$O73,$Q73,$S73,$U73,#REF!,#REF!,#REF!,#REF!,#REF!),2)-$B73/2&lt;=I73,(ROUND(AVERAGE($C73,$E73,$G73,$I73,$K73,$M73,$O73,$Q73,$S73,$U73,#REF!,#REF!,#REF!,#REF!,#REF!),2)+$B73/2&gt;=I73)),($G$5/$B$5),0))))</f>
        <v>0</v>
      </c>
      <c r="K73" s="128">
        <f>IF($K$8="Habilitado",IF($A73="","",ROUND(VLOOKUP($A73,'Presupuesto Consolidado'!$AO$12:$AT$80,6,FALSE),2)),"")</f>
        <v>226500</v>
      </c>
      <c r="L73" s="129">
        <f>IF($A73="","",IF(K73="","",IF($K$4="Media aritmética",(K73&lt;=$B73)*($G$5/$B$5)+(K73&gt;$B73)*0,IF(AND(ROUND(AVERAGE($C73,$E73,$G73,$I73,$K73,$M73,$O73,$Q73,$S73,$U73,#REF!,#REF!,#REF!,#REF!,#REF!),2)-$B73/2&lt;=K73,(ROUND(AVERAGE($C73,$E73,$G73,$I73,$K73,$M73,$O73,$Q73,$S73,$U73,#REF!,#REF!,#REF!,#REF!,#REF!),2)+$B73/2&gt;=K73)),($G$5/$B$5),0))))</f>
        <v>1.8604651162790697</v>
      </c>
      <c r="M73" s="128" t="str">
        <f>IF($M$8="Habilitado",IF($A73="","",ROUND(VLOOKUP($A73,'Presupuesto Consolidado'!$AY$12:$BD$80,6,FALSE),2)),"")</f>
        <v/>
      </c>
      <c r="N73" s="129" t="str">
        <f>IF($A73="","",IF(M73="","",IF($K$4="Media aritmética",(M73&lt;=$B73)*($G$5/$B$5)+(M73&gt;$B73)*0,IF(AND(ROUND(AVERAGE($C73,$E73,$G73,$I73,$K73,$M73,$O73,$Q73,$S73,$U73,#REF!,#REF!,#REF!,#REF!,#REF!),2)-$B73/2&lt;=M73,(ROUND(AVERAGE($C73,$E73,$G73,$I73,$K73,$M73,$O73,$Q73,$S73,$U73,#REF!,#REF!,#REF!,#REF!,#REF!),2)+$B73/2&gt;=M73)),($G$5/$B$5),0))))</f>
        <v/>
      </c>
      <c r="O73" s="128">
        <f>IF($O$8="Habilitado",IF($A73="","",ROUND(VLOOKUP($A73,'Presupuesto Consolidado'!$BI$12:$BN$80,6,FALSE),2)),"")</f>
        <v>224500</v>
      </c>
      <c r="P73" s="129">
        <f>IF($A73="","",IF(O73="","",IF($K$4="Media aritmética",(O73&lt;=$B73)*($G$5/$B$5)+(O73&gt;$B73)*0,IF(AND(ROUND(AVERAGE($C73,$E73,$G73,$I73,$K73,$M73,$O73,$Q73,$S73,$U73,#REF!,#REF!,#REF!,#REF!,#REF!),2)-$B73/2&lt;=O73,(ROUND(AVERAGE($C73,$E73,$G73,$I73,$K73,$M73,$O73,$Q73,$S73,$U73,#REF!,#REF!,#REF!,#REF!,#REF!),2)+$B73/2&gt;=O73)),($G$5/$B$5),0))))</f>
        <v>1.8604651162790697</v>
      </c>
      <c r="Q73" s="128">
        <f>IF($Q$8="Habilitado",IF($A73="","",ROUND(VLOOKUP($A73,'Presupuesto Consolidado'!$BS$12:$BX$80,6,FALSE),2)),"")</f>
        <v>224500</v>
      </c>
      <c r="R73" s="129">
        <f>IF($A73="","",IF(Q73="","",IF($K$4="Media aritmética",(Q73&lt;=$B73)*($G$5/$B$5)+(Q73&gt;$B73)*0,IF(AND(ROUND(AVERAGE($C73,$E73,$G73,$I73,$K73,$M73,$O73,$Q73,$S73,$U73,#REF!,#REF!,#REF!,#REF!,#REF!),2)-$B73/2&lt;=Q73,(ROUND(AVERAGE($C73,$E73,$G73,$I73,$K73,$M73,$O73,$Q73,$S73,$U73,#REF!,#REF!,#REF!,#REF!,#REF!),2)+$B73/2&gt;=Q73)),($G$5/$B$5),0))))</f>
        <v>1.8604651162790697</v>
      </c>
      <c r="S73" s="128">
        <f>IF($S$8="Habilitado",IF($A73="","",ROUND(VLOOKUP($A73,'Presupuesto Consolidado'!$CC$12:$CH$80,6,FALSE),2)),"")</f>
        <v>225500</v>
      </c>
      <c r="T73" s="129">
        <f>IF($A73="","",IF(S73="","",IF($K$4="Media aritmética",(S73&lt;=$B73)*($G$5/$B$5)+(S73&gt;$B73)*0,IF(AND(ROUND(AVERAGE($C73,$E73,$G73,$I73,$K73,$M73,$O73,$Q73,$S73,$U73,#REF!,#REF!,#REF!,#REF!,#REF!),2)-$B73/2&lt;=S73,(ROUND(AVERAGE($C73,$E73,$G73,$I73,$K73,$M73,$O73,$Q73,$S73,$U73,#REF!,#REF!,#REF!,#REF!,#REF!),2)+$B73/2&gt;=S73)),($G$5/$B$5),0))))</f>
        <v>1.8604651162790697</v>
      </c>
      <c r="U73" s="128" t="str">
        <f>IF($U$8="Habilitado",IF($A73="","",ROUND(VLOOKUP($A73,'Presupuesto Consolidado'!$CM$12:$CR$80,6,FALSE),2)),"")</f>
        <v/>
      </c>
      <c r="V73" s="129" t="str">
        <f>IF($A73="","",IF(U73="","",IF($K$4="Media aritmética",(U73&lt;=$B73)*($G$5/$B$5)+(U73&gt;$B73)*0,IF(AND(ROUND(AVERAGE($C73,$E73,$G73,$I73,$K73,$M73,$O73,$Q73,$S73,$U73,#REF!,#REF!,#REF!,#REF!,#REF!),2)-$B73/2&lt;=U73,(ROUND(AVERAGE($C73,$E73,$G73,$I73,$K73,$M73,$O73,$Q73,$S73,$U73,#REF!,#REF!,#REF!,#REF!,#REF!),2)+$B73/2&gt;=U73)),($G$5/$B$5),0))))</f>
        <v/>
      </c>
    </row>
    <row r="74" spans="1:22" s="122" customFormat="1" ht="21" customHeight="1">
      <c r="A74" s="256" t="str">
        <f>+'Presupuesto Consolidado'!A76</f>
        <v>10.2</v>
      </c>
      <c r="B74" s="127">
        <f t="shared" si="9"/>
        <v>3711630</v>
      </c>
      <c r="C74" s="128">
        <f>IF($C$8="Habilitado",IF($A74="","",ROUND(VLOOKUP($A74,'Presupuesto Consolidado'!$A$12:$F$80,6,FALSE),2)),"")</f>
        <v>3993600</v>
      </c>
      <c r="D74" s="129">
        <f>IF($A74="","",IF(C74="","",IF($K$4="Media aritmética",(C74&lt;=$B74)*($G$5/$B$5)+(C74&gt;$B74)*0,IF(AND(ROUND(AVERAGE($C74,$E74,$G74,$I74,$K74,$M74,$O74,$Q74,$S74,$U74,#REF!,#REF!,#REF!,#REF!,#REF!),2)-$B74/2&lt;=C74,(ROUND(AVERAGE($C74,$E74,$G74,$I74,$K74,$M74,$O74,$Q74,$S74,$U74,#REF!,#REF!,#REF!,#REF!,#REF!),2)+$B74/2&gt;=C74)),($G$5/$B$5),0))))</f>
        <v>0</v>
      </c>
      <c r="E74" s="128">
        <f>IF($E$8="Habilitado",IF($A74="","",ROUND(VLOOKUP($A74,'Presupuesto Consolidado'!$K$12:$P$80,6,FALSE),2)),"")</f>
        <v>4617600</v>
      </c>
      <c r="F74" s="129">
        <f>IF($A74="","",IF(E74="","",IF($K$4="Media aritmética",(E74&lt;=$B74)*($G$5/$B$5)+(E74&gt;$B74)*0,IF(AND(ROUND(AVERAGE($C74,$E74,$G74,$I74,$K74,$M74,$O74,$Q74,$S74,$U74,#REF!,#REF!,#REF!,#REF!,#REF!),2)-$B74/2&lt;=E74,(ROUND(AVERAGE($C74,$E74,$G74,$I74,$K74,$M74,$O74,$Q74,$S74,$U74,#REF!,#REF!,#REF!,#REF!,#REF!),2)+$B74/2&gt;=E74)),($G$5/$B$5),0))))</f>
        <v>0</v>
      </c>
      <c r="G74" s="128">
        <f>IF($G$8="Habilitado",IF($A74="","",ROUND(VLOOKUP($A74,'Presupuesto Consolidado'!$U$12:$Z$80,6,FALSE),2)),"")</f>
        <v>4851600</v>
      </c>
      <c r="H74" s="129">
        <f>IF($A74="","",IF(G74="","",IF($K$4="Media aritmética",(G74&lt;=$B74)*($G$5/$B$5)+(G74&gt;$B74)*0,IF(AND(ROUND(AVERAGE($C74,$E74,$G74,$I74,$K74,$M74,$O74,$Q74,$S74,$U74,#REF!,#REF!,#REF!,#REF!,#REF!),2)-$B74/2&lt;=G74,(ROUND(AVERAGE($C74,$E74,$G74,$I74,$K74,$M74,$O74,$Q74,$S74,$U74,#REF!,#REF!,#REF!,#REF!,#REF!),2)+$B74/2&gt;=G74)),($G$5/$B$5),0))))</f>
        <v>0</v>
      </c>
      <c r="I74" s="128">
        <f>IF($I$8="Habilitado",IF($A74="","",ROUND(VLOOKUP($A74,'Presupuesto Consolidado'!$AE$12:$AJ$80,6,FALSE),2)),"")</f>
        <v>5928000</v>
      </c>
      <c r="J74" s="129">
        <f>IF($A74="","",IF(I74="","",IF($K$4="Media aritmética",(I74&lt;=$B74)*($G$5/$B$5)+(I74&gt;$B74)*0,IF(AND(ROUND(AVERAGE($C74,$E74,$G74,$I74,$K74,$M74,$O74,$Q74,$S74,$U74,#REF!,#REF!,#REF!,#REF!,#REF!),2)-$B74/2&lt;=I74,(ROUND(AVERAGE($C74,$E74,$G74,$I74,$K74,$M74,$O74,$Q74,$S74,$U74,#REF!,#REF!,#REF!,#REF!,#REF!),2)+$B74/2&gt;=I74)),($G$5/$B$5),0))))</f>
        <v>0</v>
      </c>
      <c r="K74" s="128">
        <f>IF($K$8="Habilitado",IF($A74="","",ROUND(VLOOKUP($A74,'Presupuesto Consolidado'!$AO$12:$AT$80,6,FALSE),2)),"")</f>
        <v>2745600</v>
      </c>
      <c r="L74" s="129">
        <f>IF($A74="","",IF(K74="","",IF($K$4="Media aritmética",(K74&lt;=$B74)*($G$5/$B$5)+(K74&gt;$B74)*0,IF(AND(ROUND(AVERAGE($C74,$E74,$G74,$I74,$K74,$M74,$O74,$Q74,$S74,$U74,#REF!,#REF!,#REF!,#REF!,#REF!),2)-$B74/2&lt;=K74,(ROUND(AVERAGE($C74,$E74,$G74,$I74,$K74,$M74,$O74,$Q74,$S74,$U74,#REF!,#REF!,#REF!,#REF!,#REF!),2)+$B74/2&gt;=K74)),($G$5/$B$5),0))))</f>
        <v>1.8604651162790697</v>
      </c>
      <c r="M74" s="128" t="str">
        <f>IF($M$8="Habilitado",IF($A74="","",ROUND(VLOOKUP($A74,'Presupuesto Consolidado'!$AY$12:$BD$80,6,FALSE),2)),"")</f>
        <v/>
      </c>
      <c r="N74" s="129" t="str">
        <f>IF($A74="","",IF(M74="","",IF($K$4="Media aritmética",(M74&lt;=$B74)*($G$5/$B$5)+(M74&gt;$B74)*0,IF(AND(ROUND(AVERAGE($C74,$E74,$G74,$I74,$K74,$M74,$O74,$Q74,$S74,$U74,#REF!,#REF!,#REF!,#REF!,#REF!),2)-$B74/2&lt;=M74,(ROUND(AVERAGE($C74,$E74,$G74,$I74,$K74,$M74,$O74,$Q74,$S74,$U74,#REF!,#REF!,#REF!,#REF!,#REF!),2)+$B74/2&gt;=M74)),($G$5/$B$5),0))))</f>
        <v/>
      </c>
      <c r="O74" s="128">
        <f>IF($O$8="Habilitado",IF($A74="","",ROUND(VLOOKUP($A74,'Presupuesto Consolidado'!$BI$12:$BN$80,6,FALSE),2)),"")</f>
        <v>2595840</v>
      </c>
      <c r="P74" s="129">
        <f>IF($A74="","",IF(O74="","",IF($K$4="Media aritmética",(O74&lt;=$B74)*($G$5/$B$5)+(O74&gt;$B74)*0,IF(AND(ROUND(AVERAGE($C74,$E74,$G74,$I74,$K74,$M74,$O74,$Q74,$S74,$U74,#REF!,#REF!,#REF!,#REF!,#REF!),2)-$B74/2&lt;=O74,(ROUND(AVERAGE($C74,$E74,$G74,$I74,$K74,$M74,$O74,$Q74,$S74,$U74,#REF!,#REF!,#REF!,#REF!,#REF!),2)+$B74/2&gt;=O74)),($G$5/$B$5),0))))</f>
        <v>1.8604651162790697</v>
      </c>
      <c r="Q74" s="128">
        <f>IF($Q$8="Habilitado",IF($A74="","",ROUND(VLOOKUP($A74,'Presupuesto Consolidado'!$BS$12:$BX$80,6,FALSE),2)),"")</f>
        <v>2433600</v>
      </c>
      <c r="R74" s="129">
        <f>IF($A74="","",IF(Q74="","",IF($K$4="Media aritmética",(Q74&lt;=$B74)*($G$5/$B$5)+(Q74&gt;$B74)*0,IF(AND(ROUND(AVERAGE($C74,$E74,$G74,$I74,$K74,$M74,$O74,$Q74,$S74,$U74,#REF!,#REF!,#REF!,#REF!,#REF!),2)-$B74/2&lt;=Q74,(ROUND(AVERAGE($C74,$E74,$G74,$I74,$K74,$M74,$O74,$Q74,$S74,$U74,#REF!,#REF!,#REF!,#REF!,#REF!),2)+$B74/2&gt;=Q74)),($G$5/$B$5),0))))</f>
        <v>1.8604651162790697</v>
      </c>
      <c r="S74" s="128">
        <f>IF($S$8="Habilitado",IF($A74="","",ROUND(VLOOKUP($A74,'Presupuesto Consolidado'!$CC$12:$CH$80,6,FALSE),2)),"")</f>
        <v>2527200</v>
      </c>
      <c r="T74" s="129">
        <f>IF($A74="","",IF(S74="","",IF($K$4="Media aritmética",(S74&lt;=$B74)*($G$5/$B$5)+(S74&gt;$B74)*0,IF(AND(ROUND(AVERAGE($C74,$E74,$G74,$I74,$K74,$M74,$O74,$Q74,$S74,$U74,#REF!,#REF!,#REF!,#REF!,#REF!),2)-$B74/2&lt;=S74,(ROUND(AVERAGE($C74,$E74,$G74,$I74,$K74,$M74,$O74,$Q74,$S74,$U74,#REF!,#REF!,#REF!,#REF!,#REF!),2)+$B74/2&gt;=S74)),($G$5/$B$5),0))))</f>
        <v>1.8604651162790697</v>
      </c>
      <c r="U74" s="128" t="str">
        <f>IF($U$8="Habilitado",IF($A74="","",ROUND(VLOOKUP($A74,'Presupuesto Consolidado'!$CM$12:$CR$80,6,FALSE),2)),"")</f>
        <v/>
      </c>
      <c r="V74" s="129" t="str">
        <f>IF($A74="","",IF(U74="","",IF($K$4="Media aritmética",(U74&lt;=$B74)*($G$5/$B$5)+(U74&gt;$B74)*0,IF(AND(ROUND(AVERAGE($C74,$E74,$G74,$I74,$K74,$M74,$O74,$Q74,$S74,$U74,#REF!,#REF!,#REF!,#REF!,#REF!),2)-$B74/2&lt;=U74,(ROUND(AVERAGE($C74,$E74,$G74,$I74,$K74,$M74,$O74,$Q74,$S74,$U74,#REF!,#REF!,#REF!,#REF!,#REF!),2)+$B74/2&gt;=U74)),($G$5/$B$5),0))))</f>
        <v/>
      </c>
    </row>
    <row r="75" spans="1:22" s="122" customFormat="1" ht="21" customHeight="1">
      <c r="A75" s="256" t="str">
        <f>+'Presupuesto Consolidado'!A77</f>
        <v>10.3</v>
      </c>
      <c r="B75" s="127">
        <f t="shared" si="9"/>
        <v>575218.75</v>
      </c>
      <c r="C75" s="128">
        <f>IF($C$8="Habilitado",IF($A75="","",ROUND(VLOOKUP($A75,'Presupuesto Consolidado'!$A$12:$F$80,6,FALSE),2)),"")</f>
        <v>512000</v>
      </c>
      <c r="D75" s="129">
        <f>IF($A75="","",IF(C75="","",IF($K$4="Media aritmética",(C75&lt;=$B75)*($G$5/$B$5)+(C75&gt;$B75)*0,IF(AND(ROUND(AVERAGE($C75,$E75,$G75,$I75,$K75,$M75,$O75,$Q75,$S75,$U75,#REF!,#REF!,#REF!,#REF!,#REF!),2)-$B75/2&lt;=C75,(ROUND(AVERAGE($C75,$E75,$G75,$I75,$K75,$M75,$O75,$Q75,$S75,$U75,#REF!,#REF!,#REF!,#REF!,#REF!),2)+$B75/2&gt;=C75)),($G$5/$B$5),0))))</f>
        <v>1.8604651162790697</v>
      </c>
      <c r="E75" s="128">
        <f>IF($E$8="Habilitado",IF($A75="","",ROUND(VLOOKUP($A75,'Presupuesto Consolidado'!$K$12:$P$80,6,FALSE),2)),"")</f>
        <v>889000</v>
      </c>
      <c r="F75" s="129">
        <f>IF($A75="","",IF(E75="","",IF($K$4="Media aritmética",(E75&lt;=$B75)*($G$5/$B$5)+(E75&gt;$B75)*0,IF(AND(ROUND(AVERAGE($C75,$E75,$G75,$I75,$K75,$M75,$O75,$Q75,$S75,$U75,#REF!,#REF!,#REF!,#REF!,#REF!),2)-$B75/2&lt;=E75,(ROUND(AVERAGE($C75,$E75,$G75,$I75,$K75,$M75,$O75,$Q75,$S75,$U75,#REF!,#REF!,#REF!,#REF!,#REF!),2)+$B75/2&gt;=E75)),($G$5/$B$5),0))))</f>
        <v>0</v>
      </c>
      <c r="G75" s="128">
        <f>IF($G$8="Habilitado",IF($A75="","",ROUND(VLOOKUP($A75,'Presupuesto Consolidado'!$U$12:$Z$80,6,FALSE),2)),"")</f>
        <v>389650</v>
      </c>
      <c r="H75" s="129">
        <f>IF($A75="","",IF(G75="","",IF($K$4="Media aritmética",(G75&lt;=$B75)*($G$5/$B$5)+(G75&gt;$B75)*0,IF(AND(ROUND(AVERAGE($C75,$E75,$G75,$I75,$K75,$M75,$O75,$Q75,$S75,$U75,#REF!,#REF!,#REF!,#REF!,#REF!),2)-$B75/2&lt;=G75,(ROUND(AVERAGE($C75,$E75,$G75,$I75,$K75,$M75,$O75,$Q75,$S75,$U75,#REF!,#REF!,#REF!,#REF!,#REF!),2)+$B75/2&gt;=G75)),($G$5/$B$5),0))))</f>
        <v>1.8604651162790697</v>
      </c>
      <c r="I75" s="128">
        <f>IF($I$8="Habilitado",IF($A75="","",ROUND(VLOOKUP($A75,'Presupuesto Consolidado'!$AE$12:$AJ$80,6,FALSE),2)),"")</f>
        <v>600000</v>
      </c>
      <c r="J75" s="129">
        <f>IF($A75="","",IF(I75="","",IF($K$4="Media aritmética",(I75&lt;=$B75)*($G$5/$B$5)+(I75&gt;$B75)*0,IF(AND(ROUND(AVERAGE($C75,$E75,$G75,$I75,$K75,$M75,$O75,$Q75,$S75,$U75,#REF!,#REF!,#REF!,#REF!,#REF!),2)-$B75/2&lt;=I75,(ROUND(AVERAGE($C75,$E75,$G75,$I75,$K75,$M75,$O75,$Q75,$S75,$U75,#REF!,#REF!,#REF!,#REF!,#REF!),2)+$B75/2&gt;=I75)),($G$5/$B$5),0))))</f>
        <v>0</v>
      </c>
      <c r="K75" s="128">
        <f>IF($K$8="Habilitado",IF($A75="","",ROUND(VLOOKUP($A75,'Presupuesto Consolidado'!$AO$12:$AT$80,6,FALSE),2)),"")</f>
        <v>589000</v>
      </c>
      <c r="L75" s="129">
        <f>IF($A75="","",IF(K75="","",IF($K$4="Media aritmética",(K75&lt;=$B75)*($G$5/$B$5)+(K75&gt;$B75)*0,IF(AND(ROUND(AVERAGE($C75,$E75,$G75,$I75,$K75,$M75,$O75,$Q75,$S75,$U75,#REF!,#REF!,#REF!,#REF!,#REF!),2)-$B75/2&lt;=K75,(ROUND(AVERAGE($C75,$E75,$G75,$I75,$K75,$M75,$O75,$Q75,$S75,$U75,#REF!,#REF!,#REF!,#REF!,#REF!),2)+$B75/2&gt;=K75)),($G$5/$B$5),0))))</f>
        <v>0</v>
      </c>
      <c r="M75" s="128" t="str">
        <f>IF($M$8="Habilitado",IF($A75="","",ROUND(VLOOKUP($A75,'Presupuesto Consolidado'!$AY$12:$BD$80,6,FALSE),2)),"")</f>
        <v/>
      </c>
      <c r="N75" s="129" t="str">
        <f>IF($A75="","",IF(M75="","",IF($K$4="Media aritmética",(M75&lt;=$B75)*($G$5/$B$5)+(M75&gt;$B75)*0,IF(AND(ROUND(AVERAGE($C75,$E75,$G75,$I75,$K75,$M75,$O75,$Q75,$S75,$U75,#REF!,#REF!,#REF!,#REF!,#REF!),2)-$B75/2&lt;=M75,(ROUND(AVERAGE($C75,$E75,$G75,$I75,$K75,$M75,$O75,$Q75,$S75,$U75,#REF!,#REF!,#REF!,#REF!,#REF!),2)+$B75/2&gt;=M75)),($G$5/$B$5),0))))</f>
        <v/>
      </c>
      <c r="O75" s="128">
        <f>IF($O$8="Habilitado",IF($A75="","",ROUND(VLOOKUP($A75,'Presupuesto Consolidado'!$BI$12:$BN$80,6,FALSE),2)),"")</f>
        <v>499800</v>
      </c>
      <c r="P75" s="129">
        <f>IF($A75="","",IF(O75="","",IF($K$4="Media aritmética",(O75&lt;=$B75)*($G$5/$B$5)+(O75&gt;$B75)*0,IF(AND(ROUND(AVERAGE($C75,$E75,$G75,$I75,$K75,$M75,$O75,$Q75,$S75,$U75,#REF!,#REF!,#REF!,#REF!,#REF!),2)-$B75/2&lt;=O75,(ROUND(AVERAGE($C75,$E75,$G75,$I75,$K75,$M75,$O75,$Q75,$S75,$U75,#REF!,#REF!,#REF!,#REF!,#REF!),2)+$B75/2&gt;=O75)),($G$5/$B$5),0))))</f>
        <v>1.8604651162790697</v>
      </c>
      <c r="Q75" s="128">
        <f>IF($Q$8="Habilitado",IF($A75="","",ROUND(VLOOKUP($A75,'Presupuesto Consolidado'!$BS$12:$BX$80,6,FALSE),2)),"")</f>
        <v>572300</v>
      </c>
      <c r="R75" s="129">
        <f>IF($A75="","",IF(Q75="","",IF($K$4="Media aritmética",(Q75&lt;=$B75)*($G$5/$B$5)+(Q75&gt;$B75)*0,IF(AND(ROUND(AVERAGE($C75,$E75,$G75,$I75,$K75,$M75,$O75,$Q75,$S75,$U75,#REF!,#REF!,#REF!,#REF!,#REF!),2)-$B75/2&lt;=Q75,(ROUND(AVERAGE($C75,$E75,$G75,$I75,$K75,$M75,$O75,$Q75,$S75,$U75,#REF!,#REF!,#REF!,#REF!,#REF!),2)+$B75/2&gt;=Q75)),($G$5/$B$5),0))))</f>
        <v>1.8604651162790697</v>
      </c>
      <c r="S75" s="128">
        <f>IF($S$8="Habilitado",IF($A75="","",ROUND(VLOOKUP($A75,'Presupuesto Consolidado'!$CC$12:$CH$80,6,FALSE),2)),"")</f>
        <v>550000</v>
      </c>
      <c r="T75" s="129">
        <f>IF($A75="","",IF(S75="","",IF($K$4="Media aritmética",(S75&lt;=$B75)*($G$5/$B$5)+(S75&gt;$B75)*0,IF(AND(ROUND(AVERAGE($C75,$E75,$G75,$I75,$K75,$M75,$O75,$Q75,$S75,$U75,#REF!,#REF!,#REF!,#REF!,#REF!),2)-$B75/2&lt;=S75,(ROUND(AVERAGE($C75,$E75,$G75,$I75,$K75,$M75,$O75,$Q75,$S75,$U75,#REF!,#REF!,#REF!,#REF!,#REF!),2)+$B75/2&gt;=S75)),($G$5/$B$5),0))))</f>
        <v>1.8604651162790697</v>
      </c>
      <c r="U75" s="128" t="str">
        <f>IF($U$8="Habilitado",IF($A75="","",ROUND(VLOOKUP($A75,'Presupuesto Consolidado'!$CM$12:$CR$80,6,FALSE),2)),"")</f>
        <v/>
      </c>
      <c r="V75" s="129" t="str">
        <f>IF($A75="","",IF(U75="","",IF($K$4="Media aritmética",(U75&lt;=$B75)*($G$5/$B$5)+(U75&gt;$B75)*0,IF(AND(ROUND(AVERAGE($C75,$E75,$G75,$I75,$K75,$M75,$O75,$Q75,$S75,$U75,#REF!,#REF!,#REF!,#REF!,#REF!),2)-$B75/2&lt;=U75,(ROUND(AVERAGE($C75,$E75,$G75,$I75,$K75,$M75,$O75,$Q75,$S75,$U75,#REF!,#REF!,#REF!,#REF!,#REF!),2)+$B75/2&gt;=U75)),($G$5/$B$5),0))))</f>
        <v/>
      </c>
    </row>
    <row r="76" spans="1:22" s="122" customFormat="1" ht="21" customHeight="1">
      <c r="A76" s="256" t="str">
        <f>+'Presupuesto Consolidado'!A78</f>
        <v>10.4</v>
      </c>
      <c r="B76" s="127">
        <f t="shared" si="9"/>
        <v>152643.75</v>
      </c>
      <c r="C76" s="128">
        <f>IF($C$8="Habilitado",IF($A76="","",ROUND(VLOOKUP($A76,'Presupuesto Consolidado'!$A$12:$F$80,6,FALSE),2)),"")</f>
        <v>168000</v>
      </c>
      <c r="D76" s="129">
        <f>IF($A76="","",IF(C76="","",IF($K$4="Media aritmética",(C76&lt;=$B76)*($G$5/$B$5)+(C76&gt;$B76)*0,IF(AND(ROUND(AVERAGE($C76,$E76,$G76,$I76,$K76,$M76,$O76,$Q76,$S76,$U76,#REF!,#REF!,#REF!,#REF!,#REF!),2)-$B76/2&lt;=C76,(ROUND(AVERAGE($C76,$E76,$G76,$I76,$K76,$M76,$O76,$Q76,$S76,$U76,#REF!,#REF!,#REF!,#REF!,#REF!),2)+$B76/2&gt;=C76)),($G$5/$B$5),0))))</f>
        <v>0</v>
      </c>
      <c r="E76" s="128">
        <f>IF($E$8="Habilitado",IF($A76="","",ROUND(VLOOKUP($A76,'Presupuesto Consolidado'!$K$12:$P$80,6,FALSE),2)),"")</f>
        <v>92000</v>
      </c>
      <c r="F76" s="129">
        <f>IF($A76="","",IF(E76="","",IF($K$4="Media aritmética",(E76&lt;=$B76)*($G$5/$B$5)+(E76&gt;$B76)*0,IF(AND(ROUND(AVERAGE($C76,$E76,$G76,$I76,$K76,$M76,$O76,$Q76,$S76,$U76,#REF!,#REF!,#REF!,#REF!,#REF!),2)-$B76/2&lt;=E76,(ROUND(AVERAGE($C76,$E76,$G76,$I76,$K76,$M76,$O76,$Q76,$S76,$U76,#REF!,#REF!,#REF!,#REF!,#REF!),2)+$B76/2&gt;=E76)),($G$5/$B$5),0))))</f>
        <v>1.8604651162790697</v>
      </c>
      <c r="G76" s="128">
        <f>IF($G$8="Habilitado",IF($A76="","",ROUND(VLOOKUP($A76,'Presupuesto Consolidado'!$U$12:$Z$80,6,FALSE),2)),"")</f>
        <v>174150</v>
      </c>
      <c r="H76" s="129">
        <f>IF($A76="","",IF(G76="","",IF($K$4="Media aritmética",(G76&lt;=$B76)*($G$5/$B$5)+(G76&gt;$B76)*0,IF(AND(ROUND(AVERAGE($C76,$E76,$G76,$I76,$K76,$M76,$O76,$Q76,$S76,$U76,#REF!,#REF!,#REF!,#REF!,#REF!),2)-$B76/2&lt;=G76,(ROUND(AVERAGE($C76,$E76,$G76,$I76,$K76,$M76,$O76,$Q76,$S76,$U76,#REF!,#REF!,#REF!,#REF!,#REF!),2)+$B76/2&gt;=G76)),($G$5/$B$5),0))))</f>
        <v>0</v>
      </c>
      <c r="I76" s="128">
        <f>IF($I$8="Habilitado",IF($A76="","",ROUND(VLOOKUP($A76,'Presupuesto Consolidado'!$AE$12:$AJ$80,6,FALSE),2)),"")</f>
        <v>160000</v>
      </c>
      <c r="J76" s="129">
        <f>IF($A76="","",IF(I76="","",IF($K$4="Media aritmética",(I76&lt;=$B76)*($G$5/$B$5)+(I76&gt;$B76)*0,IF(AND(ROUND(AVERAGE($C76,$E76,$G76,$I76,$K76,$M76,$O76,$Q76,$S76,$U76,#REF!,#REF!,#REF!,#REF!,#REF!),2)-$B76/2&lt;=I76,(ROUND(AVERAGE($C76,$E76,$G76,$I76,$K76,$M76,$O76,$Q76,$S76,$U76,#REF!,#REF!,#REF!,#REF!,#REF!),2)+$B76/2&gt;=I76)),($G$5/$B$5),0))))</f>
        <v>0</v>
      </c>
      <c r="K76" s="128">
        <f>IF($K$8="Habilitado",IF($A76="","",ROUND(VLOOKUP($A76,'Presupuesto Consolidado'!$AO$12:$AT$80,6,FALSE),2)),"")</f>
        <v>156000</v>
      </c>
      <c r="L76" s="129">
        <f>IF($A76="","",IF(K76="","",IF($K$4="Media aritmética",(K76&lt;=$B76)*($G$5/$B$5)+(K76&gt;$B76)*0,IF(AND(ROUND(AVERAGE($C76,$E76,$G76,$I76,$K76,$M76,$O76,$Q76,$S76,$U76,#REF!,#REF!,#REF!,#REF!,#REF!),2)-$B76/2&lt;=K76,(ROUND(AVERAGE($C76,$E76,$G76,$I76,$K76,$M76,$O76,$Q76,$S76,$U76,#REF!,#REF!,#REF!,#REF!,#REF!),2)+$B76/2&gt;=K76)),($G$5/$B$5),0))))</f>
        <v>0</v>
      </c>
      <c r="M76" s="128" t="str">
        <f>IF($M$8="Habilitado",IF($A76="","",ROUND(VLOOKUP($A76,'Presupuesto Consolidado'!$AY$12:$BD$80,6,FALSE),2)),"")</f>
        <v/>
      </c>
      <c r="N76" s="129" t="str">
        <f>IF($A76="","",IF(M76="","",IF($K$4="Media aritmética",(M76&lt;=$B76)*($G$5/$B$5)+(M76&gt;$B76)*0,IF(AND(ROUND(AVERAGE($C76,$E76,$G76,$I76,$K76,$M76,$O76,$Q76,$S76,$U76,#REF!,#REF!,#REF!,#REF!,#REF!),2)-$B76/2&lt;=M76,(ROUND(AVERAGE($C76,$E76,$G76,$I76,$K76,$M76,$O76,$Q76,$S76,$U76,#REF!,#REF!,#REF!,#REF!,#REF!),2)+$B76/2&gt;=M76)),($G$5/$B$5),0))))</f>
        <v/>
      </c>
      <c r="O76" s="128">
        <f>IF($O$8="Habilitado",IF($A76="","",ROUND(VLOOKUP($A76,'Presupuesto Consolidado'!$BI$12:$BN$80,6,FALSE),2)),"")</f>
        <v>151000</v>
      </c>
      <c r="P76" s="129">
        <f>IF($A76="","",IF(O76="","",IF($K$4="Media aritmética",(O76&lt;=$B76)*($G$5/$B$5)+(O76&gt;$B76)*0,IF(AND(ROUND(AVERAGE($C76,$E76,$G76,$I76,$K76,$M76,$O76,$Q76,$S76,$U76,#REF!,#REF!,#REF!,#REF!,#REF!),2)-$B76/2&lt;=O76,(ROUND(AVERAGE($C76,$E76,$G76,$I76,$K76,$M76,$O76,$Q76,$S76,$U76,#REF!,#REF!,#REF!,#REF!,#REF!),2)+$B76/2&gt;=O76)),($G$5/$B$5),0))))</f>
        <v>1.8604651162790697</v>
      </c>
      <c r="Q76" s="128">
        <f>IF($Q$8="Habilitado",IF($A76="","",ROUND(VLOOKUP($A76,'Presupuesto Consolidado'!$BS$12:$BX$80,6,FALSE),2)),"")</f>
        <v>161000</v>
      </c>
      <c r="R76" s="129">
        <f>IF($A76="","",IF(Q76="","",IF($K$4="Media aritmética",(Q76&lt;=$B76)*($G$5/$B$5)+(Q76&gt;$B76)*0,IF(AND(ROUND(AVERAGE($C76,$E76,$G76,$I76,$K76,$M76,$O76,$Q76,$S76,$U76,#REF!,#REF!,#REF!,#REF!,#REF!),2)-$B76/2&lt;=Q76,(ROUND(AVERAGE($C76,$E76,$G76,$I76,$K76,$M76,$O76,$Q76,$S76,$U76,#REF!,#REF!,#REF!,#REF!,#REF!),2)+$B76/2&gt;=Q76)),($G$5/$B$5),0))))</f>
        <v>0</v>
      </c>
      <c r="S76" s="128">
        <f>IF($S$8="Habilitado",IF($A76="","",ROUND(VLOOKUP($A76,'Presupuesto Consolidado'!$CC$12:$CH$80,6,FALSE),2)),"")</f>
        <v>159000</v>
      </c>
      <c r="T76" s="129">
        <f>IF($A76="","",IF(S76="","",IF($K$4="Media aritmética",(S76&lt;=$B76)*($G$5/$B$5)+(S76&gt;$B76)*0,IF(AND(ROUND(AVERAGE($C76,$E76,$G76,$I76,$K76,$M76,$O76,$Q76,$S76,$U76,#REF!,#REF!,#REF!,#REF!,#REF!),2)-$B76/2&lt;=S76,(ROUND(AVERAGE($C76,$E76,$G76,$I76,$K76,$M76,$O76,$Q76,$S76,$U76,#REF!,#REF!,#REF!,#REF!,#REF!),2)+$B76/2&gt;=S76)),($G$5/$B$5),0))))</f>
        <v>0</v>
      </c>
      <c r="U76" s="128" t="str">
        <f>IF($U$8="Habilitado",IF($A76="","",ROUND(VLOOKUP($A76,'Presupuesto Consolidado'!$CM$12:$CR$80,6,FALSE),2)),"")</f>
        <v/>
      </c>
      <c r="V76" s="129" t="str">
        <f>IF($A76="","",IF(U76="","",IF($K$4="Media aritmética",(U76&lt;=$B76)*($G$5/$B$5)+(U76&gt;$B76)*0,IF(AND(ROUND(AVERAGE($C76,$E76,$G76,$I76,$K76,$M76,$O76,$Q76,$S76,$U76,#REF!,#REF!,#REF!,#REF!,#REF!),2)-$B76/2&lt;=U76,(ROUND(AVERAGE($C76,$E76,$G76,$I76,$K76,$M76,$O76,$Q76,$S76,$U76,#REF!,#REF!,#REF!,#REF!,#REF!),2)+$B76/2&gt;=U76)),($G$5/$B$5),0))))</f>
        <v/>
      </c>
    </row>
    <row r="77" spans="1:22" s="122" customFormat="1" ht="21" customHeight="1">
      <c r="A77" s="256" t="str">
        <f>+'Presupuesto Consolidado'!A79</f>
        <v>10.5</v>
      </c>
      <c r="B77" s="127">
        <f t="shared" si="9"/>
        <v>33172.5</v>
      </c>
      <c r="C77" s="128">
        <f>IF($C$8="Habilitado",IF($A77="","",ROUND(VLOOKUP($A77,'Presupuesto Consolidado'!$A$12:$F$80,6,FALSE),2)),"")</f>
        <v>40000</v>
      </c>
      <c r="D77" s="129">
        <f>IF($A77="","",IF(C77="","",IF($K$4="Media aritmética",(C77&lt;=$B77)*($G$5/$B$5)+(C77&gt;$B77)*0,IF(AND(ROUND(AVERAGE($C77,$E77,$G77,$I77,$K77,$M77,$O77,$Q77,$S77,$U77,#REF!,#REF!,#REF!,#REF!,#REF!),2)-$B77/2&lt;=C77,(ROUND(AVERAGE($C77,$E77,$G77,$I77,$K77,$M77,$O77,$Q77,$S77,$U77,#REF!,#REF!,#REF!,#REF!,#REF!),2)+$B77/2&gt;=C77)),($G$5/$B$5),0))))</f>
        <v>0</v>
      </c>
      <c r="E77" s="128">
        <f>IF($E$8="Habilitado",IF($A77="","",ROUND(VLOOKUP($A77,'Presupuesto Consolidado'!$K$12:$P$80,6,FALSE),2)),"")</f>
        <v>23800</v>
      </c>
      <c r="F77" s="129">
        <f>IF($A77="","",IF(E77="","",IF($K$4="Media aritmética",(E77&lt;=$B77)*($G$5/$B$5)+(E77&gt;$B77)*0,IF(AND(ROUND(AVERAGE($C77,$E77,$G77,$I77,$K77,$M77,$O77,$Q77,$S77,$U77,#REF!,#REF!,#REF!,#REF!,#REF!),2)-$B77/2&lt;=E77,(ROUND(AVERAGE($C77,$E77,$G77,$I77,$K77,$M77,$O77,$Q77,$S77,$U77,#REF!,#REF!,#REF!,#REF!,#REF!),2)+$B77/2&gt;=E77)),($G$5/$B$5),0))))</f>
        <v>1.8604651162790697</v>
      </c>
      <c r="G77" s="128">
        <f>IF($G$8="Habilitado",IF($A77="","",ROUND(VLOOKUP($A77,'Presupuesto Consolidado'!$U$12:$Z$80,6,FALSE),2)),"")</f>
        <v>29780</v>
      </c>
      <c r="H77" s="129">
        <f>IF($A77="","",IF(G77="","",IF($K$4="Media aritmética",(G77&lt;=$B77)*($G$5/$B$5)+(G77&gt;$B77)*0,IF(AND(ROUND(AVERAGE($C77,$E77,$G77,$I77,$K77,$M77,$O77,$Q77,$S77,$U77,#REF!,#REF!,#REF!,#REF!,#REF!),2)-$B77/2&lt;=G77,(ROUND(AVERAGE($C77,$E77,$G77,$I77,$K77,$M77,$O77,$Q77,$S77,$U77,#REF!,#REF!,#REF!,#REF!,#REF!),2)+$B77/2&gt;=G77)),($G$5/$B$5),0))))</f>
        <v>1.8604651162790697</v>
      </c>
      <c r="I77" s="128">
        <f>IF($I$8="Habilitado",IF($A77="","",ROUND(VLOOKUP($A77,'Presupuesto Consolidado'!$AE$12:$AJ$80,6,FALSE),2)),"")</f>
        <v>92000</v>
      </c>
      <c r="J77" s="129">
        <f>IF($A77="","",IF(I77="","",IF($K$4="Media aritmética",(I77&lt;=$B77)*($G$5/$B$5)+(I77&gt;$B77)*0,IF(AND(ROUND(AVERAGE($C77,$E77,$G77,$I77,$K77,$M77,$O77,$Q77,$S77,$U77,#REF!,#REF!,#REF!,#REF!,#REF!),2)-$B77/2&lt;=I77,(ROUND(AVERAGE($C77,$E77,$G77,$I77,$K77,$M77,$O77,$Q77,$S77,$U77,#REF!,#REF!,#REF!,#REF!,#REF!),2)+$B77/2&gt;=I77)),($G$5/$B$5),0))))</f>
        <v>0</v>
      </c>
      <c r="K77" s="128">
        <f>IF($K$8="Habilitado",IF($A77="","",ROUND(VLOOKUP($A77,'Presupuesto Consolidado'!$AO$12:$AT$80,6,FALSE),2)),"")</f>
        <v>19600</v>
      </c>
      <c r="L77" s="129">
        <f>IF($A77="","",IF(K77="","",IF($K$4="Media aritmética",(K77&lt;=$B77)*($G$5/$B$5)+(K77&gt;$B77)*0,IF(AND(ROUND(AVERAGE($C77,$E77,$G77,$I77,$K77,$M77,$O77,$Q77,$S77,$U77,#REF!,#REF!,#REF!,#REF!,#REF!),2)-$B77/2&lt;=K77,(ROUND(AVERAGE($C77,$E77,$G77,$I77,$K77,$M77,$O77,$Q77,$S77,$U77,#REF!,#REF!,#REF!,#REF!,#REF!),2)+$B77/2&gt;=K77)),($G$5/$B$5),0))))</f>
        <v>1.8604651162790697</v>
      </c>
      <c r="M77" s="128" t="str">
        <f>IF($M$8="Habilitado",IF($A77="","",ROUND(VLOOKUP($A77,'Presupuesto Consolidado'!$AY$12:$BD$80,6,FALSE),2)),"")</f>
        <v/>
      </c>
      <c r="N77" s="129" t="str">
        <f>IF($A77="","",IF(M77="","",IF($K$4="Media aritmética",(M77&lt;=$B77)*($G$5/$B$5)+(M77&gt;$B77)*0,IF(AND(ROUND(AVERAGE($C77,$E77,$G77,$I77,$K77,$M77,$O77,$Q77,$S77,$U77,#REF!,#REF!,#REF!,#REF!,#REF!),2)-$B77/2&lt;=M77,(ROUND(AVERAGE($C77,$E77,$G77,$I77,$K77,$M77,$O77,$Q77,$S77,$U77,#REF!,#REF!,#REF!,#REF!,#REF!),2)+$B77/2&gt;=M77)),($G$5/$B$5),0))))</f>
        <v/>
      </c>
      <c r="O77" s="128">
        <f>IF($O$8="Habilitado",IF($A77="","",ROUND(VLOOKUP($A77,'Presupuesto Consolidado'!$BI$12:$BN$80,6,FALSE),2)),"")</f>
        <v>20400</v>
      </c>
      <c r="P77" s="129">
        <f>IF($A77="","",IF(O77="","",IF($K$4="Media aritmética",(O77&lt;=$B77)*($G$5/$B$5)+(O77&gt;$B77)*0,IF(AND(ROUND(AVERAGE($C77,$E77,$G77,$I77,$K77,$M77,$O77,$Q77,$S77,$U77,#REF!,#REF!,#REF!,#REF!,#REF!),2)-$B77/2&lt;=O77,(ROUND(AVERAGE($C77,$E77,$G77,$I77,$K77,$M77,$O77,$Q77,$S77,$U77,#REF!,#REF!,#REF!,#REF!,#REF!),2)+$B77/2&gt;=O77)),($G$5/$B$5),0))))</f>
        <v>1.8604651162790697</v>
      </c>
      <c r="Q77" s="128">
        <f>IF($Q$8="Habilitado",IF($A77="","",ROUND(VLOOKUP($A77,'Presupuesto Consolidado'!$BS$12:$BX$80,6,FALSE),2)),"")</f>
        <v>20200</v>
      </c>
      <c r="R77" s="129">
        <f>IF($A77="","",IF(Q77="","",IF($K$4="Media aritmética",(Q77&lt;=$B77)*($G$5/$B$5)+(Q77&gt;$B77)*0,IF(AND(ROUND(AVERAGE($C77,$E77,$G77,$I77,$K77,$M77,$O77,$Q77,$S77,$U77,#REF!,#REF!,#REF!,#REF!,#REF!),2)-$B77/2&lt;=Q77,(ROUND(AVERAGE($C77,$E77,$G77,$I77,$K77,$M77,$O77,$Q77,$S77,$U77,#REF!,#REF!,#REF!,#REF!,#REF!),2)+$B77/2&gt;=Q77)),($G$5/$B$5),0))))</f>
        <v>1.8604651162790697</v>
      </c>
      <c r="S77" s="128">
        <f>IF($S$8="Habilitado",IF($A77="","",ROUND(VLOOKUP($A77,'Presupuesto Consolidado'!$CC$12:$CH$80,6,FALSE),2)),"")</f>
        <v>19600</v>
      </c>
      <c r="T77" s="129">
        <f>IF($A77="","",IF(S77="","",IF($K$4="Media aritmética",(S77&lt;=$B77)*($G$5/$B$5)+(S77&gt;$B77)*0,IF(AND(ROUND(AVERAGE($C77,$E77,$G77,$I77,$K77,$M77,$O77,$Q77,$S77,$U77,#REF!,#REF!,#REF!,#REF!,#REF!),2)-$B77/2&lt;=S77,(ROUND(AVERAGE($C77,$E77,$G77,$I77,$K77,$M77,$O77,$Q77,$S77,$U77,#REF!,#REF!,#REF!,#REF!,#REF!),2)+$B77/2&gt;=S77)),($G$5/$B$5),0))))</f>
        <v>1.8604651162790697</v>
      </c>
      <c r="U77" s="128" t="str">
        <f>IF($U$8="Habilitado",IF($A77="","",ROUND(VLOOKUP($A77,'Presupuesto Consolidado'!$CM$12:$CR$80,6,FALSE),2)),"")</f>
        <v/>
      </c>
      <c r="V77" s="129" t="str">
        <f>IF($A77="","",IF(U77="","",IF($K$4="Media aritmética",(U77&lt;=$B77)*($G$5/$B$5)+(U77&gt;$B77)*0,IF(AND(ROUND(AVERAGE($C77,$E77,$G77,$I77,$K77,$M77,$O77,$Q77,$S77,$U77,#REF!,#REF!,#REF!,#REF!,#REF!),2)-$B77/2&lt;=U77,(ROUND(AVERAGE($C77,$E77,$G77,$I77,$K77,$M77,$O77,$Q77,$S77,$U77,#REF!,#REF!,#REF!,#REF!,#REF!),2)+$B77/2&gt;=U77)),($G$5/$B$5),0))))</f>
        <v/>
      </c>
    </row>
    <row r="78" spans="1:22" s="122" customFormat="1" ht="21" customHeight="1">
      <c r="A78" s="256" t="str">
        <f>+'Presupuesto Consolidado'!A80</f>
        <v>10.6</v>
      </c>
      <c r="B78" s="127">
        <f t="shared" si="9"/>
        <v>316177.5</v>
      </c>
      <c r="C78" s="128">
        <f>IF($C$8="Habilitado",IF($A78="","",ROUND(VLOOKUP($A78,'Presupuesto Consolidado'!$A$12:$F$80,6,FALSE),2)),"")</f>
        <v>279000</v>
      </c>
      <c r="D78" s="129">
        <f>IF($A78="","",IF(C78="","",IF($K$4="Media aritmética",(C78&lt;=$B78)*($G$5/$B$5)+(C78&gt;$B78)*0,IF(AND(ROUND(AVERAGE($C78,$E78,$G78,$I78,$K78,$M78,$O78,$Q78,$S78,$U78,#REF!,#REF!,#REF!,#REF!,#REF!),2)-$B78/2&lt;=C78,(ROUND(AVERAGE($C78,$E78,$G78,$I78,$K78,$M78,$O78,$Q78,$S78,$U78,#REF!,#REF!,#REF!,#REF!,#REF!),2)+$B78/2&gt;=C78)),($G$5/$B$5),0))))</f>
        <v>1.8604651162790697</v>
      </c>
      <c r="E78" s="128">
        <f>IF($E$8="Habilitado",IF($A78="","",ROUND(VLOOKUP($A78,'Presupuesto Consolidado'!$K$12:$P$80,6,FALSE),2)),"")</f>
        <v>190800</v>
      </c>
      <c r="F78" s="129">
        <f>IF($A78="","",IF(E78="","",IF($K$4="Media aritmética",(E78&lt;=$B78)*($G$5/$B$5)+(E78&gt;$B78)*0,IF(AND(ROUND(AVERAGE($C78,$E78,$G78,$I78,$K78,$M78,$O78,$Q78,$S78,$U78,#REF!,#REF!,#REF!,#REF!,#REF!),2)-$B78/2&lt;=E78,(ROUND(AVERAGE($C78,$E78,$G78,$I78,$K78,$M78,$O78,$Q78,$S78,$U78,#REF!,#REF!,#REF!,#REF!,#REF!),2)+$B78/2&gt;=E78)),($G$5/$B$5),0))))</f>
        <v>1.8604651162790697</v>
      </c>
      <c r="G78" s="128">
        <f>IF($G$8="Habilitado",IF($A78="","",ROUND(VLOOKUP($A78,'Presupuesto Consolidado'!$U$12:$Z$80,6,FALSE),2)),"")</f>
        <v>459900</v>
      </c>
      <c r="H78" s="129">
        <f>IF($A78="","",IF(G78="","",IF($K$4="Media aritmética",(G78&lt;=$B78)*($G$5/$B$5)+(G78&gt;$B78)*0,IF(AND(ROUND(AVERAGE($C78,$E78,$G78,$I78,$K78,$M78,$O78,$Q78,$S78,$U78,#REF!,#REF!,#REF!,#REF!,#REF!),2)-$B78/2&lt;=G78,(ROUND(AVERAGE($C78,$E78,$G78,$I78,$K78,$M78,$O78,$Q78,$S78,$U78,#REF!,#REF!,#REF!,#REF!,#REF!),2)+$B78/2&gt;=G78)),($G$5/$B$5),0))))</f>
        <v>0</v>
      </c>
      <c r="I78" s="128">
        <f>IF($I$8="Habilitado",IF($A78="","",ROUND(VLOOKUP($A78,'Presupuesto Consolidado'!$AE$12:$AJ$80,6,FALSE),2)),"")</f>
        <v>360000</v>
      </c>
      <c r="J78" s="129">
        <f>IF($A78="","",IF(I78="","",IF($K$4="Media aritmética",(I78&lt;=$B78)*($G$5/$B$5)+(I78&gt;$B78)*0,IF(AND(ROUND(AVERAGE($C78,$E78,$G78,$I78,$K78,$M78,$O78,$Q78,$S78,$U78,#REF!,#REF!,#REF!,#REF!,#REF!),2)-$B78/2&lt;=I78,(ROUND(AVERAGE($C78,$E78,$G78,$I78,$K78,$M78,$O78,$Q78,$S78,$U78,#REF!,#REF!,#REF!,#REF!,#REF!),2)+$B78/2&gt;=I78)),($G$5/$B$5),0))))</f>
        <v>0</v>
      </c>
      <c r="K78" s="128">
        <f>IF($K$8="Habilitado",IF($A78="","",ROUND(VLOOKUP($A78,'Presupuesto Consolidado'!$AO$12:$AT$80,6,FALSE),2)),"")</f>
        <v>325800</v>
      </c>
      <c r="L78" s="129">
        <f>IF($A78="","",IF(K78="","",IF($K$4="Media aritmética",(K78&lt;=$B78)*($G$5/$B$5)+(K78&gt;$B78)*0,IF(AND(ROUND(AVERAGE($C78,$E78,$G78,$I78,$K78,$M78,$O78,$Q78,$S78,$U78,#REF!,#REF!,#REF!,#REF!,#REF!),2)-$B78/2&lt;=K78,(ROUND(AVERAGE($C78,$E78,$G78,$I78,$K78,$M78,$O78,$Q78,$S78,$U78,#REF!,#REF!,#REF!,#REF!,#REF!),2)+$B78/2&gt;=K78)),($G$5/$B$5),0))))</f>
        <v>0</v>
      </c>
      <c r="M78" s="128" t="str">
        <f>IF($M$8="Habilitado",IF($A78="","",ROUND(VLOOKUP($A78,'Presupuesto Consolidado'!$AY$12:$BD$80,6,FALSE),2)),"")</f>
        <v/>
      </c>
      <c r="N78" s="129" t="str">
        <f>IF($A78="","",IF(M78="","",IF($K$4="Media aritmética",(M78&lt;=$B78)*($G$5/$B$5)+(M78&gt;$B78)*0,IF(AND(ROUND(AVERAGE($C78,$E78,$G78,$I78,$K78,$M78,$O78,$Q78,$S78,$U78,#REF!,#REF!,#REF!,#REF!,#REF!),2)-$B78/2&lt;=M78,(ROUND(AVERAGE($C78,$E78,$G78,$I78,$K78,$M78,$O78,$Q78,$S78,$U78,#REF!,#REF!,#REF!,#REF!,#REF!),2)+$B78/2&gt;=M78)),($G$5/$B$5),0))))</f>
        <v/>
      </c>
      <c r="O78" s="128">
        <f>IF($O$8="Habilitado",IF($A78="","",ROUND(VLOOKUP($A78,'Presupuesto Consolidado'!$BI$12:$BN$80,6,FALSE),2)),"")</f>
        <v>301920</v>
      </c>
      <c r="P78" s="129">
        <f>IF($A78="","",IF(O78="","",IF($K$4="Media aritmética",(O78&lt;=$B78)*($G$5/$B$5)+(O78&gt;$B78)*0,IF(AND(ROUND(AVERAGE($C78,$E78,$G78,$I78,$K78,$M78,$O78,$Q78,$S78,$U78,#REF!,#REF!,#REF!,#REF!,#REF!),2)-$B78/2&lt;=O78,(ROUND(AVERAGE($C78,$E78,$G78,$I78,$K78,$M78,$O78,$Q78,$S78,$U78,#REF!,#REF!,#REF!,#REF!,#REF!),2)+$B78/2&gt;=O78)),($G$5/$B$5),0))))</f>
        <v>1.8604651162790697</v>
      </c>
      <c r="Q78" s="128">
        <f>IF($Q$8="Habilitado",IF($A78="","",ROUND(VLOOKUP($A78,'Presupuesto Consolidado'!$BS$12:$BX$80,6,FALSE),2)),"")</f>
        <v>312600</v>
      </c>
      <c r="R78" s="129">
        <f>IF($A78="","",IF(Q78="","",IF($K$4="Media aritmética",(Q78&lt;=$B78)*($G$5/$B$5)+(Q78&gt;$B78)*0,IF(AND(ROUND(AVERAGE($C78,$E78,$G78,$I78,$K78,$M78,$O78,$Q78,$S78,$U78,#REF!,#REF!,#REF!,#REF!,#REF!),2)-$B78/2&lt;=Q78,(ROUND(AVERAGE($C78,$E78,$G78,$I78,$K78,$M78,$O78,$Q78,$S78,$U78,#REF!,#REF!,#REF!,#REF!,#REF!),2)+$B78/2&gt;=Q78)),($G$5/$B$5),0))))</f>
        <v>1.8604651162790697</v>
      </c>
      <c r="S78" s="128">
        <f>IF($S$8="Habilitado",IF($A78="","",ROUND(VLOOKUP($A78,'Presupuesto Consolidado'!$CC$12:$CH$80,6,FALSE),2)),"")</f>
        <v>299400</v>
      </c>
      <c r="T78" s="129">
        <f>IF($A78="","",IF(S78="","",IF($K$4="Media aritmética",(S78&lt;=$B78)*($G$5/$B$5)+(S78&gt;$B78)*0,IF(AND(ROUND(AVERAGE($C78,$E78,$G78,$I78,$K78,$M78,$O78,$Q78,$S78,$U78,#REF!,#REF!,#REF!,#REF!,#REF!),2)-$B78/2&lt;=S78,(ROUND(AVERAGE($C78,$E78,$G78,$I78,$K78,$M78,$O78,$Q78,$S78,$U78,#REF!,#REF!,#REF!,#REF!,#REF!),2)+$B78/2&gt;=S78)),($G$5/$B$5),0))))</f>
        <v>1.8604651162790697</v>
      </c>
      <c r="U78" s="128" t="str">
        <f>IF($U$8="Habilitado",IF($A78="","",ROUND(VLOOKUP($A78,'Presupuesto Consolidado'!$CM$12:$CR$80,6,FALSE),2)),"")</f>
        <v/>
      </c>
      <c r="V78" s="129" t="str">
        <f>IF($A78="","",IF(U78="","",IF($K$4="Media aritmética",(U78&lt;=$B78)*($G$5/$B$5)+(U78&gt;$B78)*0,IF(AND(ROUND(AVERAGE($C78,$E78,$G78,$I78,$K78,$M78,$O78,$Q78,$S78,$U78,#REF!,#REF!,#REF!,#REF!,#REF!),2)-$B78/2&lt;=U78,(ROUND(AVERAGE($C78,$E78,$G78,$I78,$K78,$M78,$O78,$Q78,$S78,$U78,#REF!,#REF!,#REF!,#REF!,#REF!),2)+$B78/2&gt;=U78)),($G$5/$B$5),0))))</f>
        <v/>
      </c>
    </row>
    <row r="79" spans="1:22" s="122" customFormat="1" ht="21" customHeight="1">
      <c r="A79" s="256"/>
      <c r="B79" s="127" t="str">
        <f t="shared" si="9"/>
        <v/>
      </c>
      <c r="C79" s="128" t="str">
        <f>IF($C$8="Habilitado",IF($A79="","",ROUND(VLOOKUP($A79,'Presupuesto Consolidado'!$A$12:$F$80,6,FALSE),2)),"")</f>
        <v/>
      </c>
      <c r="D79" s="129" t="str">
        <f>IF($A79="","",IF(C79="","",IF($K$4="Media aritmética",(C79&lt;=$B79)*($G$5/$B$5)+(C79&gt;$B79)*0,IF(AND(ROUND(AVERAGE($C79,$E79,$G79,$I79,$K79,$M79,$O79,$Q79,$S79,$U79,#REF!,#REF!,#REF!,#REF!,#REF!),2)-$B79/2&lt;=C79,(ROUND(AVERAGE($C79,$E79,$G79,$I79,$K79,$M79,$O79,$Q79,$S79,$U79,#REF!,#REF!,#REF!,#REF!,#REF!),2)+$B79/2&gt;=C79)),($G$5/$B$5),0))))</f>
        <v/>
      </c>
      <c r="E79" s="128" t="str">
        <f>IF($E$8="Habilitado",IF($A79="","",ROUND(VLOOKUP($A79,'Presupuesto Consolidado'!$K$12:$P$80,6,FALSE),2)),"")</f>
        <v/>
      </c>
      <c r="F79" s="129" t="str">
        <f>IF($A79="","",IF(E79="","",IF($K$4="Media aritmética",(E79&lt;=$B79)*($G$5/$B$5)+(E79&gt;$B79)*0,IF(AND(ROUND(AVERAGE($C79,$E79,$G79,$I79,$K79,$M79,$O79,$Q79,$S79,$U79,#REF!,#REF!,#REF!,#REF!,#REF!),2)-$B79/2&lt;=E79,(ROUND(AVERAGE($C79,$E79,$G79,$I79,$K79,$M79,$O79,$Q79,$S79,$U79,#REF!,#REF!,#REF!,#REF!,#REF!),2)+$B79/2&gt;=E79)),($G$5/$B$5),0))))</f>
        <v/>
      </c>
      <c r="G79" s="128" t="str">
        <f>IF($G$8="Habilitado",IF($A79="","",ROUND(VLOOKUP($A79,'Presupuesto Consolidado'!$U$12:$Z$80,6,FALSE),2)),"")</f>
        <v/>
      </c>
      <c r="H79" s="129" t="str">
        <f>IF($A79="","",IF(G79="","",IF($K$4="Media aritmética",(G79&lt;=$B79)*($G$5/$B$5)+(G79&gt;$B79)*0,IF(AND(ROUND(AVERAGE($C79,$E79,$G79,$I79,$K79,$M79,$O79,$Q79,$S79,$U79,#REF!,#REF!,#REF!,#REF!,#REF!),2)-$B79/2&lt;=G79,(ROUND(AVERAGE($C79,$E79,$G79,$I79,$K79,$M79,$O79,$Q79,$S79,$U79,#REF!,#REF!,#REF!,#REF!,#REF!),2)+$B79/2&gt;=G79)),($G$5/$B$5),0))))</f>
        <v/>
      </c>
      <c r="I79" s="128" t="str">
        <f>IF($I$8="Habilitado",IF($A79="","",ROUND(VLOOKUP($A79,'Presupuesto Consolidado'!$AE$12:$AJ$80,6,FALSE),2)),"")</f>
        <v/>
      </c>
      <c r="J79" s="129" t="str">
        <f>IF($A79="","",IF(I79="","",IF($K$4="Media aritmética",(I79&lt;=$B79)*($G$5/$B$5)+(I79&gt;$B79)*0,IF(AND(ROUND(AVERAGE($C79,$E79,$G79,$I79,$K79,$M79,$O79,$Q79,$S79,$U79,#REF!,#REF!,#REF!,#REF!,#REF!),2)-$B79/2&lt;=I79,(ROUND(AVERAGE($C79,$E79,$G79,$I79,$K79,$M79,$O79,$Q79,$S79,$U79,#REF!,#REF!,#REF!,#REF!,#REF!),2)+$B79/2&gt;=I79)),($G$5/$B$5),0))))</f>
        <v/>
      </c>
      <c r="K79" s="128" t="str">
        <f>IF($K$8="Habilitado",IF($A79="","",ROUND(VLOOKUP($A79,'Presupuesto Consolidado'!$AO$12:$AT$80,6,FALSE),2)),"")</f>
        <v/>
      </c>
      <c r="L79" s="129" t="str">
        <f>IF($A79="","",IF(K79="","",IF($K$4="Media aritmética",(K79&lt;=$B79)*($G$5/$B$5)+(K79&gt;$B79)*0,IF(AND(ROUND(AVERAGE($C79,$E79,$G79,$I79,$K79,$M79,$O79,$Q79,$S79,$U79,#REF!,#REF!,#REF!,#REF!,#REF!),2)-$B79/2&lt;=K79,(ROUND(AVERAGE($C79,$E79,$G79,$I79,$K79,$M79,$O79,$Q79,$S79,$U79,#REF!,#REF!,#REF!,#REF!,#REF!),2)+$B79/2&gt;=K79)),($G$5/$B$5),0))))</f>
        <v/>
      </c>
      <c r="M79" s="128" t="str">
        <f>IF($M$8="Habilitado",IF($A79="","",ROUND(VLOOKUP($A79,'Presupuesto Consolidado'!$AY$12:$BD$80,6,FALSE),2)),"")</f>
        <v/>
      </c>
      <c r="N79" s="129" t="str">
        <f>IF($A79="","",IF(M79="","",IF($K$4="Media aritmética",(M79&lt;=$B79)*($G$5/$B$5)+(M79&gt;$B79)*0,IF(AND(ROUND(AVERAGE($C79,$E79,$G79,$I79,$K79,$M79,$O79,$Q79,$S79,$U79,#REF!,#REF!,#REF!,#REF!,#REF!),2)-$B79/2&lt;=M79,(ROUND(AVERAGE($C79,$E79,$G79,$I79,$K79,$M79,$O79,$Q79,$S79,$U79,#REF!,#REF!,#REF!,#REF!,#REF!),2)+$B79/2&gt;=M79)),($G$5/$B$5),0))))</f>
        <v/>
      </c>
      <c r="O79" s="128" t="str">
        <f>IF($O$8="Habilitado",IF($A79="","",ROUND(VLOOKUP($A79,'Presupuesto Consolidado'!$BI$12:$BN$80,6,FALSE),2)),"")</f>
        <v/>
      </c>
      <c r="P79" s="129" t="str">
        <f>IF($A79="","",IF(O79="","",IF($K$4="Media aritmética",(O79&lt;=$B79)*($G$5/$B$5)+(O79&gt;$B79)*0,IF(AND(ROUND(AVERAGE($C79,$E79,$G79,$I79,$K79,$M79,$O79,$Q79,$S79,$U79,#REF!,#REF!,#REF!,#REF!,#REF!),2)-$B79/2&lt;=O79,(ROUND(AVERAGE($C79,$E79,$G79,$I79,$K79,$M79,$O79,$Q79,$S79,$U79,#REF!,#REF!,#REF!,#REF!,#REF!),2)+$B79/2&gt;=O79)),($G$5/$B$5),0))))</f>
        <v/>
      </c>
      <c r="Q79" s="128" t="str">
        <f>IF($Q$8="Habilitado",IF($A79="","",ROUND(VLOOKUP($A79,'Presupuesto Consolidado'!$BS$12:$BX$80,6,FALSE),2)),"")</f>
        <v/>
      </c>
      <c r="R79" s="129" t="str">
        <f>IF($A79="","",IF(Q79="","",IF($K$4="Media aritmética",(Q79&lt;=$B79)*($G$5/$B$5)+(Q79&gt;$B79)*0,IF(AND(ROUND(AVERAGE($C79,$E79,$G79,$I79,$K79,$M79,$O79,$Q79,$S79,$U79,#REF!,#REF!,#REF!,#REF!,#REF!),2)-$B79/2&lt;=Q79,(ROUND(AVERAGE($C79,$E79,$G79,$I79,$K79,$M79,$O79,$Q79,$S79,$U79,#REF!,#REF!,#REF!,#REF!,#REF!),2)+$B79/2&gt;=Q79)),($G$5/$B$5),0))))</f>
        <v/>
      </c>
      <c r="S79" s="128" t="str">
        <f>IF($S$8="Habilitado",IF($A79="","",ROUND(VLOOKUP($A79,'Presupuesto Consolidado'!$CC$12:$CH$80,6,FALSE),2)),"")</f>
        <v/>
      </c>
      <c r="T79" s="129" t="str">
        <f>IF($A79="","",IF(S79="","",IF($K$4="Media aritmética",(S79&lt;=$B79)*($G$5/$B$5)+(S79&gt;$B79)*0,IF(AND(ROUND(AVERAGE($C79,$E79,$G79,$I79,$K79,$M79,$O79,$Q79,$S79,$U79,#REF!,#REF!,#REF!,#REF!,#REF!),2)-$B79/2&lt;=S79,(ROUND(AVERAGE($C79,$E79,$G79,$I79,$K79,$M79,$O79,$Q79,$S79,$U79,#REF!,#REF!,#REF!,#REF!,#REF!),2)+$B79/2&gt;=S79)),($G$5/$B$5),0))))</f>
        <v/>
      </c>
      <c r="U79" s="128" t="str">
        <f>IF($U$8="Habilitado",IF($A79="","",ROUND(VLOOKUP($A79,'Presupuesto Consolidado'!$CM$12:$CR$80,6,FALSE),2)),"")</f>
        <v/>
      </c>
      <c r="V79" s="129" t="str">
        <f>IF($A79="","",IF(U79="","",IF($K$4="Media aritmética",(U79&lt;=$B79)*($G$5/$B$5)+(U79&gt;$B79)*0,IF(AND(ROUND(AVERAGE($C79,$E79,$G79,$I79,$K79,$M79,$O79,$Q79,$S79,$U79,#REF!,#REF!,#REF!,#REF!,#REF!),2)-$B79/2&lt;=U79,(ROUND(AVERAGE($C79,$E79,$G79,$I79,$K79,$M79,$O79,$Q79,$S79,$U79,#REF!,#REF!,#REF!,#REF!,#REF!),2)+$B79/2&gt;=U79)),($G$5/$B$5),0))))</f>
        <v/>
      </c>
    </row>
    <row r="80" spans="1:22" s="122" customFormat="1" ht="21" customHeight="1">
      <c r="A80" s="256"/>
      <c r="B80" s="127" t="str">
        <f t="shared" si="9"/>
        <v/>
      </c>
      <c r="C80" s="128" t="str">
        <f>IF($C$8="Habilitado",IF($A80="","",ROUND(VLOOKUP($A80,'Presupuesto Consolidado'!$A$12:$F$80,6,FALSE),2)),"")</f>
        <v/>
      </c>
      <c r="D80" s="129" t="str">
        <f>IF($A80="","",IF(C80="","",IF($K$4="Media aritmética",(C80&lt;=$B80)*($G$5/$B$5)+(C80&gt;$B80)*0,IF(AND(ROUND(AVERAGE($C80,$E80,$G80,$I80,$K80,$M80,$O80,$Q80,$S80,$U80,#REF!,#REF!,#REF!,#REF!,#REF!),2)-$B80/2&lt;=C80,(ROUND(AVERAGE($C80,$E80,$G80,$I80,$K80,$M80,$O80,$Q80,$S80,$U80,#REF!,#REF!,#REF!,#REF!,#REF!),2)+$B80/2&gt;=C80)),($G$5/$B$5),0))))</f>
        <v/>
      </c>
      <c r="E80" s="128" t="str">
        <f>IF($E$8="Habilitado",IF($A80="","",ROUND(VLOOKUP($A80,'Presupuesto Consolidado'!$K$12:$P$80,6,FALSE),2)),"")</f>
        <v/>
      </c>
      <c r="F80" s="129" t="str">
        <f>IF($A80="","",IF(E80="","",IF($K$4="Media aritmética",(E80&lt;=$B80)*($G$5/$B$5)+(E80&gt;$B80)*0,IF(AND(ROUND(AVERAGE($C80,$E80,$G80,$I80,$K80,$M80,$O80,$Q80,$S80,$U80,#REF!,#REF!,#REF!,#REF!,#REF!),2)-$B80/2&lt;=E80,(ROUND(AVERAGE($C80,$E80,$G80,$I80,$K80,$M80,$O80,$Q80,$S80,$U80,#REF!,#REF!,#REF!,#REF!,#REF!),2)+$B80/2&gt;=E80)),($G$5/$B$5),0))))</f>
        <v/>
      </c>
      <c r="G80" s="128" t="str">
        <f>IF($G$8="Habilitado",IF($A80="","",ROUND(VLOOKUP($A80,'Presupuesto Consolidado'!$U$12:$Z$80,6,FALSE),2)),"")</f>
        <v/>
      </c>
      <c r="H80" s="129" t="str">
        <f>IF($A80="","",IF(G80="","",IF($K$4="Media aritmética",(G80&lt;=$B80)*($G$5/$B$5)+(G80&gt;$B80)*0,IF(AND(ROUND(AVERAGE($C80,$E80,$G80,$I80,$K80,$M80,$O80,$Q80,$S80,$U80,#REF!,#REF!,#REF!,#REF!,#REF!),2)-$B80/2&lt;=G80,(ROUND(AVERAGE($C80,$E80,$G80,$I80,$K80,$M80,$O80,$Q80,$S80,$U80,#REF!,#REF!,#REF!,#REF!,#REF!),2)+$B80/2&gt;=G80)),($G$5/$B$5),0))))</f>
        <v/>
      </c>
      <c r="I80" s="128" t="str">
        <f>IF($I$8="Habilitado",IF($A80="","",ROUND(VLOOKUP($A80,'Presupuesto Consolidado'!$AE$12:$AJ$80,6,FALSE),2)),"")</f>
        <v/>
      </c>
      <c r="J80" s="129" t="str">
        <f>IF($A80="","",IF(I80="","",IF($K$4="Media aritmética",(I80&lt;=$B80)*($G$5/$B$5)+(I80&gt;$B80)*0,IF(AND(ROUND(AVERAGE($C80,$E80,$G80,$I80,$K80,$M80,$O80,$Q80,$S80,$U80,#REF!,#REF!,#REF!,#REF!,#REF!),2)-$B80/2&lt;=I80,(ROUND(AVERAGE($C80,$E80,$G80,$I80,$K80,$M80,$O80,$Q80,$S80,$U80,#REF!,#REF!,#REF!,#REF!,#REF!),2)+$B80/2&gt;=I80)),($G$5/$B$5),0))))</f>
        <v/>
      </c>
      <c r="K80" s="128" t="str">
        <f>IF($K$8="Habilitado",IF($A80="","",ROUND(VLOOKUP($A80,'Presupuesto Consolidado'!$AO$12:$AT$80,6,FALSE),2)),"")</f>
        <v/>
      </c>
      <c r="L80" s="129" t="str">
        <f>IF($A80="","",IF(K80="","",IF($K$4="Media aritmética",(K80&lt;=$B80)*($G$5/$B$5)+(K80&gt;$B80)*0,IF(AND(ROUND(AVERAGE($C80,$E80,$G80,$I80,$K80,$M80,$O80,$Q80,$S80,$U80,#REF!,#REF!,#REF!,#REF!,#REF!),2)-$B80/2&lt;=K80,(ROUND(AVERAGE($C80,$E80,$G80,$I80,$K80,$M80,$O80,$Q80,$S80,$U80,#REF!,#REF!,#REF!,#REF!,#REF!),2)+$B80/2&gt;=K80)),($G$5/$B$5),0))))</f>
        <v/>
      </c>
      <c r="M80" s="128" t="str">
        <f>IF($M$8="Habilitado",IF($A80="","",ROUND(VLOOKUP($A80,'Presupuesto Consolidado'!$AY$12:$BD$80,6,FALSE),2)),"")</f>
        <v/>
      </c>
      <c r="N80" s="129" t="str">
        <f>IF($A80="","",IF(M80="","",IF($K$4="Media aritmética",(M80&lt;=$B80)*($G$5/$B$5)+(M80&gt;$B80)*0,IF(AND(ROUND(AVERAGE($C80,$E80,$G80,$I80,$K80,$M80,$O80,$Q80,$S80,$U80,#REF!,#REF!,#REF!,#REF!,#REF!),2)-$B80/2&lt;=M80,(ROUND(AVERAGE($C80,$E80,$G80,$I80,$K80,$M80,$O80,$Q80,$S80,$U80,#REF!,#REF!,#REF!,#REF!,#REF!),2)+$B80/2&gt;=M80)),($G$5/$B$5),0))))</f>
        <v/>
      </c>
      <c r="O80" s="128" t="str">
        <f>IF($O$8="Habilitado",IF($A80="","",ROUND(VLOOKUP($A80,'Presupuesto Consolidado'!$BI$12:$BN$80,6,FALSE),2)),"")</f>
        <v/>
      </c>
      <c r="P80" s="129" t="str">
        <f>IF($A80="","",IF(O80="","",IF($K$4="Media aritmética",(O80&lt;=$B80)*($G$5/$B$5)+(O80&gt;$B80)*0,IF(AND(ROUND(AVERAGE($C80,$E80,$G80,$I80,$K80,$M80,$O80,$Q80,$S80,$U80,#REF!,#REF!,#REF!,#REF!,#REF!),2)-$B80/2&lt;=O80,(ROUND(AVERAGE($C80,$E80,$G80,$I80,$K80,$M80,$O80,$Q80,$S80,$U80,#REF!,#REF!,#REF!,#REF!,#REF!),2)+$B80/2&gt;=O80)),($G$5/$B$5),0))))</f>
        <v/>
      </c>
      <c r="Q80" s="128" t="str">
        <f>IF($Q$8="Habilitado",IF($A80="","",ROUND(VLOOKUP($A80,'Presupuesto Consolidado'!$BS$12:$BX$80,6,FALSE),2)),"")</f>
        <v/>
      </c>
      <c r="R80" s="129" t="str">
        <f>IF($A80="","",IF(Q80="","",IF($K$4="Media aritmética",(Q80&lt;=$B80)*($G$5/$B$5)+(Q80&gt;$B80)*0,IF(AND(ROUND(AVERAGE($C80,$E80,$G80,$I80,$K80,$M80,$O80,$Q80,$S80,$U80,#REF!,#REF!,#REF!,#REF!,#REF!),2)-$B80/2&lt;=Q80,(ROUND(AVERAGE($C80,$E80,$G80,$I80,$K80,$M80,$O80,$Q80,$S80,$U80,#REF!,#REF!,#REF!,#REF!,#REF!),2)+$B80/2&gt;=Q80)),($G$5/$B$5),0))))</f>
        <v/>
      </c>
      <c r="S80" s="128" t="str">
        <f>IF($S$8="Habilitado",IF($A80="","",ROUND(VLOOKUP($A80,'Presupuesto Consolidado'!$CC$12:$CH$80,6,FALSE),2)),"")</f>
        <v/>
      </c>
      <c r="T80" s="129" t="str">
        <f>IF($A80="","",IF(S80="","",IF($K$4="Media aritmética",(S80&lt;=$B80)*($G$5/$B$5)+(S80&gt;$B80)*0,IF(AND(ROUND(AVERAGE($C80,$E80,$G80,$I80,$K80,$M80,$O80,$Q80,$S80,$U80,#REF!,#REF!,#REF!,#REF!,#REF!),2)-$B80/2&lt;=S80,(ROUND(AVERAGE($C80,$E80,$G80,$I80,$K80,$M80,$O80,$Q80,$S80,$U80,#REF!,#REF!,#REF!,#REF!,#REF!),2)+$B80/2&gt;=S80)),($G$5/$B$5),0))))</f>
        <v/>
      </c>
      <c r="U80" s="128" t="str">
        <f>IF($U$8="Habilitado",IF($A80="","",ROUND(VLOOKUP($A80,'Presupuesto Consolidado'!$CM$12:$CR$80,6,FALSE),2)),"")</f>
        <v/>
      </c>
      <c r="V80" s="129" t="str">
        <f>IF($A80="","",IF(U80="","",IF($K$4="Media aritmética",(U80&lt;=$B80)*($G$5/$B$5)+(U80&gt;$B80)*0,IF(AND(ROUND(AVERAGE($C80,$E80,$G80,$I80,$K80,$M80,$O80,$Q80,$S80,$U80,#REF!,#REF!,#REF!,#REF!,#REF!),2)-$B80/2&lt;=U80,(ROUND(AVERAGE($C80,$E80,$G80,$I80,$K80,$M80,$O80,$Q80,$S80,$U80,#REF!,#REF!,#REF!,#REF!,#REF!),2)+$B80/2&gt;=U80)),($G$5/$B$5),0))))</f>
        <v/>
      </c>
    </row>
    <row r="81" spans="1:22" s="122" customFormat="1" ht="21" customHeight="1">
      <c r="A81" s="256"/>
      <c r="B81" s="127" t="str">
        <f t="shared" si="9"/>
        <v/>
      </c>
      <c r="C81" s="128" t="str">
        <f>IF($C$8="Habilitado",IF($A81="","",ROUND(VLOOKUP($A81,'Presupuesto Consolidado'!$A$12:$F$80,6,FALSE),2)),"")</f>
        <v/>
      </c>
      <c r="D81" s="129" t="str">
        <f>IF($A81="","",IF(C81="","",IF($K$4="Media aritmética",(C81&lt;=$B81)*($G$5/$B$5)+(C81&gt;$B81)*0,IF(AND(ROUND(AVERAGE($C81,$E81,$G81,$I81,$K81,$M81,$O81,$Q81,$S81,$U81,#REF!,#REF!,#REF!,#REF!,#REF!),2)-$B81/2&lt;=C81,(ROUND(AVERAGE($C81,$E81,$G81,$I81,$K81,$M81,$O81,$Q81,$S81,$U81,#REF!,#REF!,#REF!,#REF!,#REF!),2)+$B81/2&gt;=C81)),($G$5/$B$5),0))))</f>
        <v/>
      </c>
      <c r="E81" s="128" t="str">
        <f>IF($E$8="Habilitado",IF($A81="","",ROUND(VLOOKUP($A81,'Presupuesto Consolidado'!$K$12:$P$80,6,FALSE),2)),"")</f>
        <v/>
      </c>
      <c r="F81" s="129" t="str">
        <f>IF($A81="","",IF(E81="","",IF($K$4="Media aritmética",(E81&lt;=$B81)*($G$5/$B$5)+(E81&gt;$B81)*0,IF(AND(ROUND(AVERAGE($C81,$E81,$G81,$I81,$K81,$M81,$O81,$Q81,$S81,$U81,#REF!,#REF!,#REF!,#REF!,#REF!),2)-$B81/2&lt;=E81,(ROUND(AVERAGE($C81,$E81,$G81,$I81,$K81,$M81,$O81,$Q81,$S81,$U81,#REF!,#REF!,#REF!,#REF!,#REF!),2)+$B81/2&gt;=E81)),($G$5/$B$5),0))))</f>
        <v/>
      </c>
      <c r="G81" s="128" t="str">
        <f>IF($G$8="Habilitado",IF($A81="","",ROUND(VLOOKUP($A81,'Presupuesto Consolidado'!$U$12:$Z$80,6,FALSE),2)),"")</f>
        <v/>
      </c>
      <c r="H81" s="129" t="str">
        <f>IF($A81="","",IF(G81="","",IF($K$4="Media aritmética",(G81&lt;=$B81)*($G$5/$B$5)+(G81&gt;$B81)*0,IF(AND(ROUND(AVERAGE($C81,$E81,$G81,$I81,$K81,$M81,$O81,$Q81,$S81,$U81,#REF!,#REF!,#REF!,#REF!,#REF!),2)-$B81/2&lt;=G81,(ROUND(AVERAGE($C81,$E81,$G81,$I81,$K81,$M81,$O81,$Q81,$S81,$U81,#REF!,#REF!,#REF!,#REF!,#REF!),2)+$B81/2&gt;=G81)),($G$5/$B$5),0))))</f>
        <v/>
      </c>
      <c r="I81" s="128" t="str">
        <f>IF($I$8="Habilitado",IF($A81="","",ROUND(VLOOKUP($A81,'Presupuesto Consolidado'!$AE$12:$AJ$80,6,FALSE),2)),"")</f>
        <v/>
      </c>
      <c r="J81" s="129" t="str">
        <f>IF($A81="","",IF(I81="","",IF($K$4="Media aritmética",(I81&lt;=$B81)*($G$5/$B$5)+(I81&gt;$B81)*0,IF(AND(ROUND(AVERAGE($C81,$E81,$G81,$I81,$K81,$M81,$O81,$Q81,$S81,$U81,#REF!,#REF!,#REF!,#REF!,#REF!),2)-$B81/2&lt;=I81,(ROUND(AVERAGE($C81,$E81,$G81,$I81,$K81,$M81,$O81,$Q81,$S81,$U81,#REF!,#REF!,#REF!,#REF!,#REF!),2)+$B81/2&gt;=I81)),($G$5/$B$5),0))))</f>
        <v/>
      </c>
      <c r="K81" s="128" t="str">
        <f>IF($K$8="Habilitado",IF($A81="","",ROUND(VLOOKUP($A81,'Presupuesto Consolidado'!$AO$12:$AT$80,6,FALSE),2)),"")</f>
        <v/>
      </c>
      <c r="L81" s="129" t="str">
        <f>IF($A81="","",IF(K81="","",IF($K$4="Media aritmética",(K81&lt;=$B81)*($G$5/$B$5)+(K81&gt;$B81)*0,IF(AND(ROUND(AVERAGE($C81,$E81,$G81,$I81,$K81,$M81,$O81,$Q81,$S81,$U81,#REF!,#REF!,#REF!,#REF!,#REF!),2)-$B81/2&lt;=K81,(ROUND(AVERAGE($C81,$E81,$G81,$I81,$K81,$M81,$O81,$Q81,$S81,$U81,#REF!,#REF!,#REF!,#REF!,#REF!),2)+$B81/2&gt;=K81)),($G$5/$B$5),0))))</f>
        <v/>
      </c>
      <c r="M81" s="128" t="str">
        <f>IF($M$8="Habilitado",IF($A81="","",ROUND(VLOOKUP($A81,'Presupuesto Consolidado'!$AY$12:$BD$80,6,FALSE),2)),"")</f>
        <v/>
      </c>
      <c r="N81" s="129" t="str">
        <f>IF($A81="","",IF(M81="","",IF($K$4="Media aritmética",(M81&lt;=$B81)*($G$5/$B$5)+(M81&gt;$B81)*0,IF(AND(ROUND(AVERAGE($C81,$E81,$G81,$I81,$K81,$M81,$O81,$Q81,$S81,$U81,#REF!,#REF!,#REF!,#REF!,#REF!),2)-$B81/2&lt;=M81,(ROUND(AVERAGE($C81,$E81,$G81,$I81,$K81,$M81,$O81,$Q81,$S81,$U81,#REF!,#REF!,#REF!,#REF!,#REF!),2)+$B81/2&gt;=M81)),($G$5/$B$5),0))))</f>
        <v/>
      </c>
      <c r="O81" s="128" t="str">
        <f>IF($O$8="Habilitado",IF($A81="","",ROUND(VLOOKUP($A81,'Presupuesto Consolidado'!$BI$12:$BN$80,6,FALSE),2)),"")</f>
        <v/>
      </c>
      <c r="P81" s="129" t="str">
        <f>IF($A81="","",IF(O81="","",IF($K$4="Media aritmética",(O81&lt;=$B81)*($G$5/$B$5)+(O81&gt;$B81)*0,IF(AND(ROUND(AVERAGE($C81,$E81,$G81,$I81,$K81,$M81,$O81,$Q81,$S81,$U81,#REF!,#REF!,#REF!,#REF!,#REF!),2)-$B81/2&lt;=O81,(ROUND(AVERAGE($C81,$E81,$G81,$I81,$K81,$M81,$O81,$Q81,$S81,$U81,#REF!,#REF!,#REF!,#REF!,#REF!),2)+$B81/2&gt;=O81)),($G$5/$B$5),0))))</f>
        <v/>
      </c>
      <c r="Q81" s="128" t="str">
        <f>IF($Q$8="Habilitado",IF($A81="","",ROUND(VLOOKUP($A81,'Presupuesto Consolidado'!$BS$12:$BX$80,6,FALSE),2)),"")</f>
        <v/>
      </c>
      <c r="R81" s="129" t="str">
        <f>IF($A81="","",IF(Q81="","",IF($K$4="Media aritmética",(Q81&lt;=$B81)*($G$5/$B$5)+(Q81&gt;$B81)*0,IF(AND(ROUND(AVERAGE($C81,$E81,$G81,$I81,$K81,$M81,$O81,$Q81,$S81,$U81,#REF!,#REF!,#REF!,#REF!,#REF!),2)-$B81/2&lt;=Q81,(ROUND(AVERAGE($C81,$E81,$G81,$I81,$K81,$M81,$O81,$Q81,$S81,$U81,#REF!,#REF!,#REF!,#REF!,#REF!),2)+$B81/2&gt;=Q81)),($G$5/$B$5),0))))</f>
        <v/>
      </c>
      <c r="S81" s="128" t="str">
        <f>IF($S$8="Habilitado",IF($A81="","",ROUND(VLOOKUP($A81,'Presupuesto Consolidado'!$CC$12:$CH$80,6,FALSE),2)),"")</f>
        <v/>
      </c>
      <c r="T81" s="129" t="str">
        <f>IF($A81="","",IF(S81="","",IF($K$4="Media aritmética",(S81&lt;=$B81)*($G$5/$B$5)+(S81&gt;$B81)*0,IF(AND(ROUND(AVERAGE($C81,$E81,$G81,$I81,$K81,$M81,$O81,$Q81,$S81,$U81,#REF!,#REF!,#REF!,#REF!,#REF!),2)-$B81/2&lt;=S81,(ROUND(AVERAGE($C81,$E81,$G81,$I81,$K81,$M81,$O81,$Q81,$S81,$U81,#REF!,#REF!,#REF!,#REF!,#REF!),2)+$B81/2&gt;=S81)),($G$5/$B$5),0))))</f>
        <v/>
      </c>
      <c r="U81" s="128" t="str">
        <f>IF($U$8="Habilitado",IF($A81="","",ROUND(VLOOKUP($A81,'Presupuesto Consolidado'!$CM$12:$CR$80,6,FALSE),2)),"")</f>
        <v/>
      </c>
      <c r="V81" s="129" t="str">
        <f>IF($A81="","",IF(U81="","",IF($K$4="Media aritmética",(U81&lt;=$B81)*($G$5/$B$5)+(U81&gt;$B81)*0,IF(AND(ROUND(AVERAGE($C81,$E81,$G81,$I81,$K81,$M81,$O81,$Q81,$S81,$U81,#REF!,#REF!,#REF!,#REF!,#REF!),2)-$B81/2&lt;=U81,(ROUND(AVERAGE($C81,$E81,$G81,$I81,$K81,$M81,$O81,$Q81,$S81,$U81,#REF!,#REF!,#REF!,#REF!,#REF!),2)+$B81/2&gt;=U81)),($G$5/$B$5),0))))</f>
        <v/>
      </c>
    </row>
    <row r="82" spans="1:22" s="122" customFormat="1" ht="21" customHeight="1">
      <c r="A82" s="256"/>
      <c r="B82" s="127" t="str">
        <f t="shared" si="9"/>
        <v/>
      </c>
      <c r="C82" s="128" t="str">
        <f>IF($C$8="Habilitado",IF($A82="","",ROUND(VLOOKUP($A82,'Presupuesto Consolidado'!$A$12:$F$80,6,FALSE),2)),"")</f>
        <v/>
      </c>
      <c r="D82" s="129" t="str">
        <f>IF($A82="","",IF(C82="","",IF($K$4="Media aritmética",(C82&lt;=$B82)*($G$5/$B$5)+(C82&gt;$B82)*0,IF(AND(ROUND(AVERAGE($C82,$E82,$G82,$I82,$K82,$M82,$O82,$Q82,$S82,$U82,#REF!,#REF!,#REF!,#REF!,#REF!),2)-$B82/2&lt;=C82,(ROUND(AVERAGE($C82,$E82,$G82,$I82,$K82,$M82,$O82,$Q82,$S82,$U82,#REF!,#REF!,#REF!,#REF!,#REF!),2)+$B82/2&gt;=C82)),($G$5/$B$5),0))))</f>
        <v/>
      </c>
      <c r="E82" s="128" t="str">
        <f>IF($E$8="Habilitado",IF($A82="","",ROUND(VLOOKUP($A82,'Presupuesto Consolidado'!$K$12:$P$80,6,FALSE),2)),"")</f>
        <v/>
      </c>
      <c r="F82" s="129" t="str">
        <f>IF($A82="","",IF(E82="","",IF($K$4="Media aritmética",(E82&lt;=$B82)*($G$5/$B$5)+(E82&gt;$B82)*0,IF(AND(ROUND(AVERAGE($C82,$E82,$G82,$I82,$K82,$M82,$O82,$Q82,$S82,$U82,#REF!,#REF!,#REF!,#REF!,#REF!),2)-$B82/2&lt;=E82,(ROUND(AVERAGE($C82,$E82,$G82,$I82,$K82,$M82,$O82,$Q82,$S82,$U82,#REF!,#REF!,#REF!,#REF!,#REF!),2)+$B82/2&gt;=E82)),($G$5/$B$5),0))))</f>
        <v/>
      </c>
      <c r="G82" s="128" t="str">
        <f>IF($G$8="Habilitado",IF($A82="","",ROUND(VLOOKUP($A82,'Presupuesto Consolidado'!$U$12:$Z$80,6,FALSE),2)),"")</f>
        <v/>
      </c>
      <c r="H82" s="129" t="str">
        <f>IF($A82="","",IF(G82="","",IF($K$4="Media aritmética",(G82&lt;=$B82)*($G$5/$B$5)+(G82&gt;$B82)*0,IF(AND(ROUND(AVERAGE($C82,$E82,$G82,$I82,$K82,$M82,$O82,$Q82,$S82,$U82,#REF!,#REF!,#REF!,#REF!,#REF!),2)-$B82/2&lt;=G82,(ROUND(AVERAGE($C82,$E82,$G82,$I82,$K82,$M82,$O82,$Q82,$S82,$U82,#REF!,#REF!,#REF!,#REF!,#REF!),2)+$B82/2&gt;=G82)),($G$5/$B$5),0))))</f>
        <v/>
      </c>
      <c r="I82" s="128" t="str">
        <f>IF($I$8="Habilitado",IF($A82="","",ROUND(VLOOKUP($A82,'Presupuesto Consolidado'!$AE$12:$AJ$80,6,FALSE),2)),"")</f>
        <v/>
      </c>
      <c r="J82" s="129" t="str">
        <f>IF($A82="","",IF(I82="","",IF($K$4="Media aritmética",(I82&lt;=$B82)*($G$5/$B$5)+(I82&gt;$B82)*0,IF(AND(ROUND(AVERAGE($C82,$E82,$G82,$I82,$K82,$M82,$O82,$Q82,$S82,$U82,#REF!,#REF!,#REF!,#REF!,#REF!),2)-$B82/2&lt;=I82,(ROUND(AVERAGE($C82,$E82,$G82,$I82,$K82,$M82,$O82,$Q82,$S82,$U82,#REF!,#REF!,#REF!,#REF!,#REF!),2)+$B82/2&gt;=I82)),($G$5/$B$5),0))))</f>
        <v/>
      </c>
      <c r="K82" s="128" t="str">
        <f>IF($K$8="Habilitado",IF($A82="","",ROUND(VLOOKUP($A82,'Presupuesto Consolidado'!$AO$12:$AT$80,6,FALSE),2)),"")</f>
        <v/>
      </c>
      <c r="L82" s="129" t="str">
        <f>IF($A82="","",IF(K82="","",IF($K$4="Media aritmética",(K82&lt;=$B82)*($G$5/$B$5)+(K82&gt;$B82)*0,IF(AND(ROUND(AVERAGE($C82,$E82,$G82,$I82,$K82,$M82,$O82,$Q82,$S82,$U82,#REF!,#REF!,#REF!,#REF!,#REF!),2)-$B82/2&lt;=K82,(ROUND(AVERAGE($C82,$E82,$G82,$I82,$K82,$M82,$O82,$Q82,$S82,$U82,#REF!,#REF!,#REF!,#REF!,#REF!),2)+$B82/2&gt;=K82)),($G$5/$B$5),0))))</f>
        <v/>
      </c>
      <c r="M82" s="128" t="str">
        <f>IF($M$8="Habilitado",IF($A82="","",ROUND(VLOOKUP($A82,'Presupuesto Consolidado'!$AY$12:$BD$80,6,FALSE),2)),"")</f>
        <v/>
      </c>
      <c r="N82" s="129" t="str">
        <f>IF($A82="","",IF(M82="","",IF($K$4="Media aritmética",(M82&lt;=$B82)*($G$5/$B$5)+(M82&gt;$B82)*0,IF(AND(ROUND(AVERAGE($C82,$E82,$G82,$I82,$K82,$M82,$O82,$Q82,$S82,$U82,#REF!,#REF!,#REF!,#REF!,#REF!),2)-$B82/2&lt;=M82,(ROUND(AVERAGE($C82,$E82,$G82,$I82,$K82,$M82,$O82,$Q82,$S82,$U82,#REF!,#REF!,#REF!,#REF!,#REF!),2)+$B82/2&gt;=M82)),($G$5/$B$5),0))))</f>
        <v/>
      </c>
      <c r="O82" s="128" t="str">
        <f>IF($O$8="Habilitado",IF($A82="","",ROUND(VLOOKUP($A82,'Presupuesto Consolidado'!$BI$12:$BN$80,6,FALSE),2)),"")</f>
        <v/>
      </c>
      <c r="P82" s="129" t="str">
        <f>IF($A82="","",IF(O82="","",IF($K$4="Media aritmética",(O82&lt;=$B82)*($G$5/$B$5)+(O82&gt;$B82)*0,IF(AND(ROUND(AVERAGE($C82,$E82,$G82,$I82,$K82,$M82,$O82,$Q82,$S82,$U82,#REF!,#REF!,#REF!,#REF!,#REF!),2)-$B82/2&lt;=O82,(ROUND(AVERAGE($C82,$E82,$G82,$I82,$K82,$M82,$O82,$Q82,$S82,$U82,#REF!,#REF!,#REF!,#REF!,#REF!),2)+$B82/2&gt;=O82)),($G$5/$B$5),0))))</f>
        <v/>
      </c>
      <c r="Q82" s="128" t="str">
        <f>IF($Q$8="Habilitado",IF($A82="","",ROUND(VLOOKUP($A82,'Presupuesto Consolidado'!$BS$12:$BX$80,6,FALSE),2)),"")</f>
        <v/>
      </c>
      <c r="R82" s="129" t="str">
        <f>IF($A82="","",IF(Q82="","",IF($K$4="Media aritmética",(Q82&lt;=$B82)*($G$5/$B$5)+(Q82&gt;$B82)*0,IF(AND(ROUND(AVERAGE($C82,$E82,$G82,$I82,$K82,$M82,$O82,$Q82,$S82,$U82,#REF!,#REF!,#REF!,#REF!,#REF!),2)-$B82/2&lt;=Q82,(ROUND(AVERAGE($C82,$E82,$G82,$I82,$K82,$M82,$O82,$Q82,$S82,$U82,#REF!,#REF!,#REF!,#REF!,#REF!),2)+$B82/2&gt;=Q82)),($G$5/$B$5),0))))</f>
        <v/>
      </c>
      <c r="S82" s="128" t="str">
        <f>IF($S$8="Habilitado",IF($A82="","",ROUND(VLOOKUP($A82,'Presupuesto Consolidado'!$CC$12:$CH$80,6,FALSE),2)),"")</f>
        <v/>
      </c>
      <c r="T82" s="129" t="str">
        <f>IF($A82="","",IF(S82="","",IF($K$4="Media aritmética",(S82&lt;=$B82)*($G$5/$B$5)+(S82&gt;$B82)*0,IF(AND(ROUND(AVERAGE($C82,$E82,$G82,$I82,$K82,$M82,$O82,$Q82,$S82,$U82,#REF!,#REF!,#REF!,#REF!,#REF!),2)-$B82/2&lt;=S82,(ROUND(AVERAGE($C82,$E82,$G82,$I82,$K82,$M82,$O82,$Q82,$S82,$U82,#REF!,#REF!,#REF!,#REF!,#REF!),2)+$B82/2&gt;=S82)),($G$5/$B$5),0))))</f>
        <v/>
      </c>
      <c r="U82" s="128" t="str">
        <f>IF($U$8="Habilitado",IF($A82="","",ROUND(VLOOKUP($A82,'Presupuesto Consolidado'!$CM$12:$CR$80,6,FALSE),2)),"")</f>
        <v/>
      </c>
      <c r="V82" s="129" t="str">
        <f>IF($A82="","",IF(U82="","",IF($K$4="Media aritmética",(U82&lt;=$B82)*($G$5/$B$5)+(U82&gt;$B82)*0,IF(AND(ROUND(AVERAGE($C82,$E82,$G82,$I82,$K82,$M82,$O82,$Q82,$S82,$U82,#REF!,#REF!,#REF!,#REF!,#REF!),2)-$B82/2&lt;=U82,(ROUND(AVERAGE($C82,$E82,$G82,$I82,$K82,$M82,$O82,$Q82,$S82,$U82,#REF!,#REF!,#REF!,#REF!,#REF!),2)+$B82/2&gt;=U82)),($G$5/$B$5),0))))</f>
        <v/>
      </c>
    </row>
    <row r="83" spans="1:22" s="122" customFormat="1" ht="21" customHeight="1">
      <c r="A83" s="256"/>
      <c r="B83" s="127" t="str">
        <f t="shared" si="9"/>
        <v/>
      </c>
      <c r="C83" s="128" t="str">
        <f>IF($C$8="Habilitado",IF($A83="","",ROUND(VLOOKUP($A83,'Presupuesto Consolidado'!$A$12:$F$80,6,FALSE),2)),"")</f>
        <v/>
      </c>
      <c r="D83" s="129" t="str">
        <f>IF($A83="","",IF(C83="","",IF($K$4="Media aritmética",(C83&lt;=$B83)*($G$5/$B$5)+(C83&gt;$B83)*0,IF(AND(ROUND(AVERAGE($C83,$E83,$G83,$I83,$K83,$M83,$O83,$Q83,$S83,$U83,#REF!,#REF!,#REF!,#REF!,#REF!),2)-$B83/2&lt;=C83,(ROUND(AVERAGE($C83,$E83,$G83,$I83,$K83,$M83,$O83,$Q83,$S83,$U83,#REF!,#REF!,#REF!,#REF!,#REF!),2)+$B83/2&gt;=C83)),($G$5/$B$5),0))))</f>
        <v/>
      </c>
      <c r="E83" s="128" t="str">
        <f>IF($E$8="Habilitado",IF($A83="","",ROUND(VLOOKUP($A83,'Presupuesto Consolidado'!$K$12:$P$80,6,FALSE),2)),"")</f>
        <v/>
      </c>
      <c r="F83" s="129" t="str">
        <f>IF($A83="","",IF(E83="","",IF($K$4="Media aritmética",(E83&lt;=$B83)*($G$5/$B$5)+(E83&gt;$B83)*0,IF(AND(ROUND(AVERAGE($C83,$E83,$G83,$I83,$K83,$M83,$O83,$Q83,$S83,$U83,#REF!,#REF!,#REF!,#REF!,#REF!),2)-$B83/2&lt;=E83,(ROUND(AVERAGE($C83,$E83,$G83,$I83,$K83,$M83,$O83,$Q83,$S83,$U83,#REF!,#REF!,#REF!,#REF!,#REF!),2)+$B83/2&gt;=E83)),($G$5/$B$5),0))))</f>
        <v/>
      </c>
      <c r="G83" s="128" t="str">
        <f>IF($G$8="Habilitado",IF($A83="","",ROUND(VLOOKUP($A83,'Presupuesto Consolidado'!$U$12:$Z$80,6,FALSE),2)),"")</f>
        <v/>
      </c>
      <c r="H83" s="129" t="str">
        <f>IF($A83="","",IF(G83="","",IF($K$4="Media aritmética",(G83&lt;=$B83)*($G$5/$B$5)+(G83&gt;$B83)*0,IF(AND(ROUND(AVERAGE($C83,$E83,$G83,$I83,$K83,$M83,$O83,$Q83,$S83,$U83,#REF!,#REF!,#REF!,#REF!,#REF!),2)-$B83/2&lt;=G83,(ROUND(AVERAGE($C83,$E83,$G83,$I83,$K83,$M83,$O83,$Q83,$S83,$U83,#REF!,#REF!,#REF!,#REF!,#REF!),2)+$B83/2&gt;=G83)),($G$5/$B$5),0))))</f>
        <v/>
      </c>
      <c r="I83" s="128" t="str">
        <f>IF($I$8="Habilitado",IF($A83="","",ROUND(VLOOKUP($A83,'Presupuesto Consolidado'!$AE$12:$AJ$80,6,FALSE),2)),"")</f>
        <v/>
      </c>
      <c r="J83" s="129" t="str">
        <f>IF($A83="","",IF(I83="","",IF($K$4="Media aritmética",(I83&lt;=$B83)*($G$5/$B$5)+(I83&gt;$B83)*0,IF(AND(ROUND(AVERAGE($C83,$E83,$G83,$I83,$K83,$M83,$O83,$Q83,$S83,$U83,#REF!,#REF!,#REF!,#REF!,#REF!),2)-$B83/2&lt;=I83,(ROUND(AVERAGE($C83,$E83,$G83,$I83,$K83,$M83,$O83,$Q83,$S83,$U83,#REF!,#REF!,#REF!,#REF!,#REF!),2)+$B83/2&gt;=I83)),($G$5/$B$5),0))))</f>
        <v/>
      </c>
      <c r="K83" s="128" t="str">
        <f>IF($K$8="Habilitado",IF($A83="","",ROUND(VLOOKUP($A83,'Presupuesto Consolidado'!$AO$12:$AT$80,6,FALSE),2)),"")</f>
        <v/>
      </c>
      <c r="L83" s="129" t="str">
        <f>IF($A83="","",IF(K83="","",IF($K$4="Media aritmética",(K83&lt;=$B83)*($G$5/$B$5)+(K83&gt;$B83)*0,IF(AND(ROUND(AVERAGE($C83,$E83,$G83,$I83,$K83,$M83,$O83,$Q83,$S83,$U83,#REF!,#REF!,#REF!,#REF!,#REF!),2)-$B83/2&lt;=K83,(ROUND(AVERAGE($C83,$E83,$G83,$I83,$K83,$M83,$O83,$Q83,$S83,$U83,#REF!,#REF!,#REF!,#REF!,#REF!),2)+$B83/2&gt;=K83)),($G$5/$B$5),0))))</f>
        <v/>
      </c>
      <c r="M83" s="128" t="str">
        <f>IF($M$8="Habilitado",IF($A83="","",ROUND(VLOOKUP($A83,'Presupuesto Consolidado'!$AY$12:$BD$80,6,FALSE),2)),"")</f>
        <v/>
      </c>
      <c r="N83" s="129" t="str">
        <f>IF($A83="","",IF(M83="","",IF($K$4="Media aritmética",(M83&lt;=$B83)*($G$5/$B$5)+(M83&gt;$B83)*0,IF(AND(ROUND(AVERAGE($C83,$E83,$G83,$I83,$K83,$M83,$O83,$Q83,$S83,$U83,#REF!,#REF!,#REF!,#REF!,#REF!),2)-$B83/2&lt;=M83,(ROUND(AVERAGE($C83,$E83,$G83,$I83,$K83,$M83,$O83,$Q83,$S83,$U83,#REF!,#REF!,#REF!,#REF!,#REF!),2)+$B83/2&gt;=M83)),($G$5/$B$5),0))))</f>
        <v/>
      </c>
      <c r="O83" s="128" t="str">
        <f>IF($O$8="Habilitado",IF($A83="","",ROUND(VLOOKUP($A83,'Presupuesto Consolidado'!$BI$12:$BN$80,6,FALSE),2)),"")</f>
        <v/>
      </c>
      <c r="P83" s="129" t="str">
        <f>IF($A83="","",IF(O83="","",IF($K$4="Media aritmética",(O83&lt;=$B83)*($G$5/$B$5)+(O83&gt;$B83)*0,IF(AND(ROUND(AVERAGE($C83,$E83,$G83,$I83,$K83,$M83,$O83,$Q83,$S83,$U83,#REF!,#REF!,#REF!,#REF!,#REF!),2)-$B83/2&lt;=O83,(ROUND(AVERAGE($C83,$E83,$G83,$I83,$K83,$M83,$O83,$Q83,$S83,$U83,#REF!,#REF!,#REF!,#REF!,#REF!),2)+$B83/2&gt;=O83)),($G$5/$B$5),0))))</f>
        <v/>
      </c>
      <c r="Q83" s="128" t="str">
        <f>IF($Q$8="Habilitado",IF($A83="","",ROUND(VLOOKUP($A83,'Presupuesto Consolidado'!$BS$12:$BX$80,6,FALSE),2)),"")</f>
        <v/>
      </c>
      <c r="R83" s="129" t="str">
        <f>IF($A83="","",IF(Q83="","",IF($K$4="Media aritmética",(Q83&lt;=$B83)*($G$5/$B$5)+(Q83&gt;$B83)*0,IF(AND(ROUND(AVERAGE($C83,$E83,$G83,$I83,$K83,$M83,$O83,$Q83,$S83,$U83,#REF!,#REF!,#REF!,#REF!,#REF!),2)-$B83/2&lt;=Q83,(ROUND(AVERAGE($C83,$E83,$G83,$I83,$K83,$M83,$O83,$Q83,$S83,$U83,#REF!,#REF!,#REF!,#REF!,#REF!),2)+$B83/2&gt;=Q83)),($G$5/$B$5),0))))</f>
        <v/>
      </c>
      <c r="S83" s="128" t="str">
        <f>IF($S$8="Habilitado",IF($A83="","",ROUND(VLOOKUP($A83,'Presupuesto Consolidado'!$CC$12:$CH$80,6,FALSE),2)),"")</f>
        <v/>
      </c>
      <c r="T83" s="129" t="str">
        <f>IF($A83="","",IF(S83="","",IF($K$4="Media aritmética",(S83&lt;=$B83)*($G$5/$B$5)+(S83&gt;$B83)*0,IF(AND(ROUND(AVERAGE($C83,$E83,$G83,$I83,$K83,$M83,$O83,$Q83,$S83,$U83,#REF!,#REF!,#REF!,#REF!,#REF!),2)-$B83/2&lt;=S83,(ROUND(AVERAGE($C83,$E83,$G83,$I83,$K83,$M83,$O83,$Q83,$S83,$U83,#REF!,#REF!,#REF!,#REF!,#REF!),2)+$B83/2&gt;=S83)),($G$5/$B$5),0))))</f>
        <v/>
      </c>
      <c r="U83" s="128" t="str">
        <f>IF($U$8="Habilitado",IF($A83="","",ROUND(VLOOKUP($A83,'Presupuesto Consolidado'!$CM$12:$CR$80,6,FALSE),2)),"")</f>
        <v/>
      </c>
      <c r="V83" s="129" t="str">
        <f>IF($A83="","",IF(U83="","",IF($K$4="Media aritmética",(U83&lt;=$B83)*($G$5/$B$5)+(U83&gt;$B83)*0,IF(AND(ROUND(AVERAGE($C83,$E83,$G83,$I83,$K83,$M83,$O83,$Q83,$S83,$U83,#REF!,#REF!,#REF!,#REF!,#REF!),2)-$B83/2&lt;=U83,(ROUND(AVERAGE($C83,$E83,$G83,$I83,$K83,$M83,$O83,$Q83,$S83,$U83,#REF!,#REF!,#REF!,#REF!,#REF!),2)+$B83/2&gt;=U83)),($G$5/$B$5),0))))</f>
        <v/>
      </c>
    </row>
    <row r="84" spans="1:22" s="122" customFormat="1" ht="21" customHeight="1">
      <c r="A84" s="256"/>
      <c r="B84" s="127" t="str">
        <f t="shared" si="9"/>
        <v/>
      </c>
      <c r="C84" s="128" t="str">
        <f>IF($C$8="Habilitado",IF($A84="","",ROUND(VLOOKUP($A84,'Presupuesto Consolidado'!$A$12:$F$80,6,FALSE),2)),"")</f>
        <v/>
      </c>
      <c r="D84" s="129" t="str">
        <f>IF($A84="","",IF(C84="","",IF($K$4="Media aritmética",(C84&lt;=$B84)*($G$5/$B$5)+(C84&gt;$B84)*0,IF(AND(ROUND(AVERAGE($C84,$E84,$G84,$I84,$K84,$M84,$O84,$Q84,$S84,$U84,#REF!,#REF!,#REF!,#REF!,#REF!),2)-$B84/2&lt;=C84,(ROUND(AVERAGE($C84,$E84,$G84,$I84,$K84,$M84,$O84,$Q84,$S84,$U84,#REF!,#REF!,#REF!,#REF!,#REF!),2)+$B84/2&gt;=C84)),($G$5/$B$5),0))))</f>
        <v/>
      </c>
      <c r="E84" s="128" t="str">
        <f>IF($E$8="Habilitado",IF($A84="","",ROUND(VLOOKUP($A84,'Presupuesto Consolidado'!$K$12:$P$80,6,FALSE),2)),"")</f>
        <v/>
      </c>
      <c r="F84" s="129" t="str">
        <f>IF($A84="","",IF(E84="","",IF($K$4="Media aritmética",(E84&lt;=$B84)*($G$5/$B$5)+(E84&gt;$B84)*0,IF(AND(ROUND(AVERAGE($C84,$E84,$G84,$I84,$K84,$M84,$O84,$Q84,$S84,$U84,#REF!,#REF!,#REF!,#REF!,#REF!),2)-$B84/2&lt;=E84,(ROUND(AVERAGE($C84,$E84,$G84,$I84,$K84,$M84,$O84,$Q84,$S84,$U84,#REF!,#REF!,#REF!,#REF!,#REF!),2)+$B84/2&gt;=E84)),($G$5/$B$5),0))))</f>
        <v/>
      </c>
      <c r="G84" s="128" t="str">
        <f>IF($G$8="Habilitado",IF($A84="","",ROUND(VLOOKUP($A84,'Presupuesto Consolidado'!$U$12:$Z$80,6,FALSE),2)),"")</f>
        <v/>
      </c>
      <c r="H84" s="129" t="str">
        <f>IF($A84="","",IF(G84="","",IF($K$4="Media aritmética",(G84&lt;=$B84)*($G$5/$B$5)+(G84&gt;$B84)*0,IF(AND(ROUND(AVERAGE($C84,$E84,$G84,$I84,$K84,$M84,$O84,$Q84,$S84,$U84,#REF!,#REF!,#REF!,#REF!,#REF!),2)-$B84/2&lt;=G84,(ROUND(AVERAGE($C84,$E84,$G84,$I84,$K84,$M84,$O84,$Q84,$S84,$U84,#REF!,#REF!,#REF!,#REF!,#REF!),2)+$B84/2&gt;=G84)),($G$5/$B$5),0))))</f>
        <v/>
      </c>
      <c r="I84" s="128" t="str">
        <f>IF($I$8="Habilitado",IF($A84="","",ROUND(VLOOKUP($A84,'Presupuesto Consolidado'!$AE$12:$AJ$80,6,FALSE),2)),"")</f>
        <v/>
      </c>
      <c r="J84" s="129" t="str">
        <f>IF($A84="","",IF(I84="","",IF($K$4="Media aritmética",(I84&lt;=$B84)*($G$5/$B$5)+(I84&gt;$B84)*0,IF(AND(ROUND(AVERAGE($C84,$E84,$G84,$I84,$K84,$M84,$O84,$Q84,$S84,$U84,#REF!,#REF!,#REF!,#REF!,#REF!),2)-$B84/2&lt;=I84,(ROUND(AVERAGE($C84,$E84,$G84,$I84,$K84,$M84,$O84,$Q84,$S84,$U84,#REF!,#REF!,#REF!,#REF!,#REF!),2)+$B84/2&gt;=I84)),($G$5/$B$5),0))))</f>
        <v/>
      </c>
      <c r="K84" s="128" t="str">
        <f>IF($K$8="Habilitado",IF($A84="","",ROUND(VLOOKUP($A84,'Presupuesto Consolidado'!$AO$12:$AT$80,6,FALSE),2)),"")</f>
        <v/>
      </c>
      <c r="L84" s="129" t="str">
        <f>IF($A84="","",IF(K84="","",IF($K$4="Media aritmética",(K84&lt;=$B84)*($G$5/$B$5)+(K84&gt;$B84)*0,IF(AND(ROUND(AVERAGE($C84,$E84,$G84,$I84,$K84,$M84,$O84,$Q84,$S84,$U84,#REF!,#REF!,#REF!,#REF!,#REF!),2)-$B84/2&lt;=K84,(ROUND(AVERAGE($C84,$E84,$G84,$I84,$K84,$M84,$O84,$Q84,$S84,$U84,#REF!,#REF!,#REF!,#REF!,#REF!),2)+$B84/2&gt;=K84)),($G$5/$B$5),0))))</f>
        <v/>
      </c>
      <c r="M84" s="128" t="str">
        <f>IF($M$8="Habilitado",IF($A84="","",ROUND(VLOOKUP($A84,'Presupuesto Consolidado'!$AY$12:$BD$80,6,FALSE),2)),"")</f>
        <v/>
      </c>
      <c r="N84" s="129" t="str">
        <f>IF($A84="","",IF(M84="","",IF($K$4="Media aritmética",(M84&lt;=$B84)*($G$5/$B$5)+(M84&gt;$B84)*0,IF(AND(ROUND(AVERAGE($C84,$E84,$G84,$I84,$K84,$M84,$O84,$Q84,$S84,$U84,#REF!,#REF!,#REF!,#REF!,#REF!),2)-$B84/2&lt;=M84,(ROUND(AVERAGE($C84,$E84,$G84,$I84,$K84,$M84,$O84,$Q84,$S84,$U84,#REF!,#REF!,#REF!,#REF!,#REF!),2)+$B84/2&gt;=M84)),($G$5/$B$5),0))))</f>
        <v/>
      </c>
      <c r="O84" s="128" t="str">
        <f>IF($O$8="Habilitado",IF($A84="","",ROUND(VLOOKUP($A84,'Presupuesto Consolidado'!$BI$12:$BN$80,6,FALSE),2)),"")</f>
        <v/>
      </c>
      <c r="P84" s="129" t="str">
        <f>IF($A84="","",IF(O84="","",IF($K$4="Media aritmética",(O84&lt;=$B84)*($G$5/$B$5)+(O84&gt;$B84)*0,IF(AND(ROUND(AVERAGE($C84,$E84,$G84,$I84,$K84,$M84,$O84,$Q84,$S84,$U84,#REF!,#REF!,#REF!,#REF!,#REF!),2)-$B84/2&lt;=O84,(ROUND(AVERAGE($C84,$E84,$G84,$I84,$K84,$M84,$O84,$Q84,$S84,$U84,#REF!,#REF!,#REF!,#REF!,#REF!),2)+$B84/2&gt;=O84)),($G$5/$B$5),0))))</f>
        <v/>
      </c>
      <c r="Q84" s="128" t="str">
        <f>IF($Q$8="Habilitado",IF($A84="","",ROUND(VLOOKUP($A84,'Presupuesto Consolidado'!$BS$12:$BX$80,6,FALSE),2)),"")</f>
        <v/>
      </c>
      <c r="R84" s="129" t="str">
        <f>IF($A84="","",IF(Q84="","",IF($K$4="Media aritmética",(Q84&lt;=$B84)*($G$5/$B$5)+(Q84&gt;$B84)*0,IF(AND(ROUND(AVERAGE($C84,$E84,$G84,$I84,$K84,$M84,$O84,$Q84,$S84,$U84,#REF!,#REF!,#REF!,#REF!,#REF!),2)-$B84/2&lt;=Q84,(ROUND(AVERAGE($C84,$E84,$G84,$I84,$K84,$M84,$O84,$Q84,$S84,$U84,#REF!,#REF!,#REF!,#REF!,#REF!),2)+$B84/2&gt;=Q84)),($G$5/$B$5),0))))</f>
        <v/>
      </c>
      <c r="S84" s="128" t="str">
        <f>IF($S$8="Habilitado",IF($A84="","",ROUND(VLOOKUP($A84,'Presupuesto Consolidado'!$CC$12:$CH$80,6,FALSE),2)),"")</f>
        <v/>
      </c>
      <c r="T84" s="129" t="str">
        <f>IF($A84="","",IF(S84="","",IF($K$4="Media aritmética",(S84&lt;=$B84)*($G$5/$B$5)+(S84&gt;$B84)*0,IF(AND(ROUND(AVERAGE($C84,$E84,$G84,$I84,$K84,$M84,$O84,$Q84,$S84,$U84,#REF!,#REF!,#REF!,#REF!,#REF!),2)-$B84/2&lt;=S84,(ROUND(AVERAGE($C84,$E84,$G84,$I84,$K84,$M84,$O84,$Q84,$S84,$U84,#REF!,#REF!,#REF!,#REF!,#REF!),2)+$B84/2&gt;=S84)),($G$5/$B$5),0))))</f>
        <v/>
      </c>
      <c r="U84" s="128" t="str">
        <f>IF($U$8="Habilitado",IF($A84="","",ROUND(VLOOKUP($A84,'Presupuesto Consolidado'!$CM$12:$CR$80,6,FALSE),2)),"")</f>
        <v/>
      </c>
      <c r="V84" s="129" t="str">
        <f>IF($A84="","",IF(U84="","",IF($K$4="Media aritmética",(U84&lt;=$B84)*($G$5/$B$5)+(U84&gt;$B84)*0,IF(AND(ROUND(AVERAGE($C84,$E84,$G84,$I84,$K84,$M84,$O84,$Q84,$S84,$U84,#REF!,#REF!,#REF!,#REF!,#REF!),2)-$B84/2&lt;=U84,(ROUND(AVERAGE($C84,$E84,$G84,$I84,$K84,$M84,$O84,$Q84,$S84,$U84,#REF!,#REF!,#REF!,#REF!,#REF!),2)+$B84/2&gt;=U84)),($G$5/$B$5),0))))</f>
        <v/>
      </c>
    </row>
    <row r="85" spans="1:22" s="122" customFormat="1" ht="21" customHeight="1">
      <c r="A85" s="118"/>
      <c r="B85" s="127" t="str">
        <f t="shared" si="9"/>
        <v/>
      </c>
      <c r="C85" s="128" t="str">
        <f>IF($C$8="Habilitado",IF($A85="","",ROUND(VLOOKUP($A85,'Presupuesto Consolidado'!$A$12:$F$80,6,FALSE),2)),"")</f>
        <v/>
      </c>
      <c r="D85" s="129" t="str">
        <f>IF($A85="","",IF(C85="","",IF($K$4="Media aritmética",(C85&lt;=$B85)*($G$5/$B$5)+(C85&gt;$B85)*0,IF(AND(ROUND(AVERAGE($C85,$E85,$G85,$I85,$K85,$M85,$O85,$Q85,$S85,$U85,#REF!,#REF!,#REF!,#REF!,#REF!),2)-$B85/2&lt;=C85,(ROUND(AVERAGE($C85,$E85,$G85,$I85,$K85,$M85,$O85,$Q85,$S85,$U85,#REF!,#REF!,#REF!,#REF!,#REF!),2)+$B85/2&gt;=C85)),($G$5/$B$5),0))))</f>
        <v/>
      </c>
      <c r="E85" s="128" t="str">
        <f>IF($E$8="Habilitado",IF($A85="","",ROUND(VLOOKUP($A85,'Presupuesto Consolidado'!$K$12:$P$80,6,FALSE),2)),"")</f>
        <v/>
      </c>
      <c r="F85" s="129" t="str">
        <f>IF($A85="","",IF(E85="","",IF($K$4="Media aritmética",(E85&lt;=$B85)*($G$5/$B$5)+(E85&gt;$B85)*0,IF(AND(ROUND(AVERAGE($C85,$E85,$G85,$I85,$K85,$M85,$O85,$Q85,$S85,$U85,#REF!,#REF!,#REF!,#REF!,#REF!),2)-$B85/2&lt;=E85,(ROUND(AVERAGE($C85,$E85,$G85,$I85,$K85,$M85,$O85,$Q85,$S85,$U85,#REF!,#REF!,#REF!,#REF!,#REF!),2)+$B85/2&gt;=E85)),($G$5/$B$5),0))))</f>
        <v/>
      </c>
      <c r="G85" s="128" t="str">
        <f>IF($G$8="Habilitado",IF($A85="","",ROUND(VLOOKUP($A85,'Presupuesto Consolidado'!$U$12:$Z$80,6,FALSE),2)),"")</f>
        <v/>
      </c>
      <c r="H85" s="129" t="str">
        <f>IF($A85="","",IF(G85="","",IF($K$4="Media aritmética",(G85&lt;=$B85)*($G$5/$B$5)+(G85&gt;$B85)*0,IF(AND(ROUND(AVERAGE($C85,$E85,$G85,$I85,$K85,$M85,$O85,$Q85,$S85,$U85,#REF!,#REF!,#REF!,#REF!,#REF!),2)-$B85/2&lt;=G85,(ROUND(AVERAGE($C85,$E85,$G85,$I85,$K85,$M85,$O85,$Q85,$S85,$U85,#REF!,#REF!,#REF!,#REF!,#REF!),2)+$B85/2&gt;=G85)),($G$5/$B$5),0))))</f>
        <v/>
      </c>
      <c r="I85" s="128" t="str">
        <f>IF($I$8="Habilitado",IF($A85="","",ROUND(VLOOKUP($A85,'Presupuesto Consolidado'!$AE$12:$AJ$80,6,FALSE),2)),"")</f>
        <v/>
      </c>
      <c r="J85" s="129" t="str">
        <f>IF($A85="","",IF(I85="","",IF($K$4="Media aritmética",(I85&lt;=$B85)*($G$5/$B$5)+(I85&gt;$B85)*0,IF(AND(ROUND(AVERAGE($C85,$E85,$G85,$I85,$K85,$M85,$O85,$Q85,$S85,$U85,#REF!,#REF!,#REF!,#REF!,#REF!),2)-$B85/2&lt;=I85,(ROUND(AVERAGE($C85,$E85,$G85,$I85,$K85,$M85,$O85,$Q85,$S85,$U85,#REF!,#REF!,#REF!,#REF!,#REF!),2)+$B85/2&gt;=I85)),($G$5/$B$5),0))))</f>
        <v/>
      </c>
      <c r="K85" s="128" t="str">
        <f>IF($K$8="Habilitado",IF($A85="","",ROUND(VLOOKUP($A85,'Presupuesto Consolidado'!$AO$12:$AT$80,6,FALSE),2)),"")</f>
        <v/>
      </c>
      <c r="L85" s="129" t="str">
        <f>IF($A85="","",IF(K85="","",IF($K$4="Media aritmética",(K85&lt;=$B85)*($G$5/$B$5)+(K85&gt;$B85)*0,IF(AND(ROUND(AVERAGE($C85,$E85,$G85,$I85,$K85,$M85,$O85,$Q85,$S85,$U85,#REF!,#REF!,#REF!,#REF!,#REF!),2)-$B85/2&lt;=K85,(ROUND(AVERAGE($C85,$E85,$G85,$I85,$K85,$M85,$O85,$Q85,$S85,$U85,#REF!,#REF!,#REF!,#REF!,#REF!),2)+$B85/2&gt;=K85)),($G$5/$B$5),0))))</f>
        <v/>
      </c>
      <c r="M85" s="128" t="str">
        <f>IF($M$8="Habilitado",IF($A85="","",ROUND(VLOOKUP($A85,'Presupuesto Consolidado'!$AY$12:$BD$80,6,FALSE),2)),"")</f>
        <v/>
      </c>
      <c r="N85" s="129" t="str">
        <f>IF($A85="","",IF(M85="","",IF($K$4="Media aritmética",(M85&lt;=$B85)*($G$5/$B$5)+(M85&gt;$B85)*0,IF(AND(ROUND(AVERAGE($C85,$E85,$G85,$I85,$K85,$M85,$O85,$Q85,$S85,$U85,#REF!,#REF!,#REF!,#REF!,#REF!),2)-$B85/2&lt;=M85,(ROUND(AVERAGE($C85,$E85,$G85,$I85,$K85,$M85,$O85,$Q85,$S85,$U85,#REF!,#REF!,#REF!,#REF!,#REF!),2)+$B85/2&gt;=M85)),($G$5/$B$5),0))))</f>
        <v/>
      </c>
      <c r="O85" s="128" t="str">
        <f>IF($O$8="Habilitado",IF($A85="","",ROUND(VLOOKUP($A85,'Presupuesto Consolidado'!$BI$12:$BN$80,6,FALSE),2)),"")</f>
        <v/>
      </c>
      <c r="P85" s="129" t="str">
        <f>IF($A85="","",IF(O85="","",IF($K$4="Media aritmética",(O85&lt;=$B85)*($G$5/$B$5)+(O85&gt;$B85)*0,IF(AND(ROUND(AVERAGE($C85,$E85,$G85,$I85,$K85,$M85,$O85,$Q85,$S85,$U85,#REF!,#REF!,#REF!,#REF!,#REF!),2)-$B85/2&lt;=O85,(ROUND(AVERAGE($C85,$E85,$G85,$I85,$K85,$M85,$O85,$Q85,$S85,$U85,#REF!,#REF!,#REF!,#REF!,#REF!),2)+$B85/2&gt;=O85)),($G$5/$B$5),0))))</f>
        <v/>
      </c>
      <c r="Q85" s="128" t="str">
        <f>IF($Q$8="Habilitado",IF($A85="","",ROUND(VLOOKUP($A85,'Presupuesto Consolidado'!$BS$12:$BX$80,6,FALSE),2)),"")</f>
        <v/>
      </c>
      <c r="R85" s="129" t="str">
        <f>IF($A85="","",IF(Q85="","",IF($K$4="Media aritmética",(Q85&lt;=$B85)*($G$5/$B$5)+(Q85&gt;$B85)*0,IF(AND(ROUND(AVERAGE($C85,$E85,$G85,$I85,$K85,$M85,$O85,$Q85,$S85,$U85,#REF!,#REF!,#REF!,#REF!,#REF!),2)-$B85/2&lt;=Q85,(ROUND(AVERAGE($C85,$E85,$G85,$I85,$K85,$M85,$O85,$Q85,$S85,$U85,#REF!,#REF!,#REF!,#REF!,#REF!),2)+$B85/2&gt;=Q85)),($G$5/$B$5),0))))</f>
        <v/>
      </c>
      <c r="S85" s="128" t="str">
        <f>IF($S$8="Habilitado",IF($A85="","",ROUND(VLOOKUP($A85,'Presupuesto Consolidado'!$CC$12:$CH$80,6,FALSE),2)),"")</f>
        <v/>
      </c>
      <c r="T85" s="129" t="str">
        <f>IF($A85="","",IF(S85="","",IF($K$4="Media aritmética",(S85&lt;=$B85)*($G$5/$B$5)+(S85&gt;$B85)*0,IF(AND(ROUND(AVERAGE($C85,$E85,$G85,$I85,$K85,$M85,$O85,$Q85,$S85,$U85,#REF!,#REF!,#REF!,#REF!,#REF!),2)-$B85/2&lt;=S85,(ROUND(AVERAGE($C85,$E85,$G85,$I85,$K85,$M85,$O85,$Q85,$S85,$U85,#REF!,#REF!,#REF!,#REF!,#REF!),2)+$B85/2&gt;=S85)),($G$5/$B$5),0))))</f>
        <v/>
      </c>
      <c r="U85" s="128" t="str">
        <f>IF($U$8="Habilitado",IF($A85="","",ROUND(VLOOKUP($A85,'Presupuesto Consolidado'!$CM$12:$CR$80,6,FALSE),2)),"")</f>
        <v/>
      </c>
      <c r="V85" s="129" t="str">
        <f>IF($A85="","",IF(U85="","",IF($K$4="Media aritmética",(U85&lt;=$B85)*($G$5/$B$5)+(U85&gt;$B85)*0,IF(AND(ROUND(AVERAGE($C85,$E85,$G85,$I85,$K85,$M85,$O85,$Q85,$S85,$U85,#REF!,#REF!,#REF!,#REF!,#REF!),2)-$B85/2&lt;=U85,(ROUND(AVERAGE($C85,$E85,$G85,$I85,$K85,$M85,$O85,$Q85,$S85,$U85,#REF!,#REF!,#REF!,#REF!,#REF!),2)+$B85/2&gt;=U85)),($G$5/$B$5),0))))</f>
        <v/>
      </c>
    </row>
  </sheetData>
  <sheetProtection password="A658" sheet="1" objects="1" scenarios="1" formatColumns="0" formatRows="0"/>
  <mergeCells count="65">
    <mergeCell ref="A10:B10"/>
    <mergeCell ref="A9:B9"/>
    <mergeCell ref="K10:L10"/>
    <mergeCell ref="M10:N10"/>
    <mergeCell ref="O10:P10"/>
    <mergeCell ref="C9:D9"/>
    <mergeCell ref="A13:V13"/>
    <mergeCell ref="A35:V35"/>
    <mergeCell ref="A11:B11"/>
    <mergeCell ref="C11:D11"/>
    <mergeCell ref="E11:F11"/>
    <mergeCell ref="G11:H11"/>
    <mergeCell ref="I11:J11"/>
    <mergeCell ref="K11:L11"/>
    <mergeCell ref="M11:N11"/>
    <mergeCell ref="O11:P11"/>
    <mergeCell ref="Q11:R11"/>
    <mergeCell ref="S11:T11"/>
    <mergeCell ref="U10:V10"/>
    <mergeCell ref="U11:V11"/>
    <mergeCell ref="C10:D10"/>
    <mergeCell ref="E10:F10"/>
    <mergeCell ref="K9:L9"/>
    <mergeCell ref="M9:N9"/>
    <mergeCell ref="O9:P9"/>
    <mergeCell ref="E9:F9"/>
    <mergeCell ref="G9:H9"/>
    <mergeCell ref="I9:J9"/>
    <mergeCell ref="G10:H10"/>
    <mergeCell ref="I10:J10"/>
    <mergeCell ref="Q9:R9"/>
    <mergeCell ref="S9:T9"/>
    <mergeCell ref="Q10:R10"/>
    <mergeCell ref="S10:T10"/>
    <mergeCell ref="S7:T7"/>
    <mergeCell ref="U7:V7"/>
    <mergeCell ref="S8:T8"/>
    <mergeCell ref="U8:V8"/>
    <mergeCell ref="U9:V9"/>
    <mergeCell ref="Q8:R8"/>
    <mergeCell ref="A3:B3"/>
    <mergeCell ref="A1:V1"/>
    <mergeCell ref="E5:F5"/>
    <mergeCell ref="E4:F4"/>
    <mergeCell ref="G4:H4"/>
    <mergeCell ref="G5:H5"/>
    <mergeCell ref="E3:H3"/>
    <mergeCell ref="K3:M3"/>
    <mergeCell ref="K4:M5"/>
    <mergeCell ref="A7:A8"/>
    <mergeCell ref="Q7:R7"/>
    <mergeCell ref="G7:H7"/>
    <mergeCell ref="I7:J7"/>
    <mergeCell ref="K7:L7"/>
    <mergeCell ref="M7:N7"/>
    <mergeCell ref="O7:P7"/>
    <mergeCell ref="E8:F8"/>
    <mergeCell ref="E7:F7"/>
    <mergeCell ref="C8:D8"/>
    <mergeCell ref="C7:D7"/>
    <mergeCell ref="G8:H8"/>
    <mergeCell ref="I8:J8"/>
    <mergeCell ref="K8:L8"/>
    <mergeCell ref="M8:N8"/>
    <mergeCell ref="O8:P8"/>
  </mergeCells>
  <printOptions horizontalCentered="1"/>
  <pageMargins left="0.39370078740157483" right="0.19685039370078741" top="0.39370078740157483" bottom="0.19685039370078741" header="0.31496062992125984" footer="0.31496062992125984"/>
  <pageSetup scale="85"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outlinePr summaryBelow="0" summaryRight="0"/>
    <pageSetUpPr fitToPage="1"/>
  </sheetPr>
  <dimension ref="A1:CV100"/>
  <sheetViews>
    <sheetView showGridLines="0" zoomScale="55" zoomScaleNormal="55" zoomScaleSheetLayoutView="96" zoomScalePageLayoutView="96" workbookViewId="0">
      <pane ySplit="1" topLeftCell="A2" activePane="bottomLeft" state="frozen"/>
      <selection pane="bottomLeft" activeCell="C12" sqref="C12"/>
    </sheetView>
  </sheetViews>
  <sheetFormatPr baseColWidth="10" defaultColWidth="11.42578125" defaultRowHeight="23.25" outlineLevelRow="2"/>
  <cols>
    <col min="1" max="1" width="8.85546875" style="211" customWidth="1"/>
    <col min="2" max="2" width="71.42578125" style="204" customWidth="1"/>
    <col min="3" max="5" width="14.140625" style="204" customWidth="1"/>
    <col min="6" max="6" width="26.7109375" style="204" customWidth="1"/>
    <col min="7" max="7" width="30.140625" style="204" customWidth="1"/>
    <col min="8" max="8" width="8.28515625" style="204" customWidth="1"/>
    <col min="9" max="9" width="22.5703125" style="204" customWidth="1"/>
    <col min="10" max="10" width="4" style="225" customWidth="1"/>
    <col min="11" max="11" width="8.85546875" style="211" customWidth="1"/>
    <col min="12" max="12" width="71.42578125" style="204" customWidth="1"/>
    <col min="13" max="14" width="14.140625" style="204" customWidth="1"/>
    <col min="15" max="15" width="17.28515625" style="204" customWidth="1"/>
    <col min="16" max="16" width="28.85546875" style="204" customWidth="1"/>
    <col min="17" max="17" width="25.140625" style="204" customWidth="1"/>
    <col min="18" max="18" width="8.28515625" style="204" customWidth="1"/>
    <col min="19" max="19" width="22.5703125" style="204" customWidth="1"/>
    <col min="20" max="20" width="4" style="225" customWidth="1"/>
    <col min="21" max="21" width="8.85546875" style="211" customWidth="1"/>
    <col min="22" max="22" width="71.42578125" style="204" customWidth="1"/>
    <col min="23" max="24" width="14.140625" style="204" customWidth="1"/>
    <col min="25" max="25" width="22.42578125" style="204" customWidth="1"/>
    <col min="26" max="26" width="27.5703125" style="204" customWidth="1"/>
    <col min="27" max="27" width="24.42578125" style="204" customWidth="1"/>
    <col min="28" max="28" width="8.28515625" style="204" customWidth="1"/>
    <col min="29" max="29" width="22.5703125" style="204" customWidth="1"/>
    <col min="30" max="30" width="4" style="225" customWidth="1"/>
    <col min="31" max="31" width="8.85546875" style="211" customWidth="1"/>
    <col min="32" max="32" width="71.42578125" style="204" customWidth="1"/>
    <col min="33" max="34" width="14.140625" style="204" customWidth="1"/>
    <col min="35" max="35" width="26.140625" style="204" customWidth="1"/>
    <col min="36" max="36" width="22.5703125" style="204" customWidth="1"/>
    <col min="37" max="37" width="25.5703125" style="204" customWidth="1"/>
    <col min="38" max="38" width="8.28515625" style="204" customWidth="1"/>
    <col min="39" max="39" width="22.5703125" style="204" customWidth="1"/>
    <col min="40" max="40" width="4" style="225" customWidth="1"/>
    <col min="41" max="41" width="8.85546875" style="211" customWidth="1"/>
    <col min="42" max="42" width="71.42578125" style="204" customWidth="1"/>
    <col min="43" max="44" width="14.140625" style="204" customWidth="1"/>
    <col min="45" max="45" width="33.140625" style="204" customWidth="1"/>
    <col min="46" max="46" width="29" style="204" customWidth="1"/>
    <col min="47" max="47" width="25.28515625" style="204" customWidth="1"/>
    <col min="48" max="48" width="8.28515625" style="204" customWidth="1"/>
    <col min="49" max="49" width="22.5703125" style="204" customWidth="1"/>
    <col min="50" max="50" width="4" style="225" customWidth="1"/>
    <col min="51" max="51" width="8.85546875" style="211" customWidth="1"/>
    <col min="52" max="52" width="71.42578125" style="204" customWidth="1"/>
    <col min="53" max="55" width="14.140625" style="204" customWidth="1"/>
    <col min="56" max="56" width="31.85546875" style="204" customWidth="1"/>
    <col min="57" max="57" width="26" style="204" customWidth="1"/>
    <col min="58" max="58" width="8.28515625" style="204" customWidth="1"/>
    <col min="59" max="59" width="22.5703125" style="204" customWidth="1"/>
    <col min="60" max="60" width="4" style="225" customWidth="1"/>
    <col min="61" max="61" width="8.85546875" style="211" customWidth="1"/>
    <col min="62" max="62" width="71.42578125" style="204" customWidth="1"/>
    <col min="63" max="64" width="14.140625" style="204" customWidth="1"/>
    <col min="65" max="65" width="30.140625" style="204" customWidth="1"/>
    <col min="66" max="66" width="33.42578125" style="204" customWidth="1"/>
    <col min="67" max="67" width="24.85546875" style="204" customWidth="1"/>
    <col min="68" max="68" width="11.42578125" style="204" customWidth="1"/>
    <col min="69" max="69" width="22.5703125" style="204" customWidth="1"/>
    <col min="70" max="70" width="4" style="225" customWidth="1"/>
    <col min="71" max="71" width="8.85546875" style="211" customWidth="1"/>
    <col min="72" max="72" width="71.42578125" style="204" customWidth="1"/>
    <col min="73" max="74" width="14.140625" style="204" customWidth="1"/>
    <col min="75" max="75" width="29.42578125" style="204" customWidth="1"/>
    <col min="76" max="76" width="31.7109375" style="204" customWidth="1"/>
    <col min="77" max="77" width="25.5703125" style="204" customWidth="1"/>
    <col min="78" max="78" width="8.28515625" style="204" customWidth="1"/>
    <col min="79" max="79" width="22.5703125" style="204" customWidth="1"/>
    <col min="80" max="80" width="4" style="225" customWidth="1"/>
    <col min="81" max="81" width="8.85546875" style="211" customWidth="1"/>
    <col min="82" max="82" width="71.42578125" style="204" customWidth="1"/>
    <col min="83" max="84" width="14.140625" style="204" customWidth="1"/>
    <col min="85" max="85" width="28.28515625" style="204" customWidth="1"/>
    <col min="86" max="86" width="33.28515625" style="204" customWidth="1"/>
    <col min="87" max="87" width="24.5703125" style="204" customWidth="1"/>
    <col min="88" max="88" width="8.28515625" style="204" customWidth="1"/>
    <col min="89" max="89" width="22.5703125" style="204" customWidth="1"/>
    <col min="90" max="90" width="4" style="225" customWidth="1"/>
    <col min="91" max="91" width="8.85546875" style="211" customWidth="1"/>
    <col min="92" max="92" width="71.42578125" style="204" customWidth="1"/>
    <col min="93" max="94" width="14.140625" style="204" customWidth="1"/>
    <col min="95" max="95" width="18.5703125" style="204" customWidth="1"/>
    <col min="96" max="96" width="36.28515625" style="204" customWidth="1"/>
    <col min="97" max="97" width="25.28515625" style="204" customWidth="1"/>
    <col min="98" max="98" width="8.28515625" style="204" customWidth="1"/>
    <col min="99" max="99" width="22.5703125" style="204" customWidth="1"/>
    <col min="100" max="100" width="4" style="225" customWidth="1"/>
    <col min="101" max="16384" width="11.42578125" style="204"/>
  </cols>
  <sheetData>
    <row r="1" spans="1:100" ht="24" thickBot="1">
      <c r="A1" s="203">
        <f>IF(ENTREGA!A7="","",ENTREGA!A7)</f>
        <v>1</v>
      </c>
      <c r="B1" s="947" t="str">
        <f>IF(A1="","",VLOOKUP(A1,ENTREGA!$A$7:$B$16,2,FALSE))</f>
        <v>GUSTAVO ADOLFO CARMONA ALARCON</v>
      </c>
      <c r="C1" s="947"/>
      <c r="D1" s="947"/>
      <c r="E1" s="947"/>
      <c r="F1" s="947"/>
      <c r="G1" s="278"/>
      <c r="H1" s="278"/>
      <c r="I1" s="278"/>
      <c r="K1" s="203">
        <f>IF(ENTREGA!A8="","",ENTREGA!A8)</f>
        <v>2</v>
      </c>
      <c r="L1" s="947" t="str">
        <f>IF(K1="","",VLOOKUP(K1,ENTREGA!$A$7:$B$16,2,FALSE))</f>
        <v>VERTICES INGENIERIA</v>
      </c>
      <c r="M1" s="947"/>
      <c r="N1" s="947"/>
      <c r="O1" s="947"/>
      <c r="P1" s="947"/>
      <c r="Q1" s="278"/>
      <c r="R1" s="278"/>
      <c r="S1" s="278"/>
      <c r="U1" s="203">
        <f>IF(ENTREGA!A9="","",ENTREGA!A9)</f>
        <v>3</v>
      </c>
      <c r="V1" s="947" t="str">
        <f>IF(U1="","",VLOOKUP(U1,ENTREGA!$A$7:$B$16,2,FALSE))</f>
        <v>INGENIERIA DE ALTURA S.A.S</v>
      </c>
      <c r="W1" s="947"/>
      <c r="X1" s="947"/>
      <c r="Y1" s="947"/>
      <c r="Z1" s="947"/>
      <c r="AA1" s="278"/>
      <c r="AB1" s="278"/>
      <c r="AC1" s="278"/>
      <c r="AE1" s="203">
        <f>IF(ENTREGA!A10="","",ENTREGA!A10)</f>
        <v>4</v>
      </c>
      <c r="AF1" s="947" t="str">
        <f>IF(AE1="","",VLOOKUP(AE1,ENTREGA!$A$7:$B$16,2,FALSE))</f>
        <v>URBANICO S.A.S</v>
      </c>
      <c r="AG1" s="947"/>
      <c r="AH1" s="947"/>
      <c r="AI1" s="947"/>
      <c r="AJ1" s="947"/>
      <c r="AK1" s="278"/>
      <c r="AL1" s="278"/>
      <c r="AM1" s="278"/>
      <c r="AO1" s="203">
        <f>IF(ENTREGA!A11="","",ENTREGA!A11)</f>
        <v>5</v>
      </c>
      <c r="AP1" s="947" t="str">
        <f>IF(AO1="","",VLOOKUP(AO1,ENTREGA!$A$7:$B$16,2,FALSE))</f>
        <v>LUIS ENRIQUE OYOLA QUINTERO</v>
      </c>
      <c r="AQ1" s="947"/>
      <c r="AR1" s="947"/>
      <c r="AS1" s="947"/>
      <c r="AT1" s="947"/>
      <c r="AU1" s="278"/>
      <c r="AV1" s="278"/>
      <c r="AW1" s="278"/>
      <c r="AY1" s="203">
        <f>IF(ENTREGA!A12="","",ENTREGA!A12)</f>
        <v>6</v>
      </c>
      <c r="AZ1" s="947" t="str">
        <f>IF(AY1="","",VLOOKUP(AY1,ENTREGA!$A$7:$B$16,2,FALSE))</f>
        <v>INGAP S.A.S</v>
      </c>
      <c r="BA1" s="947"/>
      <c r="BB1" s="947"/>
      <c r="BC1" s="947"/>
      <c r="BD1" s="947"/>
      <c r="BE1" s="278"/>
      <c r="BF1" s="278"/>
      <c r="BG1" s="278"/>
      <c r="BI1" s="203">
        <f>IF(ENTREGA!A13="","",ENTREGA!A13)</f>
        <v>7</v>
      </c>
      <c r="BJ1" s="947" t="str">
        <f>IF(BI1="","",VLOOKUP(BI1,ENTREGA!$A$7:$B$16,2,FALSE))</f>
        <v>GUSTAVO ENRIQUE CARDONA VERGARA</v>
      </c>
      <c r="BK1" s="947"/>
      <c r="BL1" s="947"/>
      <c r="BM1" s="947"/>
      <c r="BN1" s="947"/>
      <c r="BO1" s="278"/>
      <c r="BP1" s="278"/>
      <c r="BQ1" s="278"/>
      <c r="BS1" s="203">
        <f>IF(ENTREGA!A14="","",ENTREGA!A14)</f>
        <v>8</v>
      </c>
      <c r="BT1" s="947" t="str">
        <f>IF(BS1="","",VLOOKUP(BS1,ENTREGA!$A$7:$B$16,2,FALSE))</f>
        <v>ASESORES EMPRESARIALES Y CONSTRUCTORES S.A.S</v>
      </c>
      <c r="BU1" s="947"/>
      <c r="BV1" s="947"/>
      <c r="BW1" s="947"/>
      <c r="BX1" s="947"/>
      <c r="BY1" s="278"/>
      <c r="BZ1" s="278"/>
      <c r="CA1" s="278"/>
      <c r="CC1" s="203">
        <f>IF(ENTREGA!A15="","",ENTREGA!A15)</f>
        <v>9</v>
      </c>
      <c r="CD1" s="947" t="str">
        <f>IF(CC1="","",VLOOKUP(CC1,ENTREGA!$A$7:$B$16,2,FALSE))</f>
        <v>DANIEL JOSE NIEVES VERGARA</v>
      </c>
      <c r="CE1" s="947"/>
      <c r="CF1" s="947"/>
      <c r="CG1" s="947"/>
      <c r="CH1" s="947"/>
      <c r="CI1" s="278"/>
      <c r="CJ1" s="278"/>
      <c r="CK1" s="278"/>
      <c r="CM1" s="203">
        <f>IF(ENTREGA!A16="","",ENTREGA!A16)</f>
        <v>10</v>
      </c>
      <c r="CN1" s="947" t="str">
        <f>IF(CM1="","",VLOOKUP(CM1,ENTREGA!$A$7:$B$16,2,FALSE))</f>
        <v>BETEL INGENIEROS S.A.S</v>
      </c>
      <c r="CO1" s="947"/>
      <c r="CP1" s="947"/>
      <c r="CQ1" s="947"/>
      <c r="CR1" s="947"/>
      <c r="CS1" s="278"/>
      <c r="CT1" s="278"/>
      <c r="CU1" s="278"/>
    </row>
    <row r="2" spans="1:100" ht="24.75" customHeight="1" thickTop="1" thickBot="1">
      <c r="A2" s="930"/>
      <c r="B2" s="931"/>
      <c r="C2" s="905" t="s">
        <v>7</v>
      </c>
      <c r="D2" s="906"/>
      <c r="E2" s="906"/>
      <c r="F2" s="906"/>
      <c r="G2" s="907"/>
      <c r="H2" s="711"/>
      <c r="I2" s="711"/>
      <c r="J2" s="279"/>
      <c r="K2" s="930" t="s">
        <v>178</v>
      </c>
      <c r="L2" s="931"/>
      <c r="M2" s="905" t="s">
        <v>7</v>
      </c>
      <c r="N2" s="906"/>
      <c r="O2" s="906"/>
      <c r="P2" s="906"/>
      <c r="Q2" s="907"/>
      <c r="R2" s="711"/>
      <c r="S2" s="711"/>
      <c r="T2" s="279"/>
      <c r="U2" s="941" t="s">
        <v>178</v>
      </c>
      <c r="V2" s="942"/>
      <c r="W2" s="962" t="s">
        <v>7</v>
      </c>
      <c r="X2" s="963"/>
      <c r="Y2" s="963"/>
      <c r="Z2" s="963"/>
      <c r="AA2" s="964"/>
      <c r="AB2" s="711"/>
      <c r="AC2" s="711"/>
      <c r="AD2" s="279"/>
      <c r="AE2" s="897" t="s">
        <v>178</v>
      </c>
      <c r="AF2" s="898"/>
      <c r="AG2" s="905" t="s">
        <v>7</v>
      </c>
      <c r="AH2" s="906"/>
      <c r="AI2" s="906"/>
      <c r="AJ2" s="906"/>
      <c r="AK2" s="907"/>
      <c r="AL2" s="711"/>
      <c r="AM2" s="711"/>
      <c r="AN2" s="279"/>
      <c r="AO2" s="897" t="s">
        <v>178</v>
      </c>
      <c r="AP2" s="898"/>
      <c r="AQ2" s="905" t="s">
        <v>7</v>
      </c>
      <c r="AR2" s="906"/>
      <c r="AS2" s="906"/>
      <c r="AT2" s="906"/>
      <c r="AU2" s="906"/>
      <c r="AV2" s="711"/>
      <c r="AW2" s="711"/>
      <c r="AX2" s="279"/>
      <c r="AY2" s="897" t="s">
        <v>178</v>
      </c>
      <c r="AZ2" s="898"/>
      <c r="BA2" s="905" t="s">
        <v>7</v>
      </c>
      <c r="BB2" s="906"/>
      <c r="BC2" s="906"/>
      <c r="BD2" s="906"/>
      <c r="BE2" s="907"/>
      <c r="BF2" s="711"/>
      <c r="BG2" s="711"/>
      <c r="BH2" s="279"/>
      <c r="BI2" s="897"/>
      <c r="BJ2" s="898"/>
      <c r="BK2" s="905" t="s">
        <v>7</v>
      </c>
      <c r="BL2" s="906"/>
      <c r="BM2" s="906"/>
      <c r="BN2" s="906"/>
      <c r="BO2" s="907"/>
      <c r="BP2" s="711"/>
      <c r="BQ2" s="711"/>
      <c r="BR2" s="279"/>
      <c r="BS2" s="897"/>
      <c r="BT2" s="898"/>
      <c r="BU2" s="905" t="s">
        <v>7</v>
      </c>
      <c r="BV2" s="906"/>
      <c r="BW2" s="906"/>
      <c r="BX2" s="906"/>
      <c r="BY2" s="907"/>
      <c r="BZ2" s="711"/>
      <c r="CA2" s="711"/>
      <c r="CB2" s="279"/>
      <c r="CC2" s="897"/>
      <c r="CD2" s="898"/>
      <c r="CE2" s="905" t="s">
        <v>7</v>
      </c>
      <c r="CF2" s="906"/>
      <c r="CG2" s="906"/>
      <c r="CH2" s="906"/>
      <c r="CI2" s="907"/>
      <c r="CJ2" s="711"/>
      <c r="CK2" s="711"/>
      <c r="CL2" s="279"/>
      <c r="CM2" s="897" t="s">
        <v>178</v>
      </c>
      <c r="CN2" s="898"/>
      <c r="CO2" s="905" t="s">
        <v>7</v>
      </c>
      <c r="CP2" s="906"/>
      <c r="CQ2" s="906"/>
      <c r="CR2" s="906"/>
      <c r="CS2" s="907"/>
      <c r="CT2" s="711"/>
      <c r="CU2" s="711"/>
      <c r="CV2" s="279"/>
    </row>
    <row r="3" spans="1:100" ht="18" customHeight="1" thickTop="1">
      <c r="A3" s="932"/>
      <c r="B3" s="933"/>
      <c r="C3" s="908" t="s">
        <v>179</v>
      </c>
      <c r="D3" s="909"/>
      <c r="E3" s="909"/>
      <c r="F3" s="909"/>
      <c r="G3" s="910"/>
      <c r="H3" s="712"/>
      <c r="I3" s="712"/>
      <c r="J3" s="279"/>
      <c r="K3" s="932"/>
      <c r="L3" s="933"/>
      <c r="M3" s="908" t="s">
        <v>179</v>
      </c>
      <c r="N3" s="909"/>
      <c r="O3" s="909"/>
      <c r="P3" s="909"/>
      <c r="Q3" s="910"/>
      <c r="R3" s="712"/>
      <c r="S3" s="712"/>
      <c r="T3" s="279"/>
      <c r="U3" s="943"/>
      <c r="V3" s="944"/>
      <c r="W3" s="965" t="s">
        <v>179</v>
      </c>
      <c r="X3" s="966"/>
      <c r="Y3" s="966"/>
      <c r="Z3" s="966"/>
      <c r="AA3" s="967"/>
      <c r="AB3" s="712"/>
      <c r="AC3" s="712"/>
      <c r="AD3" s="279"/>
      <c r="AE3" s="899"/>
      <c r="AF3" s="900"/>
      <c r="AG3" s="908" t="s">
        <v>179</v>
      </c>
      <c r="AH3" s="909"/>
      <c r="AI3" s="909"/>
      <c r="AJ3" s="909"/>
      <c r="AK3" s="910"/>
      <c r="AL3" s="712"/>
      <c r="AM3" s="712"/>
      <c r="AN3" s="279"/>
      <c r="AO3" s="899"/>
      <c r="AP3" s="900"/>
      <c r="AQ3" s="908" t="s">
        <v>179</v>
      </c>
      <c r="AR3" s="909"/>
      <c r="AS3" s="909"/>
      <c r="AT3" s="909"/>
      <c r="AU3" s="909"/>
      <c r="AV3" s="712"/>
      <c r="AW3" s="712"/>
      <c r="AX3" s="279"/>
      <c r="AY3" s="899"/>
      <c r="AZ3" s="900"/>
      <c r="BA3" s="908" t="s">
        <v>179</v>
      </c>
      <c r="BB3" s="909"/>
      <c r="BC3" s="909"/>
      <c r="BD3" s="909"/>
      <c r="BE3" s="910"/>
      <c r="BF3" s="712"/>
      <c r="BG3" s="712"/>
      <c r="BH3" s="279"/>
      <c r="BI3" s="899"/>
      <c r="BJ3" s="900"/>
      <c r="BK3" s="908" t="s">
        <v>179</v>
      </c>
      <c r="BL3" s="909"/>
      <c r="BM3" s="909"/>
      <c r="BN3" s="909"/>
      <c r="BO3" s="910"/>
      <c r="BP3" s="712"/>
      <c r="BQ3" s="712"/>
      <c r="BR3" s="279"/>
      <c r="BS3" s="899"/>
      <c r="BT3" s="900"/>
      <c r="BU3" s="908" t="s">
        <v>179</v>
      </c>
      <c r="BV3" s="909"/>
      <c r="BW3" s="909"/>
      <c r="BX3" s="909"/>
      <c r="BY3" s="910"/>
      <c r="BZ3" s="712"/>
      <c r="CA3" s="712"/>
      <c r="CB3" s="279"/>
      <c r="CC3" s="899"/>
      <c r="CD3" s="900"/>
      <c r="CE3" s="908" t="s">
        <v>179</v>
      </c>
      <c r="CF3" s="909"/>
      <c r="CG3" s="909"/>
      <c r="CH3" s="909"/>
      <c r="CI3" s="910"/>
      <c r="CJ3" s="712"/>
      <c r="CK3" s="712"/>
      <c r="CL3" s="279"/>
      <c r="CM3" s="899"/>
      <c r="CN3" s="900"/>
      <c r="CO3" s="908" t="s">
        <v>179</v>
      </c>
      <c r="CP3" s="909"/>
      <c r="CQ3" s="909"/>
      <c r="CR3" s="909"/>
      <c r="CS3" s="910"/>
      <c r="CT3" s="712"/>
      <c r="CU3" s="712"/>
      <c r="CV3" s="279"/>
    </row>
    <row r="4" spans="1:100" ht="9" customHeight="1">
      <c r="A4" s="932"/>
      <c r="B4" s="933"/>
      <c r="C4" s="911"/>
      <c r="D4" s="912"/>
      <c r="E4" s="912"/>
      <c r="F4" s="912"/>
      <c r="G4" s="913"/>
      <c r="H4" s="712"/>
      <c r="I4" s="712"/>
      <c r="J4" s="279"/>
      <c r="K4" s="932"/>
      <c r="L4" s="933"/>
      <c r="M4" s="911"/>
      <c r="N4" s="912"/>
      <c r="O4" s="912"/>
      <c r="P4" s="912"/>
      <c r="Q4" s="913"/>
      <c r="R4" s="712"/>
      <c r="S4" s="712"/>
      <c r="T4" s="279"/>
      <c r="U4" s="943"/>
      <c r="V4" s="944"/>
      <c r="W4" s="968"/>
      <c r="X4" s="969"/>
      <c r="Y4" s="969"/>
      <c r="Z4" s="969"/>
      <c r="AA4" s="970"/>
      <c r="AB4" s="712"/>
      <c r="AC4" s="712"/>
      <c r="AD4" s="279"/>
      <c r="AE4" s="899"/>
      <c r="AF4" s="900"/>
      <c r="AG4" s="911"/>
      <c r="AH4" s="912"/>
      <c r="AI4" s="912"/>
      <c r="AJ4" s="912"/>
      <c r="AK4" s="913"/>
      <c r="AL4" s="712"/>
      <c r="AM4" s="712"/>
      <c r="AN4" s="279"/>
      <c r="AO4" s="899"/>
      <c r="AP4" s="900"/>
      <c r="AQ4" s="911"/>
      <c r="AR4" s="912"/>
      <c r="AS4" s="912"/>
      <c r="AT4" s="912"/>
      <c r="AU4" s="912"/>
      <c r="AV4" s="712"/>
      <c r="AW4" s="712"/>
      <c r="AX4" s="279"/>
      <c r="AY4" s="899"/>
      <c r="AZ4" s="900"/>
      <c r="BA4" s="911"/>
      <c r="BB4" s="912"/>
      <c r="BC4" s="912"/>
      <c r="BD4" s="912"/>
      <c r="BE4" s="913"/>
      <c r="BF4" s="712"/>
      <c r="BG4" s="712"/>
      <c r="BH4" s="279"/>
      <c r="BI4" s="899"/>
      <c r="BJ4" s="900"/>
      <c r="BK4" s="911"/>
      <c r="BL4" s="912"/>
      <c r="BM4" s="912"/>
      <c r="BN4" s="912"/>
      <c r="BO4" s="913"/>
      <c r="BP4" s="712"/>
      <c r="BQ4" s="712"/>
      <c r="BR4" s="279"/>
      <c r="BS4" s="899"/>
      <c r="BT4" s="900"/>
      <c r="BU4" s="911"/>
      <c r="BV4" s="912"/>
      <c r="BW4" s="912"/>
      <c r="BX4" s="912"/>
      <c r="BY4" s="913"/>
      <c r="BZ4" s="712"/>
      <c r="CA4" s="712"/>
      <c r="CB4" s="279"/>
      <c r="CC4" s="899"/>
      <c r="CD4" s="900"/>
      <c r="CE4" s="911"/>
      <c r="CF4" s="912"/>
      <c r="CG4" s="912"/>
      <c r="CH4" s="912"/>
      <c r="CI4" s="913"/>
      <c r="CJ4" s="712"/>
      <c r="CK4" s="712"/>
      <c r="CL4" s="279"/>
      <c r="CM4" s="899"/>
      <c r="CN4" s="900"/>
      <c r="CO4" s="911"/>
      <c r="CP4" s="912"/>
      <c r="CQ4" s="912"/>
      <c r="CR4" s="912"/>
      <c r="CS4" s="913"/>
      <c r="CT4" s="712"/>
      <c r="CU4" s="712"/>
      <c r="CV4" s="279"/>
    </row>
    <row r="5" spans="1:100" ht="3.75" customHeight="1" thickBot="1">
      <c r="A5" s="932"/>
      <c r="B5" s="933"/>
      <c r="C5" s="914"/>
      <c r="D5" s="915"/>
      <c r="E5" s="915"/>
      <c r="F5" s="915"/>
      <c r="G5" s="916"/>
      <c r="H5" s="712"/>
      <c r="I5" s="712"/>
      <c r="J5" s="279"/>
      <c r="K5" s="932"/>
      <c r="L5" s="933"/>
      <c r="M5" s="914"/>
      <c r="N5" s="915"/>
      <c r="O5" s="915"/>
      <c r="P5" s="915"/>
      <c r="Q5" s="916"/>
      <c r="R5" s="712"/>
      <c r="S5" s="712"/>
      <c r="T5" s="279"/>
      <c r="U5" s="943"/>
      <c r="V5" s="944"/>
      <c r="W5" s="971"/>
      <c r="X5" s="972"/>
      <c r="Y5" s="972"/>
      <c r="Z5" s="972"/>
      <c r="AA5" s="973"/>
      <c r="AB5" s="712"/>
      <c r="AC5" s="712"/>
      <c r="AD5" s="279"/>
      <c r="AE5" s="899"/>
      <c r="AF5" s="900"/>
      <c r="AG5" s="914"/>
      <c r="AH5" s="915"/>
      <c r="AI5" s="915"/>
      <c r="AJ5" s="915"/>
      <c r="AK5" s="916"/>
      <c r="AL5" s="712"/>
      <c r="AM5" s="712"/>
      <c r="AN5" s="279"/>
      <c r="AO5" s="899"/>
      <c r="AP5" s="900"/>
      <c r="AQ5" s="914"/>
      <c r="AR5" s="915"/>
      <c r="AS5" s="915"/>
      <c r="AT5" s="915"/>
      <c r="AU5" s="915"/>
      <c r="AV5" s="712"/>
      <c r="AW5" s="712"/>
      <c r="AX5" s="279"/>
      <c r="AY5" s="899"/>
      <c r="AZ5" s="900"/>
      <c r="BA5" s="914"/>
      <c r="BB5" s="915"/>
      <c r="BC5" s="915"/>
      <c r="BD5" s="915"/>
      <c r="BE5" s="916"/>
      <c r="BF5" s="712"/>
      <c r="BG5" s="712"/>
      <c r="BH5" s="279"/>
      <c r="BI5" s="899"/>
      <c r="BJ5" s="900"/>
      <c r="BK5" s="914"/>
      <c r="BL5" s="915"/>
      <c r="BM5" s="915"/>
      <c r="BN5" s="915"/>
      <c r="BO5" s="916"/>
      <c r="BP5" s="712"/>
      <c r="BQ5" s="712"/>
      <c r="BR5" s="279"/>
      <c r="BS5" s="899"/>
      <c r="BT5" s="900"/>
      <c r="BU5" s="914"/>
      <c r="BV5" s="915"/>
      <c r="BW5" s="915"/>
      <c r="BX5" s="915"/>
      <c r="BY5" s="916"/>
      <c r="BZ5" s="712"/>
      <c r="CA5" s="712"/>
      <c r="CB5" s="279"/>
      <c r="CC5" s="899"/>
      <c r="CD5" s="900"/>
      <c r="CE5" s="914"/>
      <c r="CF5" s="915"/>
      <c r="CG5" s="915"/>
      <c r="CH5" s="915"/>
      <c r="CI5" s="916"/>
      <c r="CJ5" s="712"/>
      <c r="CK5" s="712"/>
      <c r="CL5" s="279"/>
      <c r="CM5" s="899"/>
      <c r="CN5" s="900"/>
      <c r="CO5" s="914"/>
      <c r="CP5" s="915"/>
      <c r="CQ5" s="915"/>
      <c r="CR5" s="915"/>
      <c r="CS5" s="916"/>
      <c r="CT5" s="712"/>
      <c r="CU5" s="712"/>
      <c r="CV5" s="279"/>
    </row>
    <row r="6" spans="1:100" ht="6.75" customHeight="1" thickTop="1">
      <c r="A6" s="932"/>
      <c r="B6" s="933"/>
      <c r="C6" s="917" t="s">
        <v>180</v>
      </c>
      <c r="D6" s="919" t="s">
        <v>181</v>
      </c>
      <c r="E6" s="920"/>
      <c r="F6" s="920"/>
      <c r="G6" s="921"/>
      <c r="H6" s="713"/>
      <c r="I6" s="713"/>
      <c r="J6" s="279"/>
      <c r="K6" s="932"/>
      <c r="L6" s="933"/>
      <c r="M6" s="917" t="s">
        <v>180</v>
      </c>
      <c r="N6" s="919" t="s">
        <v>181</v>
      </c>
      <c r="O6" s="920"/>
      <c r="P6" s="920"/>
      <c r="Q6" s="921"/>
      <c r="R6" s="713"/>
      <c r="S6" s="713"/>
      <c r="T6" s="279"/>
      <c r="U6" s="943"/>
      <c r="V6" s="944"/>
      <c r="W6" s="974" t="s">
        <v>180</v>
      </c>
      <c r="X6" s="965" t="s">
        <v>181</v>
      </c>
      <c r="Y6" s="966"/>
      <c r="Z6" s="966"/>
      <c r="AA6" s="967"/>
      <c r="AB6" s="713"/>
      <c r="AC6" s="713"/>
      <c r="AD6" s="279"/>
      <c r="AE6" s="899"/>
      <c r="AF6" s="900"/>
      <c r="AG6" s="917" t="s">
        <v>180</v>
      </c>
      <c r="AH6" s="919" t="s">
        <v>181</v>
      </c>
      <c r="AI6" s="920"/>
      <c r="AJ6" s="920"/>
      <c r="AK6" s="921"/>
      <c r="AL6" s="713"/>
      <c r="AM6" s="713"/>
      <c r="AN6" s="279"/>
      <c r="AO6" s="899"/>
      <c r="AP6" s="900"/>
      <c r="AQ6" s="917" t="s">
        <v>180</v>
      </c>
      <c r="AR6" s="919" t="s">
        <v>181</v>
      </c>
      <c r="AS6" s="920"/>
      <c r="AT6" s="920"/>
      <c r="AU6" s="920"/>
      <c r="AV6" s="713"/>
      <c r="AW6" s="713"/>
      <c r="AX6" s="279"/>
      <c r="AY6" s="899"/>
      <c r="AZ6" s="900"/>
      <c r="BA6" s="917" t="s">
        <v>180</v>
      </c>
      <c r="BB6" s="919" t="s">
        <v>181</v>
      </c>
      <c r="BC6" s="920"/>
      <c r="BD6" s="920"/>
      <c r="BE6" s="921"/>
      <c r="BF6" s="713"/>
      <c r="BG6" s="713"/>
      <c r="BH6" s="279"/>
      <c r="BI6" s="899"/>
      <c r="BJ6" s="900"/>
      <c r="BK6" s="917" t="s">
        <v>180</v>
      </c>
      <c r="BL6" s="919" t="s">
        <v>181</v>
      </c>
      <c r="BM6" s="920"/>
      <c r="BN6" s="920"/>
      <c r="BO6" s="921"/>
      <c r="BP6" s="713"/>
      <c r="BQ6" s="713"/>
      <c r="BR6" s="279"/>
      <c r="BS6" s="899"/>
      <c r="BT6" s="900"/>
      <c r="BU6" s="917" t="s">
        <v>180</v>
      </c>
      <c r="BV6" s="919" t="s">
        <v>181</v>
      </c>
      <c r="BW6" s="920"/>
      <c r="BX6" s="920"/>
      <c r="BY6" s="921"/>
      <c r="BZ6" s="713"/>
      <c r="CA6" s="713"/>
      <c r="CB6" s="279"/>
      <c r="CC6" s="899"/>
      <c r="CD6" s="900"/>
      <c r="CE6" s="917" t="s">
        <v>180</v>
      </c>
      <c r="CF6" s="919" t="s">
        <v>181</v>
      </c>
      <c r="CG6" s="920"/>
      <c r="CH6" s="920"/>
      <c r="CI6" s="921"/>
      <c r="CJ6" s="713"/>
      <c r="CK6" s="713"/>
      <c r="CL6" s="279"/>
      <c r="CM6" s="899"/>
      <c r="CN6" s="900"/>
      <c r="CO6" s="917" t="s">
        <v>180</v>
      </c>
      <c r="CP6" s="919" t="s">
        <v>181</v>
      </c>
      <c r="CQ6" s="920"/>
      <c r="CR6" s="920"/>
      <c r="CS6" s="921"/>
      <c r="CT6" s="713"/>
      <c r="CU6" s="713"/>
      <c r="CV6" s="279"/>
    </row>
    <row r="7" spans="1:100" ht="82.5" customHeight="1" thickBot="1">
      <c r="A7" s="934"/>
      <c r="B7" s="935"/>
      <c r="C7" s="918"/>
      <c r="D7" s="922"/>
      <c r="E7" s="923"/>
      <c r="F7" s="923"/>
      <c r="G7" s="924"/>
      <c r="H7" s="713"/>
      <c r="I7" s="713"/>
      <c r="J7" s="279"/>
      <c r="K7" s="934"/>
      <c r="L7" s="935"/>
      <c r="M7" s="918"/>
      <c r="N7" s="922"/>
      <c r="O7" s="923"/>
      <c r="P7" s="923"/>
      <c r="Q7" s="924"/>
      <c r="R7" s="713"/>
      <c r="S7" s="713"/>
      <c r="T7" s="279"/>
      <c r="U7" s="945"/>
      <c r="V7" s="946"/>
      <c r="W7" s="975"/>
      <c r="X7" s="971"/>
      <c r="Y7" s="972"/>
      <c r="Z7" s="972"/>
      <c r="AA7" s="973"/>
      <c r="AB7" s="713"/>
      <c r="AC7" s="713"/>
      <c r="AD7" s="279"/>
      <c r="AE7" s="901"/>
      <c r="AF7" s="902"/>
      <c r="AG7" s="918"/>
      <c r="AH7" s="922"/>
      <c r="AI7" s="923"/>
      <c r="AJ7" s="923"/>
      <c r="AK7" s="924"/>
      <c r="AL7" s="713"/>
      <c r="AM7" s="713"/>
      <c r="AN7" s="279"/>
      <c r="AO7" s="901"/>
      <c r="AP7" s="902"/>
      <c r="AQ7" s="918"/>
      <c r="AR7" s="922"/>
      <c r="AS7" s="923"/>
      <c r="AT7" s="923"/>
      <c r="AU7" s="923"/>
      <c r="AV7" s="713"/>
      <c r="AW7" s="713"/>
      <c r="AX7" s="279"/>
      <c r="AY7" s="901"/>
      <c r="AZ7" s="902"/>
      <c r="BA7" s="918"/>
      <c r="BB7" s="922"/>
      <c r="BC7" s="923"/>
      <c r="BD7" s="923"/>
      <c r="BE7" s="924"/>
      <c r="BF7" s="713"/>
      <c r="BG7" s="713"/>
      <c r="BH7" s="279"/>
      <c r="BI7" s="901"/>
      <c r="BJ7" s="902"/>
      <c r="BK7" s="918"/>
      <c r="BL7" s="922"/>
      <c r="BM7" s="923"/>
      <c r="BN7" s="923"/>
      <c r="BO7" s="924"/>
      <c r="BP7" s="713"/>
      <c r="BQ7" s="713"/>
      <c r="BR7" s="279"/>
      <c r="BS7" s="901"/>
      <c r="BT7" s="902"/>
      <c r="BU7" s="918"/>
      <c r="BV7" s="922"/>
      <c r="BW7" s="923"/>
      <c r="BX7" s="923"/>
      <c r="BY7" s="924"/>
      <c r="BZ7" s="713"/>
      <c r="CA7" s="713"/>
      <c r="CB7" s="279"/>
      <c r="CC7" s="901"/>
      <c r="CD7" s="902"/>
      <c r="CE7" s="918"/>
      <c r="CF7" s="922"/>
      <c r="CG7" s="923"/>
      <c r="CH7" s="923"/>
      <c r="CI7" s="924"/>
      <c r="CJ7" s="713"/>
      <c r="CK7" s="713"/>
      <c r="CL7" s="279"/>
      <c r="CM7" s="901"/>
      <c r="CN7" s="902"/>
      <c r="CO7" s="918"/>
      <c r="CP7" s="922"/>
      <c r="CQ7" s="923"/>
      <c r="CR7" s="923"/>
      <c r="CS7" s="924"/>
      <c r="CT7" s="713"/>
      <c r="CU7" s="713"/>
      <c r="CV7" s="279"/>
    </row>
    <row r="8" spans="1:100" s="205" customFormat="1" ht="24.75" thickTop="1" thickBot="1">
      <c r="A8" s="280"/>
      <c r="B8" s="407"/>
      <c r="C8" s="925" t="s">
        <v>182</v>
      </c>
      <c r="D8" s="925"/>
      <c r="E8" s="925"/>
      <c r="F8" s="925"/>
      <c r="G8" s="926"/>
      <c r="H8" s="714"/>
      <c r="I8" s="714"/>
      <c r="J8" s="279"/>
      <c r="K8" s="280"/>
      <c r="L8" s="281"/>
      <c r="M8" s="925" t="s">
        <v>182</v>
      </c>
      <c r="N8" s="925"/>
      <c r="O8" s="925"/>
      <c r="P8" s="925"/>
      <c r="Q8" s="926"/>
      <c r="R8" s="714"/>
      <c r="S8" s="714"/>
      <c r="T8" s="279"/>
      <c r="U8" s="471"/>
      <c r="V8" s="472"/>
      <c r="W8" s="976" t="s">
        <v>182</v>
      </c>
      <c r="X8" s="977"/>
      <c r="Y8" s="977"/>
      <c r="Z8" s="977"/>
      <c r="AA8" s="978"/>
      <c r="AB8" s="714"/>
      <c r="AC8" s="714"/>
      <c r="AD8" s="279"/>
      <c r="AE8" s="280"/>
      <c r="AF8" s="281"/>
      <c r="AG8" s="925" t="s">
        <v>182</v>
      </c>
      <c r="AH8" s="925"/>
      <c r="AI8" s="925"/>
      <c r="AJ8" s="925"/>
      <c r="AK8" s="926"/>
      <c r="AL8" s="714"/>
      <c r="AM8" s="714"/>
      <c r="AN8" s="279"/>
      <c r="AO8" s="280"/>
      <c r="AP8" s="658"/>
      <c r="AQ8" s="925" t="s">
        <v>182</v>
      </c>
      <c r="AR8" s="925"/>
      <c r="AS8" s="925"/>
      <c r="AT8" s="925"/>
      <c r="AU8" s="925"/>
      <c r="AV8" s="714"/>
      <c r="AW8" s="714"/>
      <c r="AX8" s="279"/>
      <c r="AY8" s="280"/>
      <c r="AZ8" s="281"/>
      <c r="BA8" s="925" t="s">
        <v>182</v>
      </c>
      <c r="BB8" s="925"/>
      <c r="BC8" s="925"/>
      <c r="BD8" s="925"/>
      <c r="BE8" s="926"/>
      <c r="BF8" s="714"/>
      <c r="BG8" s="714"/>
      <c r="BH8" s="279"/>
      <c r="BI8" s="280"/>
      <c r="BJ8" s="658"/>
      <c r="BK8" s="925" t="s">
        <v>182</v>
      </c>
      <c r="BL8" s="925"/>
      <c r="BM8" s="925"/>
      <c r="BN8" s="925"/>
      <c r="BO8" s="926"/>
      <c r="BP8" s="714"/>
      <c r="BQ8" s="714"/>
      <c r="BR8" s="279"/>
      <c r="BS8" s="280"/>
      <c r="BT8" s="658"/>
      <c r="BU8" s="925" t="s">
        <v>182</v>
      </c>
      <c r="BV8" s="925"/>
      <c r="BW8" s="925"/>
      <c r="BX8" s="925"/>
      <c r="BY8" s="926"/>
      <c r="BZ8" s="714"/>
      <c r="CA8" s="714"/>
      <c r="CB8" s="279"/>
      <c r="CC8" s="280"/>
      <c r="CD8" s="658"/>
      <c r="CE8" s="925" t="s">
        <v>182</v>
      </c>
      <c r="CF8" s="925"/>
      <c r="CG8" s="925"/>
      <c r="CH8" s="925"/>
      <c r="CI8" s="926"/>
      <c r="CJ8" s="714"/>
      <c r="CK8" s="714"/>
      <c r="CL8" s="279"/>
      <c r="CM8" s="280"/>
      <c r="CN8" s="281"/>
      <c r="CO8" s="925" t="s">
        <v>182</v>
      </c>
      <c r="CP8" s="925"/>
      <c r="CQ8" s="925"/>
      <c r="CR8" s="925"/>
      <c r="CS8" s="926"/>
      <c r="CT8" s="714"/>
      <c r="CU8" s="714"/>
      <c r="CV8" s="279"/>
    </row>
    <row r="9" spans="1:100" s="205" customFormat="1" ht="30.75" thickBot="1">
      <c r="A9" s="282" t="s">
        <v>21</v>
      </c>
      <c r="B9" s="365" t="s">
        <v>183</v>
      </c>
      <c r="C9" s="283" t="s">
        <v>184</v>
      </c>
      <c r="D9" s="284" t="s">
        <v>185</v>
      </c>
      <c r="E9" s="285" t="s">
        <v>56</v>
      </c>
      <c r="F9" s="408" t="s">
        <v>57</v>
      </c>
      <c r="G9" s="287" t="s">
        <v>186</v>
      </c>
      <c r="H9" s="715"/>
      <c r="I9" s="715"/>
      <c r="J9" s="279"/>
      <c r="K9" s="282" t="s">
        <v>21</v>
      </c>
      <c r="L9" s="365" t="s">
        <v>183</v>
      </c>
      <c r="M9" s="283" t="s">
        <v>184</v>
      </c>
      <c r="N9" s="284" t="s">
        <v>185</v>
      </c>
      <c r="O9" s="285" t="s">
        <v>56</v>
      </c>
      <c r="P9" s="286" t="s">
        <v>57</v>
      </c>
      <c r="Q9" s="287" t="s">
        <v>186</v>
      </c>
      <c r="R9" s="715"/>
      <c r="S9" s="715"/>
      <c r="T9" s="279"/>
      <c r="U9" s="473" t="s">
        <v>21</v>
      </c>
      <c r="V9" s="474" t="s">
        <v>183</v>
      </c>
      <c r="W9" s="475" t="s">
        <v>184</v>
      </c>
      <c r="X9" s="476" t="s">
        <v>185</v>
      </c>
      <c r="Y9" s="477" t="s">
        <v>56</v>
      </c>
      <c r="Z9" s="478" t="s">
        <v>57</v>
      </c>
      <c r="AA9" s="479" t="s">
        <v>186</v>
      </c>
      <c r="AB9" s="715"/>
      <c r="AC9" s="715"/>
      <c r="AD9" s="279"/>
      <c r="AE9" s="282" t="s">
        <v>21</v>
      </c>
      <c r="AF9" s="365" t="s">
        <v>183</v>
      </c>
      <c r="AG9" s="283" t="s">
        <v>184</v>
      </c>
      <c r="AH9" s="284" t="s">
        <v>185</v>
      </c>
      <c r="AI9" s="285" t="s">
        <v>56</v>
      </c>
      <c r="AJ9" s="579" t="s">
        <v>57</v>
      </c>
      <c r="AK9" s="287" t="s">
        <v>186</v>
      </c>
      <c r="AL9" s="715"/>
      <c r="AM9" s="715"/>
      <c r="AN9" s="279"/>
      <c r="AO9" s="282" t="s">
        <v>21</v>
      </c>
      <c r="AP9" s="659" t="s">
        <v>183</v>
      </c>
      <c r="AQ9" s="283" t="s">
        <v>184</v>
      </c>
      <c r="AR9" s="284" t="s">
        <v>185</v>
      </c>
      <c r="AS9" s="285" t="s">
        <v>56</v>
      </c>
      <c r="AT9" s="660" t="s">
        <v>57</v>
      </c>
      <c r="AU9" s="697" t="s">
        <v>186</v>
      </c>
      <c r="AV9" s="715"/>
      <c r="AW9" s="715"/>
      <c r="AX9" s="279"/>
      <c r="AY9" s="282" t="s">
        <v>21</v>
      </c>
      <c r="AZ9" s="365" t="s">
        <v>183</v>
      </c>
      <c r="BA9" s="283" t="s">
        <v>184</v>
      </c>
      <c r="BB9" s="284" t="s">
        <v>185</v>
      </c>
      <c r="BC9" s="285" t="s">
        <v>56</v>
      </c>
      <c r="BD9" s="286" t="s">
        <v>57</v>
      </c>
      <c r="BE9" s="287" t="s">
        <v>186</v>
      </c>
      <c r="BF9" s="715"/>
      <c r="BG9" s="715"/>
      <c r="BH9" s="279"/>
      <c r="BI9" s="282" t="s">
        <v>21</v>
      </c>
      <c r="BJ9" s="659" t="s">
        <v>183</v>
      </c>
      <c r="BK9" s="283" t="s">
        <v>184</v>
      </c>
      <c r="BL9" s="284" t="s">
        <v>185</v>
      </c>
      <c r="BM9" s="285" t="s">
        <v>56</v>
      </c>
      <c r="BN9" s="660" t="s">
        <v>57</v>
      </c>
      <c r="BO9" s="287" t="s">
        <v>186</v>
      </c>
      <c r="BP9" s="715"/>
      <c r="BQ9" s="715"/>
      <c r="BR9" s="279"/>
      <c r="BS9" s="282" t="s">
        <v>21</v>
      </c>
      <c r="BT9" s="659" t="s">
        <v>183</v>
      </c>
      <c r="BU9" s="283" t="s">
        <v>184</v>
      </c>
      <c r="BV9" s="284" t="s">
        <v>185</v>
      </c>
      <c r="BW9" s="285" t="s">
        <v>56</v>
      </c>
      <c r="BX9" s="660" t="s">
        <v>57</v>
      </c>
      <c r="BY9" s="287" t="s">
        <v>186</v>
      </c>
      <c r="BZ9" s="715"/>
      <c r="CA9" s="715"/>
      <c r="CB9" s="279"/>
      <c r="CC9" s="282" t="s">
        <v>21</v>
      </c>
      <c r="CD9" s="659" t="s">
        <v>183</v>
      </c>
      <c r="CE9" s="283" t="s">
        <v>184</v>
      </c>
      <c r="CF9" s="284" t="s">
        <v>185</v>
      </c>
      <c r="CG9" s="285" t="s">
        <v>56</v>
      </c>
      <c r="CH9" s="660" t="s">
        <v>57</v>
      </c>
      <c r="CI9" s="287" t="s">
        <v>186</v>
      </c>
      <c r="CJ9" s="715"/>
      <c r="CK9" s="715"/>
      <c r="CL9" s="279"/>
      <c r="CM9" s="282" t="s">
        <v>21</v>
      </c>
      <c r="CN9" s="365" t="s">
        <v>183</v>
      </c>
      <c r="CO9" s="283" t="s">
        <v>184</v>
      </c>
      <c r="CP9" s="284" t="s">
        <v>185</v>
      </c>
      <c r="CQ9" s="285" t="s">
        <v>56</v>
      </c>
      <c r="CR9" s="286" t="s">
        <v>57</v>
      </c>
      <c r="CS9" s="287" t="s">
        <v>186</v>
      </c>
      <c r="CT9" s="715"/>
      <c r="CU9" s="715"/>
      <c r="CV9" s="279"/>
    </row>
    <row r="10" spans="1:100" s="205" customFormat="1" ht="41.25" customHeight="1" thickTop="1" thickBot="1">
      <c r="A10" s="288"/>
      <c r="B10" s="409" t="s">
        <v>187</v>
      </c>
      <c r="C10" s="290"/>
      <c r="D10" s="291"/>
      <c r="E10" s="292"/>
      <c r="F10" s="410"/>
      <c r="G10" s="294"/>
      <c r="H10" s="895" t="s">
        <v>525</v>
      </c>
      <c r="I10" s="896"/>
      <c r="J10" s="279"/>
      <c r="K10" s="288"/>
      <c r="L10" s="289" t="s">
        <v>187</v>
      </c>
      <c r="M10" s="290"/>
      <c r="N10" s="291"/>
      <c r="O10" s="292"/>
      <c r="P10" s="293"/>
      <c r="Q10" s="294"/>
      <c r="R10" s="895" t="s">
        <v>525</v>
      </c>
      <c r="S10" s="896"/>
      <c r="T10" s="279"/>
      <c r="U10" s="480"/>
      <c r="V10" s="481" t="s">
        <v>187</v>
      </c>
      <c r="W10" s="482"/>
      <c r="X10" s="483"/>
      <c r="Y10" s="484"/>
      <c r="Z10" s="485"/>
      <c r="AA10" s="486"/>
      <c r="AB10" s="895" t="s">
        <v>525</v>
      </c>
      <c r="AC10" s="896"/>
      <c r="AD10" s="279"/>
      <c r="AE10" s="288"/>
      <c r="AF10" s="289" t="s">
        <v>187</v>
      </c>
      <c r="AG10" s="290"/>
      <c r="AH10" s="291"/>
      <c r="AI10" s="292"/>
      <c r="AJ10" s="580"/>
      <c r="AK10" s="294"/>
      <c r="AL10" s="895" t="s">
        <v>525</v>
      </c>
      <c r="AM10" s="896"/>
      <c r="AN10" s="279"/>
      <c r="AO10" s="288"/>
      <c r="AP10" s="661" t="s">
        <v>187</v>
      </c>
      <c r="AQ10" s="290"/>
      <c r="AR10" s="291"/>
      <c r="AS10" s="292"/>
      <c r="AT10" s="662"/>
      <c r="AU10" s="698"/>
      <c r="AV10" s="895" t="s">
        <v>525</v>
      </c>
      <c r="AW10" s="896"/>
      <c r="AX10" s="279"/>
      <c r="AY10" s="288"/>
      <c r="AZ10" s="289" t="s">
        <v>187</v>
      </c>
      <c r="BA10" s="290"/>
      <c r="BB10" s="291"/>
      <c r="BC10" s="292"/>
      <c r="BD10" s="293"/>
      <c r="BE10" s="294"/>
      <c r="BF10" s="895" t="s">
        <v>525</v>
      </c>
      <c r="BG10" s="896"/>
      <c r="BH10" s="279"/>
      <c r="BI10" s="288"/>
      <c r="BJ10" s="661" t="s">
        <v>187</v>
      </c>
      <c r="BK10" s="290"/>
      <c r="BL10" s="291"/>
      <c r="BM10" s="292"/>
      <c r="BN10" s="662"/>
      <c r="BO10" s="294"/>
      <c r="BP10" s="895" t="s">
        <v>525</v>
      </c>
      <c r="BQ10" s="896"/>
      <c r="BR10" s="279"/>
      <c r="BS10" s="288"/>
      <c r="BT10" s="661" t="s">
        <v>187</v>
      </c>
      <c r="BU10" s="290"/>
      <c r="BV10" s="291"/>
      <c r="BW10" s="292"/>
      <c r="BX10" s="662"/>
      <c r="BY10" s="294"/>
      <c r="BZ10" s="895" t="s">
        <v>525</v>
      </c>
      <c r="CA10" s="896"/>
      <c r="CB10" s="279"/>
      <c r="CC10" s="288"/>
      <c r="CD10" s="661" t="s">
        <v>187</v>
      </c>
      <c r="CE10" s="290"/>
      <c r="CF10" s="291"/>
      <c r="CG10" s="292"/>
      <c r="CH10" s="662"/>
      <c r="CI10" s="294"/>
      <c r="CJ10" s="895" t="s">
        <v>525</v>
      </c>
      <c r="CK10" s="896"/>
      <c r="CL10" s="279"/>
      <c r="CM10" s="288"/>
      <c r="CN10" s="289" t="s">
        <v>187</v>
      </c>
      <c r="CO10" s="290"/>
      <c r="CP10" s="291"/>
      <c r="CQ10" s="292"/>
      <c r="CR10" s="293"/>
      <c r="CS10" s="294"/>
      <c r="CT10" s="895" t="s">
        <v>525</v>
      </c>
      <c r="CU10" s="896"/>
      <c r="CV10" s="279"/>
    </row>
    <row r="11" spans="1:100" s="206" customFormat="1" ht="24.75" thickTop="1" thickBot="1">
      <c r="A11" s="295" t="s">
        <v>156</v>
      </c>
      <c r="B11" s="411" t="s">
        <v>188</v>
      </c>
      <c r="C11" s="297"/>
      <c r="D11" s="298"/>
      <c r="E11" s="299"/>
      <c r="F11" s="412"/>
      <c r="G11" s="301">
        <f>SUM(F12:F19)</f>
        <v>21228152</v>
      </c>
      <c r="H11" s="710"/>
      <c r="I11" s="710"/>
      <c r="J11" s="225"/>
      <c r="K11" s="295" t="s">
        <v>156</v>
      </c>
      <c r="L11" s="296" t="s">
        <v>188</v>
      </c>
      <c r="M11" s="297"/>
      <c r="N11" s="298"/>
      <c r="O11" s="299"/>
      <c r="P11" s="300"/>
      <c r="Q11" s="301">
        <f>SUM(P12:P19)</f>
        <v>22996089</v>
      </c>
      <c r="R11" s="710"/>
      <c r="S11" s="710"/>
      <c r="T11" s="225"/>
      <c r="U11" s="487" t="s">
        <v>156</v>
      </c>
      <c r="V11" s="488" t="s">
        <v>188</v>
      </c>
      <c r="W11" s="489"/>
      <c r="X11" s="490"/>
      <c r="Y11" s="491"/>
      <c r="Z11" s="492"/>
      <c r="AA11" s="493">
        <f>SUM(Z12:Z19)</f>
        <v>21079268</v>
      </c>
      <c r="AB11" s="710"/>
      <c r="AC11" s="710"/>
      <c r="AD11" s="225"/>
      <c r="AE11" s="295" t="s">
        <v>156</v>
      </c>
      <c r="AF11" s="296" t="s">
        <v>188</v>
      </c>
      <c r="AG11" s="297"/>
      <c r="AH11" s="298"/>
      <c r="AI11" s="299"/>
      <c r="AJ11" s="581"/>
      <c r="AK11" s="301">
        <f>SUM(AJ12:AJ19)</f>
        <v>20433240</v>
      </c>
      <c r="AL11" s="710"/>
      <c r="AM11" s="710"/>
      <c r="AN11" s="225"/>
      <c r="AO11" s="295" t="s">
        <v>156</v>
      </c>
      <c r="AP11" s="663" t="s">
        <v>188</v>
      </c>
      <c r="AQ11" s="297"/>
      <c r="AR11" s="298"/>
      <c r="AS11" s="299"/>
      <c r="AT11" s="664"/>
      <c r="AU11" s="699">
        <f>SUM(AT12:AT19)</f>
        <v>13988862</v>
      </c>
      <c r="AV11" s="710"/>
      <c r="AW11" s="710"/>
      <c r="AX11" s="225"/>
      <c r="AY11" s="295" t="s">
        <v>156</v>
      </c>
      <c r="AZ11" s="296" t="s">
        <v>188</v>
      </c>
      <c r="BA11" s="297"/>
      <c r="BB11" s="298"/>
      <c r="BC11" s="299"/>
      <c r="BD11" s="300"/>
      <c r="BE11" s="301">
        <f>SUM(BD12:BD19)</f>
        <v>17563803</v>
      </c>
      <c r="BF11" s="710"/>
      <c r="BG11" s="710"/>
      <c r="BH11" s="225"/>
      <c r="BI11" s="295" t="s">
        <v>156</v>
      </c>
      <c r="BJ11" s="663" t="s">
        <v>188</v>
      </c>
      <c r="BK11" s="297"/>
      <c r="BL11" s="298"/>
      <c r="BM11" s="299"/>
      <c r="BN11" s="664"/>
      <c r="BO11" s="301">
        <f>SUM(BN12:BN19)</f>
        <v>15550152</v>
      </c>
      <c r="BP11" s="710"/>
      <c r="BQ11" s="710"/>
      <c r="BR11" s="225"/>
      <c r="BS11" s="295" t="s">
        <v>156</v>
      </c>
      <c r="BT11" s="663" t="s">
        <v>188</v>
      </c>
      <c r="BU11" s="297"/>
      <c r="BV11" s="298"/>
      <c r="BW11" s="299"/>
      <c r="BX11" s="664"/>
      <c r="BY11" s="301">
        <f>SUM(BX12:BX19)</f>
        <v>14903592</v>
      </c>
      <c r="BZ11" s="710"/>
      <c r="CA11" s="710"/>
      <c r="CB11" s="225"/>
      <c r="CC11" s="295" t="s">
        <v>156</v>
      </c>
      <c r="CD11" s="663" t="s">
        <v>188</v>
      </c>
      <c r="CE11" s="297"/>
      <c r="CF11" s="298"/>
      <c r="CG11" s="299"/>
      <c r="CH11" s="664"/>
      <c r="CI11" s="301">
        <f>SUM(CH12:CH19)</f>
        <v>15582541</v>
      </c>
      <c r="CJ11" s="710"/>
      <c r="CK11" s="710"/>
      <c r="CL11" s="225"/>
      <c r="CM11" s="295" t="s">
        <v>156</v>
      </c>
      <c r="CN11" s="296" t="s">
        <v>188</v>
      </c>
      <c r="CO11" s="297"/>
      <c r="CP11" s="298"/>
      <c r="CQ11" s="299"/>
      <c r="CR11" s="300"/>
      <c r="CS11" s="301">
        <f>SUM(CR12:CR19)</f>
        <v>25711311</v>
      </c>
      <c r="CT11" s="710"/>
      <c r="CU11" s="710"/>
      <c r="CV11" s="225"/>
    </row>
    <row r="12" spans="1:100" s="207" customFormat="1" ht="76.5" outlineLevel="1" thickTop="1" thickBot="1">
      <c r="A12" s="302" t="s">
        <v>158</v>
      </c>
      <c r="B12" s="413" t="s">
        <v>189</v>
      </c>
      <c r="C12" s="304" t="s">
        <v>92</v>
      </c>
      <c r="D12" s="305">
        <v>70</v>
      </c>
      <c r="E12" s="414">
        <v>12400</v>
      </c>
      <c r="F12" s="415">
        <f>ROUND(D12*E12,0)</f>
        <v>868000</v>
      </c>
      <c r="G12" s="927">
        <f>+G11/F81</f>
        <v>5.8218897620670645E-2</v>
      </c>
      <c r="H12" s="704"/>
      <c r="I12" s="760">
        <f t="shared" ref="I12:I43" si="0">ROUND(D12*E12,0)</f>
        <v>868000</v>
      </c>
      <c r="J12" s="226">
        <f t="shared" ref="J12:J19" si="1">+IF(E12=0,1,0)</f>
        <v>0</v>
      </c>
      <c r="K12" s="302" t="s">
        <v>158</v>
      </c>
      <c r="L12" s="303" t="s">
        <v>189</v>
      </c>
      <c r="M12" s="304" t="s">
        <v>92</v>
      </c>
      <c r="N12" s="305">
        <v>70</v>
      </c>
      <c r="O12" s="456">
        <v>11000</v>
      </c>
      <c r="P12" s="461">
        <f>ROUND(N12*O12,0)</f>
        <v>770000</v>
      </c>
      <c r="Q12" s="927">
        <f>+Q11/P81</f>
        <v>6.2698773920351253E-2</v>
      </c>
      <c r="R12" s="704"/>
      <c r="S12" s="760">
        <f t="shared" ref="S12:S43" si="2">ROUND(N12*O12,0)</f>
        <v>770000</v>
      </c>
      <c r="T12" s="226">
        <f t="shared" ref="T12:T19" si="3">+IF(O12=0,1,0)</f>
        <v>0</v>
      </c>
      <c r="U12" s="494" t="s">
        <v>158</v>
      </c>
      <c r="V12" s="495" t="s">
        <v>418</v>
      </c>
      <c r="W12" s="496" t="s">
        <v>92</v>
      </c>
      <c r="X12" s="497">
        <v>70</v>
      </c>
      <c r="Y12" s="498">
        <v>12781</v>
      </c>
      <c r="Z12" s="497">
        <f>ROUND(X12*Y12,0)</f>
        <v>894670</v>
      </c>
      <c r="AA12" s="499">
        <f>+AA11/Z81</f>
        <v>5.8255080248642892E-2</v>
      </c>
      <c r="AB12" s="704"/>
      <c r="AC12" s="760">
        <f t="shared" ref="AC12:AC43" si="4">ROUND(X12*Y12,0)</f>
        <v>894670</v>
      </c>
      <c r="AD12" s="226">
        <f t="shared" ref="AD12:AD19" si="5">+IF(Y12=0,1,0)</f>
        <v>0</v>
      </c>
      <c r="AE12" s="582" t="s">
        <v>158</v>
      </c>
      <c r="AF12" s="583" t="s">
        <v>471</v>
      </c>
      <c r="AG12" s="584" t="s">
        <v>92</v>
      </c>
      <c r="AH12" s="585">
        <v>70</v>
      </c>
      <c r="AI12" s="586">
        <v>10000</v>
      </c>
      <c r="AJ12" s="587">
        <f>ROUND(AH12*AI12,0)</f>
        <v>700000</v>
      </c>
      <c r="AK12" s="927"/>
      <c r="AL12" s="704"/>
      <c r="AM12" s="760">
        <f t="shared" ref="AM12:AM43" si="6">ROUND(AH12*AI12,0)</f>
        <v>700000</v>
      </c>
      <c r="AN12" s="226">
        <f t="shared" ref="AN12:AN19" si="7">+IF(AI12=0,1,0)</f>
        <v>0</v>
      </c>
      <c r="AO12" s="302" t="s">
        <v>158</v>
      </c>
      <c r="AP12" s="665" t="s">
        <v>189</v>
      </c>
      <c r="AQ12" s="304" t="s">
        <v>92</v>
      </c>
      <c r="AR12" s="305">
        <v>70</v>
      </c>
      <c r="AS12" s="306">
        <v>10200</v>
      </c>
      <c r="AT12" s="666">
        <f>ROUND(AR12*AS12,0)</f>
        <v>714000</v>
      </c>
      <c r="AU12" s="955">
        <f>+AU11/AT81</f>
        <v>3.7657795533327904E-2</v>
      </c>
      <c r="AV12" s="704"/>
      <c r="AW12" s="760">
        <f t="shared" ref="AW12:AW43" si="8">ROUND(AR12*AS12,0)</f>
        <v>714000</v>
      </c>
      <c r="AX12" s="226">
        <f t="shared" ref="AX12:AX19" si="9">+IF(AS12=0,1,0)</f>
        <v>0</v>
      </c>
      <c r="AY12" s="302" t="s">
        <v>158</v>
      </c>
      <c r="AZ12" s="303" t="s">
        <v>189</v>
      </c>
      <c r="BA12" s="304" t="s">
        <v>92</v>
      </c>
      <c r="BB12" s="305">
        <v>70</v>
      </c>
      <c r="BC12" s="716">
        <v>13135</v>
      </c>
      <c r="BD12" s="717">
        <f>ROUND(BB12*BC12,0)</f>
        <v>919450</v>
      </c>
      <c r="BE12" s="927">
        <f>+BE11/BD81</f>
        <v>4.9830910481462015E-2</v>
      </c>
      <c r="BF12" s="704"/>
      <c r="BG12" s="760">
        <f t="shared" ref="BG12:BG43" si="10">ROUND(BB12*BC12,0)</f>
        <v>919450</v>
      </c>
      <c r="BH12" s="226">
        <f t="shared" ref="BH12:BH19" si="11">+IF(BC12=0,1,0)</f>
        <v>0</v>
      </c>
      <c r="BI12" s="302" t="s">
        <v>158</v>
      </c>
      <c r="BJ12" s="665" t="s">
        <v>189</v>
      </c>
      <c r="BK12" s="304" t="s">
        <v>92</v>
      </c>
      <c r="BL12" s="305">
        <v>70</v>
      </c>
      <c r="BM12" s="306">
        <v>13100</v>
      </c>
      <c r="BN12" s="666">
        <f>ROUND(BL12*BM12,0)</f>
        <v>917000</v>
      </c>
      <c r="BO12" s="927">
        <f>+BO11/BN81</f>
        <v>4.1882200779487205E-2</v>
      </c>
      <c r="BP12" s="704"/>
      <c r="BQ12" s="760">
        <f t="shared" ref="BQ12:BQ43" si="12">ROUND(BL12*BM12,0)</f>
        <v>917000</v>
      </c>
      <c r="BR12" s="226">
        <f t="shared" ref="BR12:BR19" si="13">+IF(BM12=0,1,0)</f>
        <v>0</v>
      </c>
      <c r="BS12" s="302" t="s">
        <v>158</v>
      </c>
      <c r="BT12" s="665" t="s">
        <v>189</v>
      </c>
      <c r="BU12" s="304" t="s">
        <v>92</v>
      </c>
      <c r="BV12" s="305">
        <v>70</v>
      </c>
      <c r="BW12" s="306">
        <v>11400</v>
      </c>
      <c r="BX12" s="666">
        <f>ROUND(BV12*BW12,0)</f>
        <v>798000</v>
      </c>
      <c r="BY12" s="927">
        <f>+BY11/BX81</f>
        <v>3.9781898366484214E-2</v>
      </c>
      <c r="BZ12" s="704"/>
      <c r="CA12" s="760">
        <f t="shared" ref="CA12:CA43" si="14">ROUND(BV12*BW12,0)</f>
        <v>798000</v>
      </c>
      <c r="CB12" s="226">
        <f t="shared" ref="CB12:CB19" si="15">+IF(BW12=0,1,0)</f>
        <v>0</v>
      </c>
      <c r="CC12" s="302" t="s">
        <v>158</v>
      </c>
      <c r="CD12" s="665" t="s">
        <v>189</v>
      </c>
      <c r="CE12" s="304" t="s">
        <v>92</v>
      </c>
      <c r="CF12" s="305">
        <v>70</v>
      </c>
      <c r="CG12" s="306">
        <v>10800</v>
      </c>
      <c r="CH12" s="666">
        <f>ROUND(CF12*CG12,0)</f>
        <v>756000</v>
      </c>
      <c r="CI12" s="927">
        <f>+CI11/CH81</f>
        <v>4.181732721900612E-2</v>
      </c>
      <c r="CJ12" s="704"/>
      <c r="CK12" s="760">
        <f t="shared" ref="CK12:CK43" si="16">ROUND(CF12*CG12,0)</f>
        <v>756000</v>
      </c>
      <c r="CL12" s="226">
        <f t="shared" ref="CL12:CL19" si="17">+IF(CG12=0,1,0)</f>
        <v>0</v>
      </c>
      <c r="CM12" s="302">
        <v>1.1000000000000001</v>
      </c>
      <c r="CN12" s="742" t="s">
        <v>189</v>
      </c>
      <c r="CO12" s="304" t="s">
        <v>92</v>
      </c>
      <c r="CP12" s="305">
        <v>70</v>
      </c>
      <c r="CQ12" s="306">
        <v>19500</v>
      </c>
      <c r="CR12" s="461">
        <f>ROUND(CP12*CQ12,0)</f>
        <v>1365000</v>
      </c>
      <c r="CS12" s="927">
        <f>+CS11/CR81</f>
        <v>7.1137873585939163E-2</v>
      </c>
      <c r="CT12" s="704"/>
      <c r="CU12" s="760">
        <f t="shared" ref="CU12:CU43" si="18">ROUND(CP12*CQ12,0)</f>
        <v>1365000</v>
      </c>
      <c r="CV12" s="226">
        <f t="shared" ref="CV12:CV19" si="19">+IF(CQ12=0,1,0)</f>
        <v>0</v>
      </c>
    </row>
    <row r="13" spans="1:100" s="207" customFormat="1" ht="61.5" outlineLevel="1" thickTop="1" thickBot="1">
      <c r="A13" s="302" t="s">
        <v>138</v>
      </c>
      <c r="B13" s="416" t="s">
        <v>190</v>
      </c>
      <c r="C13" s="308" t="s">
        <v>191</v>
      </c>
      <c r="D13" s="309">
        <v>83.06</v>
      </c>
      <c r="E13" s="414">
        <v>48300</v>
      </c>
      <c r="F13" s="417">
        <f t="shared" ref="F13:F19" si="20">ROUND(D13*E13,0)</f>
        <v>4011798</v>
      </c>
      <c r="G13" s="928"/>
      <c r="H13" s="704"/>
      <c r="I13" s="760">
        <f t="shared" si="0"/>
        <v>4011798</v>
      </c>
      <c r="J13" s="226">
        <f t="shared" si="1"/>
        <v>0</v>
      </c>
      <c r="K13" s="302" t="s">
        <v>138</v>
      </c>
      <c r="L13" s="307" t="s">
        <v>190</v>
      </c>
      <c r="M13" s="308" t="s">
        <v>191</v>
      </c>
      <c r="N13" s="309">
        <v>83.06</v>
      </c>
      <c r="O13" s="456">
        <v>47000</v>
      </c>
      <c r="P13" s="462">
        <f t="shared" ref="P13:P19" si="21">ROUND(N13*O13,0)</f>
        <v>3903820</v>
      </c>
      <c r="Q13" s="928"/>
      <c r="R13" s="704"/>
      <c r="S13" s="760">
        <f t="shared" si="2"/>
        <v>3903820</v>
      </c>
      <c r="T13" s="226">
        <f t="shared" si="3"/>
        <v>0</v>
      </c>
      <c r="U13" s="494" t="s">
        <v>138</v>
      </c>
      <c r="V13" s="495" t="s">
        <v>419</v>
      </c>
      <c r="W13" s="500" t="s">
        <v>191</v>
      </c>
      <c r="X13" s="501">
        <v>83.06</v>
      </c>
      <c r="Y13" s="498">
        <v>35800</v>
      </c>
      <c r="Z13" s="501">
        <f t="shared" ref="Z13:Z19" si="22">ROUND(X13*Y13,0)</f>
        <v>2973548</v>
      </c>
      <c r="AA13" s="502"/>
      <c r="AB13" s="704"/>
      <c r="AC13" s="760">
        <f t="shared" si="4"/>
        <v>2973548</v>
      </c>
      <c r="AD13" s="226">
        <f t="shared" si="5"/>
        <v>0</v>
      </c>
      <c r="AE13" s="582" t="s">
        <v>138</v>
      </c>
      <c r="AF13" s="588" t="s">
        <v>472</v>
      </c>
      <c r="AG13" s="589" t="s">
        <v>191</v>
      </c>
      <c r="AH13" s="590">
        <v>83.06</v>
      </c>
      <c r="AI13" s="586">
        <v>35000</v>
      </c>
      <c r="AJ13" s="591">
        <f t="shared" ref="AJ13:AJ19" si="23">ROUND(AH13*AI13,0)</f>
        <v>2907100</v>
      </c>
      <c r="AK13" s="928"/>
      <c r="AL13" s="704"/>
      <c r="AM13" s="760">
        <f t="shared" si="6"/>
        <v>2907100</v>
      </c>
      <c r="AN13" s="226">
        <f t="shared" si="7"/>
        <v>0</v>
      </c>
      <c r="AO13" s="302" t="s">
        <v>138</v>
      </c>
      <c r="AP13" s="667" t="s">
        <v>190</v>
      </c>
      <c r="AQ13" s="308" t="s">
        <v>191</v>
      </c>
      <c r="AR13" s="309">
        <v>83.06</v>
      </c>
      <c r="AS13" s="306">
        <v>41300</v>
      </c>
      <c r="AT13" s="668">
        <f t="shared" ref="AT13:AT19" si="24">ROUND(AR13*AS13,0)</f>
        <v>3430378</v>
      </c>
      <c r="AU13" s="956"/>
      <c r="AV13" s="704"/>
      <c r="AW13" s="760">
        <f t="shared" si="8"/>
        <v>3430378</v>
      </c>
      <c r="AX13" s="226">
        <f t="shared" si="9"/>
        <v>0</v>
      </c>
      <c r="AY13" s="302" t="s">
        <v>138</v>
      </c>
      <c r="AZ13" s="307" t="s">
        <v>190</v>
      </c>
      <c r="BA13" s="308" t="s">
        <v>191</v>
      </c>
      <c r="BB13" s="309">
        <v>83.06</v>
      </c>
      <c r="BC13" s="716">
        <v>41180</v>
      </c>
      <c r="BD13" s="718">
        <f t="shared" ref="BD13:BD19" si="25">ROUND(BB13*BC13,0)</f>
        <v>3420411</v>
      </c>
      <c r="BE13" s="928"/>
      <c r="BF13" s="704"/>
      <c r="BG13" s="760">
        <f t="shared" si="10"/>
        <v>3420411</v>
      </c>
      <c r="BH13" s="226">
        <f t="shared" si="11"/>
        <v>0</v>
      </c>
      <c r="BI13" s="302" t="s">
        <v>138</v>
      </c>
      <c r="BJ13" s="667" t="s">
        <v>190</v>
      </c>
      <c r="BK13" s="308" t="s">
        <v>191</v>
      </c>
      <c r="BL13" s="309">
        <v>83.06</v>
      </c>
      <c r="BM13" s="306">
        <v>38900</v>
      </c>
      <c r="BN13" s="668">
        <f t="shared" ref="BN13:BN19" si="26">ROUND(BL13*BM13,0)</f>
        <v>3231034</v>
      </c>
      <c r="BO13" s="928"/>
      <c r="BP13" s="704"/>
      <c r="BQ13" s="760">
        <f t="shared" si="12"/>
        <v>3231034</v>
      </c>
      <c r="BR13" s="226">
        <f t="shared" si="13"/>
        <v>0</v>
      </c>
      <c r="BS13" s="302" t="s">
        <v>138</v>
      </c>
      <c r="BT13" s="667" t="s">
        <v>190</v>
      </c>
      <c r="BU13" s="308" t="s">
        <v>191</v>
      </c>
      <c r="BV13" s="309">
        <v>83.06</v>
      </c>
      <c r="BW13" s="306">
        <v>40800</v>
      </c>
      <c r="BX13" s="668">
        <f t="shared" ref="BX13:BX19" si="27">ROUND(BV13*BW13,0)</f>
        <v>3388848</v>
      </c>
      <c r="BY13" s="928"/>
      <c r="BZ13" s="704"/>
      <c r="CA13" s="760">
        <f t="shared" si="14"/>
        <v>3388848</v>
      </c>
      <c r="CB13" s="226">
        <f t="shared" si="15"/>
        <v>0</v>
      </c>
      <c r="CC13" s="302" t="s">
        <v>138</v>
      </c>
      <c r="CD13" s="667" t="s">
        <v>190</v>
      </c>
      <c r="CE13" s="308" t="s">
        <v>191</v>
      </c>
      <c r="CF13" s="309">
        <v>83.06</v>
      </c>
      <c r="CG13" s="306">
        <v>39700</v>
      </c>
      <c r="CH13" s="668">
        <f t="shared" ref="CH13:CH19" si="28">ROUND(CF13*CG13,0)</f>
        <v>3297482</v>
      </c>
      <c r="CI13" s="928"/>
      <c r="CJ13" s="704"/>
      <c r="CK13" s="760">
        <f t="shared" si="16"/>
        <v>3297482</v>
      </c>
      <c r="CL13" s="226">
        <f t="shared" si="17"/>
        <v>0</v>
      </c>
      <c r="CM13" s="302">
        <v>1.2</v>
      </c>
      <c r="CN13" s="743" t="s">
        <v>190</v>
      </c>
      <c r="CO13" s="308" t="s">
        <v>191</v>
      </c>
      <c r="CP13" s="309">
        <v>83.06</v>
      </c>
      <c r="CQ13" s="306">
        <v>56900</v>
      </c>
      <c r="CR13" s="462">
        <f t="shared" ref="CR13:CR19" si="29">ROUND(CP13*CQ13,0)</f>
        <v>4726114</v>
      </c>
      <c r="CS13" s="928"/>
      <c r="CT13" s="704"/>
      <c r="CU13" s="760">
        <f t="shared" si="18"/>
        <v>4726114</v>
      </c>
      <c r="CV13" s="226">
        <f t="shared" si="19"/>
        <v>0</v>
      </c>
    </row>
    <row r="14" spans="1:100" s="207" customFormat="1" ht="106.5" outlineLevel="1" thickTop="1" thickBot="1">
      <c r="A14" s="302" t="s">
        <v>139</v>
      </c>
      <c r="B14" s="418" t="s">
        <v>192</v>
      </c>
      <c r="C14" s="311" t="s">
        <v>86</v>
      </c>
      <c r="D14" s="312">
        <v>1320</v>
      </c>
      <c r="E14" s="414">
        <v>8400</v>
      </c>
      <c r="F14" s="419">
        <f t="shared" si="20"/>
        <v>11088000</v>
      </c>
      <c r="G14" s="928"/>
      <c r="H14" s="704"/>
      <c r="I14" s="760">
        <f t="shared" si="0"/>
        <v>11088000</v>
      </c>
      <c r="J14" s="226">
        <f t="shared" si="1"/>
        <v>0</v>
      </c>
      <c r="K14" s="302" t="s">
        <v>139</v>
      </c>
      <c r="L14" s="310" t="s">
        <v>192</v>
      </c>
      <c r="M14" s="311" t="s">
        <v>86</v>
      </c>
      <c r="N14" s="312">
        <v>1320</v>
      </c>
      <c r="O14" s="456">
        <v>9500</v>
      </c>
      <c r="P14" s="463">
        <f t="shared" si="21"/>
        <v>12540000</v>
      </c>
      <c r="Q14" s="928"/>
      <c r="R14" s="704"/>
      <c r="S14" s="760">
        <f t="shared" si="2"/>
        <v>12540000</v>
      </c>
      <c r="T14" s="226">
        <f t="shared" si="3"/>
        <v>0</v>
      </c>
      <c r="U14" s="494" t="s">
        <v>139</v>
      </c>
      <c r="V14" s="495" t="s">
        <v>420</v>
      </c>
      <c r="W14" s="500" t="s">
        <v>86</v>
      </c>
      <c r="X14" s="501">
        <v>1320</v>
      </c>
      <c r="Y14" s="498">
        <v>8776</v>
      </c>
      <c r="Z14" s="503">
        <f t="shared" si="22"/>
        <v>11584320</v>
      </c>
      <c r="AA14" s="502"/>
      <c r="AB14" s="704"/>
      <c r="AC14" s="760">
        <f t="shared" si="4"/>
        <v>11584320</v>
      </c>
      <c r="AD14" s="226">
        <f t="shared" si="5"/>
        <v>0</v>
      </c>
      <c r="AE14" s="582" t="s">
        <v>139</v>
      </c>
      <c r="AF14" s="592" t="s">
        <v>473</v>
      </c>
      <c r="AG14" s="593" t="s">
        <v>86</v>
      </c>
      <c r="AH14" s="594">
        <v>1320</v>
      </c>
      <c r="AI14" s="586">
        <v>8000</v>
      </c>
      <c r="AJ14" s="595">
        <f t="shared" si="23"/>
        <v>10560000</v>
      </c>
      <c r="AK14" s="928"/>
      <c r="AL14" s="704"/>
      <c r="AM14" s="760">
        <f t="shared" si="6"/>
        <v>10560000</v>
      </c>
      <c r="AN14" s="226">
        <f t="shared" si="7"/>
        <v>0</v>
      </c>
      <c r="AO14" s="302" t="s">
        <v>139</v>
      </c>
      <c r="AP14" s="669" t="s">
        <v>192</v>
      </c>
      <c r="AQ14" s="311" t="s">
        <v>86</v>
      </c>
      <c r="AR14" s="312">
        <v>1320</v>
      </c>
      <c r="AS14" s="306">
        <v>4000</v>
      </c>
      <c r="AT14" s="670">
        <f t="shared" si="24"/>
        <v>5280000</v>
      </c>
      <c r="AU14" s="956"/>
      <c r="AV14" s="704"/>
      <c r="AW14" s="760">
        <f t="shared" si="8"/>
        <v>5280000</v>
      </c>
      <c r="AX14" s="226">
        <f t="shared" si="9"/>
        <v>0</v>
      </c>
      <c r="AY14" s="302" t="s">
        <v>139</v>
      </c>
      <c r="AZ14" s="310" t="s">
        <v>192</v>
      </c>
      <c r="BA14" s="311" t="s">
        <v>86</v>
      </c>
      <c r="BB14" s="312">
        <v>1320</v>
      </c>
      <c r="BC14" s="716">
        <v>6500</v>
      </c>
      <c r="BD14" s="719">
        <f t="shared" si="25"/>
        <v>8580000</v>
      </c>
      <c r="BE14" s="928"/>
      <c r="BF14" s="704"/>
      <c r="BG14" s="760">
        <f t="shared" si="10"/>
        <v>8580000</v>
      </c>
      <c r="BH14" s="226">
        <f t="shared" si="11"/>
        <v>0</v>
      </c>
      <c r="BI14" s="302" t="s">
        <v>139</v>
      </c>
      <c r="BJ14" s="669" t="s">
        <v>192</v>
      </c>
      <c r="BK14" s="311" t="s">
        <v>86</v>
      </c>
      <c r="BL14" s="312">
        <v>1320</v>
      </c>
      <c r="BM14" s="306">
        <v>5050</v>
      </c>
      <c r="BN14" s="670">
        <f t="shared" si="26"/>
        <v>6666000</v>
      </c>
      <c r="BO14" s="928"/>
      <c r="BP14" s="704"/>
      <c r="BQ14" s="760">
        <f t="shared" si="12"/>
        <v>6666000</v>
      </c>
      <c r="BR14" s="226">
        <f t="shared" si="13"/>
        <v>0</v>
      </c>
      <c r="BS14" s="302" t="s">
        <v>139</v>
      </c>
      <c r="BT14" s="669" t="s">
        <v>192</v>
      </c>
      <c r="BU14" s="311" t="s">
        <v>86</v>
      </c>
      <c r="BV14" s="312">
        <v>1320</v>
      </c>
      <c r="BW14" s="306">
        <v>4500</v>
      </c>
      <c r="BX14" s="670">
        <f t="shared" si="27"/>
        <v>5940000</v>
      </c>
      <c r="BY14" s="928"/>
      <c r="BZ14" s="704"/>
      <c r="CA14" s="760">
        <f t="shared" si="14"/>
        <v>5940000</v>
      </c>
      <c r="CB14" s="226">
        <f t="shared" si="15"/>
        <v>0</v>
      </c>
      <c r="CC14" s="302" t="s">
        <v>139</v>
      </c>
      <c r="CD14" s="669" t="s">
        <v>192</v>
      </c>
      <c r="CE14" s="311" t="s">
        <v>86</v>
      </c>
      <c r="CF14" s="1023">
        <v>1320</v>
      </c>
      <c r="CG14" s="306">
        <v>5100</v>
      </c>
      <c r="CH14" s="670">
        <f t="shared" si="28"/>
        <v>6732000</v>
      </c>
      <c r="CI14" s="928"/>
      <c r="CJ14" s="704"/>
      <c r="CK14" s="760">
        <f t="shared" si="16"/>
        <v>6732000</v>
      </c>
      <c r="CL14" s="226">
        <f t="shared" si="17"/>
        <v>0</v>
      </c>
      <c r="CM14" s="302" t="s">
        <v>139</v>
      </c>
      <c r="CN14" s="744" t="s">
        <v>192</v>
      </c>
      <c r="CO14" s="311" t="s">
        <v>86</v>
      </c>
      <c r="CP14" s="312">
        <v>1320</v>
      </c>
      <c r="CQ14" s="306">
        <v>9900</v>
      </c>
      <c r="CR14" s="463">
        <f t="shared" si="29"/>
        <v>13068000</v>
      </c>
      <c r="CS14" s="928"/>
      <c r="CT14" s="704"/>
      <c r="CU14" s="760">
        <f t="shared" si="18"/>
        <v>13068000</v>
      </c>
      <c r="CV14" s="226">
        <f t="shared" si="19"/>
        <v>0</v>
      </c>
    </row>
    <row r="15" spans="1:100" s="208" customFormat="1" ht="106.5" outlineLevel="2" thickTop="1" thickBot="1">
      <c r="A15" s="302" t="s">
        <v>140</v>
      </c>
      <c r="B15" s="418" t="s">
        <v>193</v>
      </c>
      <c r="C15" s="311" t="s">
        <v>86</v>
      </c>
      <c r="D15" s="312">
        <v>3</v>
      </c>
      <c r="E15" s="414">
        <v>12000</v>
      </c>
      <c r="F15" s="419">
        <f t="shared" si="20"/>
        <v>36000</v>
      </c>
      <c r="G15" s="928"/>
      <c r="H15" s="704"/>
      <c r="I15" s="760">
        <f t="shared" si="0"/>
        <v>36000</v>
      </c>
      <c r="J15" s="226">
        <f t="shared" si="1"/>
        <v>0</v>
      </c>
      <c r="K15" s="302" t="s">
        <v>140</v>
      </c>
      <c r="L15" s="310" t="s">
        <v>193</v>
      </c>
      <c r="M15" s="311" t="s">
        <v>86</v>
      </c>
      <c r="N15" s="312">
        <v>3</v>
      </c>
      <c r="O15" s="456">
        <v>12000</v>
      </c>
      <c r="P15" s="463">
        <f t="shared" si="21"/>
        <v>36000</v>
      </c>
      <c r="Q15" s="928"/>
      <c r="R15" s="704"/>
      <c r="S15" s="760">
        <f t="shared" si="2"/>
        <v>36000</v>
      </c>
      <c r="T15" s="226">
        <f t="shared" si="3"/>
        <v>0</v>
      </c>
      <c r="U15" s="494" t="s">
        <v>140</v>
      </c>
      <c r="V15" s="504" t="s">
        <v>421</v>
      </c>
      <c r="W15" s="505" t="s">
        <v>86</v>
      </c>
      <c r="X15" s="503">
        <v>3</v>
      </c>
      <c r="Y15" s="498">
        <v>17588</v>
      </c>
      <c r="Z15" s="503">
        <f t="shared" si="22"/>
        <v>52764</v>
      </c>
      <c r="AA15" s="502"/>
      <c r="AB15" s="704"/>
      <c r="AC15" s="760">
        <f t="shared" si="4"/>
        <v>52764</v>
      </c>
      <c r="AD15" s="226">
        <f t="shared" si="5"/>
        <v>0</v>
      </c>
      <c r="AE15" s="582" t="s">
        <v>140</v>
      </c>
      <c r="AF15" s="592" t="s">
        <v>474</v>
      </c>
      <c r="AG15" s="593" t="s">
        <v>86</v>
      </c>
      <c r="AH15" s="594">
        <v>3</v>
      </c>
      <c r="AI15" s="586">
        <v>22000</v>
      </c>
      <c r="AJ15" s="595">
        <f t="shared" si="23"/>
        <v>66000</v>
      </c>
      <c r="AK15" s="928"/>
      <c r="AL15" s="704"/>
      <c r="AM15" s="760">
        <f t="shared" si="6"/>
        <v>66000</v>
      </c>
      <c r="AN15" s="226">
        <f t="shared" si="7"/>
        <v>0</v>
      </c>
      <c r="AO15" s="302" t="s">
        <v>140</v>
      </c>
      <c r="AP15" s="669" t="s">
        <v>193</v>
      </c>
      <c r="AQ15" s="311" t="s">
        <v>86</v>
      </c>
      <c r="AR15" s="312">
        <v>3</v>
      </c>
      <c r="AS15" s="306">
        <v>14300</v>
      </c>
      <c r="AT15" s="670">
        <f t="shared" si="24"/>
        <v>42900</v>
      </c>
      <c r="AU15" s="956"/>
      <c r="AV15" s="704"/>
      <c r="AW15" s="760">
        <f t="shared" si="8"/>
        <v>42900</v>
      </c>
      <c r="AX15" s="226">
        <f t="shared" si="9"/>
        <v>0</v>
      </c>
      <c r="AY15" s="302" t="s">
        <v>140</v>
      </c>
      <c r="AZ15" s="310" t="s">
        <v>193</v>
      </c>
      <c r="BA15" s="311" t="s">
        <v>86</v>
      </c>
      <c r="BB15" s="312">
        <v>3</v>
      </c>
      <c r="BC15" s="716">
        <v>8875</v>
      </c>
      <c r="BD15" s="719">
        <f t="shared" si="25"/>
        <v>26625</v>
      </c>
      <c r="BE15" s="928"/>
      <c r="BF15" s="704"/>
      <c r="BG15" s="760">
        <f t="shared" si="10"/>
        <v>26625</v>
      </c>
      <c r="BH15" s="226">
        <f t="shared" si="11"/>
        <v>0</v>
      </c>
      <c r="BI15" s="302" t="s">
        <v>140</v>
      </c>
      <c r="BJ15" s="669" t="s">
        <v>193</v>
      </c>
      <c r="BK15" s="311" t="s">
        <v>86</v>
      </c>
      <c r="BL15" s="312">
        <v>3</v>
      </c>
      <c r="BM15" s="306">
        <v>13100</v>
      </c>
      <c r="BN15" s="670">
        <f t="shared" si="26"/>
        <v>39300</v>
      </c>
      <c r="BO15" s="928"/>
      <c r="BP15" s="704"/>
      <c r="BQ15" s="760">
        <f t="shared" si="12"/>
        <v>39300</v>
      </c>
      <c r="BR15" s="226">
        <f t="shared" si="13"/>
        <v>0</v>
      </c>
      <c r="BS15" s="302" t="s">
        <v>140</v>
      </c>
      <c r="BT15" s="669" t="s">
        <v>193</v>
      </c>
      <c r="BU15" s="311" t="s">
        <v>86</v>
      </c>
      <c r="BV15" s="312">
        <v>3</v>
      </c>
      <c r="BW15" s="306">
        <v>13900</v>
      </c>
      <c r="BX15" s="670">
        <f t="shared" si="27"/>
        <v>41700</v>
      </c>
      <c r="BY15" s="928"/>
      <c r="BZ15" s="704"/>
      <c r="CA15" s="760">
        <f t="shared" si="14"/>
        <v>41700</v>
      </c>
      <c r="CB15" s="226">
        <f t="shared" si="15"/>
        <v>0</v>
      </c>
      <c r="CC15" s="302" t="s">
        <v>140</v>
      </c>
      <c r="CD15" s="669" t="s">
        <v>193</v>
      </c>
      <c r="CE15" s="311" t="s">
        <v>86</v>
      </c>
      <c r="CF15" s="312">
        <v>3</v>
      </c>
      <c r="CG15" s="306">
        <v>12500</v>
      </c>
      <c r="CH15" s="670">
        <f t="shared" si="28"/>
        <v>37500</v>
      </c>
      <c r="CI15" s="928"/>
      <c r="CJ15" s="704"/>
      <c r="CK15" s="760">
        <f t="shared" si="16"/>
        <v>37500</v>
      </c>
      <c r="CL15" s="226">
        <f t="shared" si="17"/>
        <v>0</v>
      </c>
      <c r="CM15" s="302" t="s">
        <v>140</v>
      </c>
      <c r="CN15" s="310" t="s">
        <v>193</v>
      </c>
      <c r="CO15" s="311" t="s">
        <v>86</v>
      </c>
      <c r="CP15" s="312">
        <v>3</v>
      </c>
      <c r="CQ15" s="306">
        <v>24700</v>
      </c>
      <c r="CR15" s="463">
        <f t="shared" si="29"/>
        <v>74100</v>
      </c>
      <c r="CS15" s="928"/>
      <c r="CT15" s="704"/>
      <c r="CU15" s="760">
        <f t="shared" si="18"/>
        <v>74100</v>
      </c>
      <c r="CV15" s="226">
        <f t="shared" si="19"/>
        <v>0</v>
      </c>
    </row>
    <row r="16" spans="1:100" s="208" customFormat="1" ht="91.5" outlineLevel="2" thickTop="1" thickBot="1">
      <c r="A16" s="302" t="s">
        <v>141</v>
      </c>
      <c r="B16" s="420" t="s">
        <v>194</v>
      </c>
      <c r="C16" s="314" t="s">
        <v>92</v>
      </c>
      <c r="D16" s="315">
        <v>70.38</v>
      </c>
      <c r="E16" s="414">
        <v>9000</v>
      </c>
      <c r="F16" s="415">
        <f t="shared" si="20"/>
        <v>633420</v>
      </c>
      <c r="G16" s="928"/>
      <c r="H16" s="704"/>
      <c r="I16" s="760">
        <f t="shared" si="0"/>
        <v>633420</v>
      </c>
      <c r="J16" s="226">
        <f t="shared" si="1"/>
        <v>0</v>
      </c>
      <c r="K16" s="302" t="s">
        <v>141</v>
      </c>
      <c r="L16" s="313" t="s">
        <v>194</v>
      </c>
      <c r="M16" s="314" t="s">
        <v>92</v>
      </c>
      <c r="N16" s="315">
        <v>70.38</v>
      </c>
      <c r="O16" s="456">
        <v>15000</v>
      </c>
      <c r="P16" s="461">
        <f t="shared" si="21"/>
        <v>1055700</v>
      </c>
      <c r="Q16" s="928"/>
      <c r="R16" s="704"/>
      <c r="S16" s="760">
        <f t="shared" si="2"/>
        <v>1055700</v>
      </c>
      <c r="T16" s="226">
        <f t="shared" si="3"/>
        <v>0</v>
      </c>
      <c r="U16" s="494" t="s">
        <v>141</v>
      </c>
      <c r="V16" s="506" t="s">
        <v>422</v>
      </c>
      <c r="W16" s="507" t="s">
        <v>92</v>
      </c>
      <c r="X16" s="508">
        <v>70.38</v>
      </c>
      <c r="Y16" s="498">
        <v>17665</v>
      </c>
      <c r="Z16" s="497">
        <f t="shared" si="22"/>
        <v>1243263</v>
      </c>
      <c r="AA16" s="502"/>
      <c r="AB16" s="704"/>
      <c r="AC16" s="760">
        <f t="shared" si="4"/>
        <v>1243263</v>
      </c>
      <c r="AD16" s="226">
        <f t="shared" si="5"/>
        <v>0</v>
      </c>
      <c r="AE16" s="582" t="s">
        <v>141</v>
      </c>
      <c r="AF16" s="596" t="s">
        <v>475</v>
      </c>
      <c r="AG16" s="597" t="s">
        <v>92</v>
      </c>
      <c r="AH16" s="598">
        <v>70.38</v>
      </c>
      <c r="AI16" s="586">
        <v>15000</v>
      </c>
      <c r="AJ16" s="587">
        <f t="shared" si="23"/>
        <v>1055700</v>
      </c>
      <c r="AK16" s="928"/>
      <c r="AL16" s="704"/>
      <c r="AM16" s="760">
        <f t="shared" si="6"/>
        <v>1055700</v>
      </c>
      <c r="AN16" s="226">
        <f t="shared" si="7"/>
        <v>0</v>
      </c>
      <c r="AO16" s="302" t="s">
        <v>141</v>
      </c>
      <c r="AP16" s="671" t="s">
        <v>194</v>
      </c>
      <c r="AQ16" s="314" t="s">
        <v>92</v>
      </c>
      <c r="AR16" s="315">
        <v>70.38</v>
      </c>
      <c r="AS16" s="306">
        <v>9800</v>
      </c>
      <c r="AT16" s="666">
        <f t="shared" si="24"/>
        <v>689724</v>
      </c>
      <c r="AU16" s="956"/>
      <c r="AV16" s="704"/>
      <c r="AW16" s="760">
        <f t="shared" si="8"/>
        <v>689724</v>
      </c>
      <c r="AX16" s="226">
        <f t="shared" si="9"/>
        <v>0</v>
      </c>
      <c r="AY16" s="302" t="s">
        <v>141</v>
      </c>
      <c r="AZ16" s="313" t="s">
        <v>194</v>
      </c>
      <c r="BA16" s="314" t="s">
        <v>92</v>
      </c>
      <c r="BB16" s="315">
        <v>70.38</v>
      </c>
      <c r="BC16" s="716">
        <v>8165</v>
      </c>
      <c r="BD16" s="717">
        <f t="shared" si="25"/>
        <v>574653</v>
      </c>
      <c r="BE16" s="928"/>
      <c r="BF16" s="704"/>
      <c r="BG16" s="760">
        <f t="shared" si="10"/>
        <v>574653</v>
      </c>
      <c r="BH16" s="226">
        <f t="shared" si="11"/>
        <v>0</v>
      </c>
      <c r="BI16" s="302" t="s">
        <v>141</v>
      </c>
      <c r="BJ16" s="671" t="s">
        <v>194</v>
      </c>
      <c r="BK16" s="314" t="s">
        <v>92</v>
      </c>
      <c r="BL16" s="315">
        <v>70.38</v>
      </c>
      <c r="BM16" s="306">
        <v>9100</v>
      </c>
      <c r="BN16" s="666">
        <f t="shared" si="26"/>
        <v>640458</v>
      </c>
      <c r="BO16" s="928"/>
      <c r="BP16" s="704"/>
      <c r="BQ16" s="760">
        <f t="shared" si="12"/>
        <v>640458</v>
      </c>
      <c r="BR16" s="226">
        <f t="shared" si="13"/>
        <v>0</v>
      </c>
      <c r="BS16" s="302" t="s">
        <v>141</v>
      </c>
      <c r="BT16" s="671" t="s">
        <v>194</v>
      </c>
      <c r="BU16" s="314" t="s">
        <v>92</v>
      </c>
      <c r="BV16" s="315">
        <v>70.38</v>
      </c>
      <c r="BW16" s="306">
        <v>9500</v>
      </c>
      <c r="BX16" s="666">
        <f t="shared" si="27"/>
        <v>668610</v>
      </c>
      <c r="BY16" s="928"/>
      <c r="BZ16" s="704"/>
      <c r="CA16" s="760">
        <f t="shared" si="14"/>
        <v>668610</v>
      </c>
      <c r="CB16" s="226">
        <f t="shared" si="15"/>
        <v>0</v>
      </c>
      <c r="CC16" s="302" t="s">
        <v>141</v>
      </c>
      <c r="CD16" s="671" t="s">
        <v>194</v>
      </c>
      <c r="CE16" s="314" t="s">
        <v>92</v>
      </c>
      <c r="CF16" s="315">
        <v>70.38</v>
      </c>
      <c r="CG16" s="306">
        <v>9320</v>
      </c>
      <c r="CH16" s="666">
        <f t="shared" si="28"/>
        <v>655942</v>
      </c>
      <c r="CI16" s="928"/>
      <c r="CJ16" s="704"/>
      <c r="CK16" s="760">
        <f t="shared" si="16"/>
        <v>655942</v>
      </c>
      <c r="CL16" s="226">
        <f t="shared" si="17"/>
        <v>0</v>
      </c>
      <c r="CM16" s="302" t="s">
        <v>141</v>
      </c>
      <c r="CN16" s="313" t="s">
        <v>194</v>
      </c>
      <c r="CO16" s="314" t="s">
        <v>92</v>
      </c>
      <c r="CP16" s="315">
        <v>70.38</v>
      </c>
      <c r="CQ16" s="306">
        <v>13100</v>
      </c>
      <c r="CR16" s="461">
        <f t="shared" si="29"/>
        <v>921978</v>
      </c>
      <c r="CS16" s="928"/>
      <c r="CT16" s="704"/>
      <c r="CU16" s="760">
        <f t="shared" si="18"/>
        <v>921978</v>
      </c>
      <c r="CV16" s="226">
        <f t="shared" si="19"/>
        <v>0</v>
      </c>
    </row>
    <row r="17" spans="1:100" s="208" customFormat="1" ht="121.5" outlineLevel="2" thickTop="1" thickBot="1">
      <c r="A17" s="302" t="s">
        <v>142</v>
      </c>
      <c r="B17" s="418" t="s">
        <v>195</v>
      </c>
      <c r="C17" s="311" t="s">
        <v>86</v>
      </c>
      <c r="D17" s="312">
        <v>43</v>
      </c>
      <c r="E17" s="414">
        <v>22600</v>
      </c>
      <c r="F17" s="419">
        <f t="shared" si="20"/>
        <v>971800</v>
      </c>
      <c r="G17" s="928"/>
      <c r="H17" s="704"/>
      <c r="I17" s="760">
        <f t="shared" si="0"/>
        <v>971800</v>
      </c>
      <c r="J17" s="226">
        <f t="shared" si="1"/>
        <v>0</v>
      </c>
      <c r="K17" s="302" t="s">
        <v>142</v>
      </c>
      <c r="L17" s="310" t="s">
        <v>195</v>
      </c>
      <c r="M17" s="311" t="s">
        <v>86</v>
      </c>
      <c r="N17" s="312">
        <v>43</v>
      </c>
      <c r="O17" s="456">
        <v>32000</v>
      </c>
      <c r="P17" s="463">
        <f t="shared" si="21"/>
        <v>1376000</v>
      </c>
      <c r="Q17" s="928"/>
      <c r="R17" s="704"/>
      <c r="S17" s="760">
        <f t="shared" si="2"/>
        <v>1376000</v>
      </c>
      <c r="T17" s="226">
        <f t="shared" si="3"/>
        <v>0</v>
      </c>
      <c r="U17" s="494" t="s">
        <v>142</v>
      </c>
      <c r="V17" s="504" t="s">
        <v>423</v>
      </c>
      <c r="W17" s="505" t="s">
        <v>86</v>
      </c>
      <c r="X17" s="503">
        <v>43</v>
      </c>
      <c r="Y17" s="498">
        <v>25236</v>
      </c>
      <c r="Z17" s="503">
        <f t="shared" si="22"/>
        <v>1085148</v>
      </c>
      <c r="AA17" s="502"/>
      <c r="AB17" s="704"/>
      <c r="AC17" s="760">
        <f t="shared" si="4"/>
        <v>1085148</v>
      </c>
      <c r="AD17" s="226">
        <f t="shared" si="5"/>
        <v>0</v>
      </c>
      <c r="AE17" s="582" t="s">
        <v>142</v>
      </c>
      <c r="AF17" s="592" t="s">
        <v>476</v>
      </c>
      <c r="AG17" s="593" t="s">
        <v>86</v>
      </c>
      <c r="AH17" s="594">
        <v>43</v>
      </c>
      <c r="AI17" s="586">
        <v>18000</v>
      </c>
      <c r="AJ17" s="595">
        <f t="shared" si="23"/>
        <v>774000</v>
      </c>
      <c r="AK17" s="928"/>
      <c r="AL17" s="704"/>
      <c r="AM17" s="760">
        <f t="shared" si="6"/>
        <v>774000</v>
      </c>
      <c r="AN17" s="226">
        <f t="shared" si="7"/>
        <v>0</v>
      </c>
      <c r="AO17" s="302" t="s">
        <v>142</v>
      </c>
      <c r="AP17" s="669" t="s">
        <v>195</v>
      </c>
      <c r="AQ17" s="311" t="s">
        <v>86</v>
      </c>
      <c r="AR17" s="312">
        <v>43</v>
      </c>
      <c r="AS17" s="306">
        <v>12300</v>
      </c>
      <c r="AT17" s="670">
        <f t="shared" si="24"/>
        <v>528900</v>
      </c>
      <c r="AU17" s="956"/>
      <c r="AV17" s="704"/>
      <c r="AW17" s="760">
        <f t="shared" si="8"/>
        <v>528900</v>
      </c>
      <c r="AX17" s="226">
        <f t="shared" si="9"/>
        <v>0</v>
      </c>
      <c r="AY17" s="302" t="s">
        <v>142</v>
      </c>
      <c r="AZ17" s="310" t="s">
        <v>195</v>
      </c>
      <c r="BA17" s="311" t="s">
        <v>86</v>
      </c>
      <c r="BB17" s="312">
        <v>43</v>
      </c>
      <c r="BC17" s="716">
        <v>19525</v>
      </c>
      <c r="BD17" s="719">
        <f t="shared" si="25"/>
        <v>839575</v>
      </c>
      <c r="BE17" s="928"/>
      <c r="BF17" s="704"/>
      <c r="BG17" s="760">
        <f t="shared" si="10"/>
        <v>839575</v>
      </c>
      <c r="BH17" s="226">
        <f t="shared" si="11"/>
        <v>0</v>
      </c>
      <c r="BI17" s="302" t="s">
        <v>142</v>
      </c>
      <c r="BJ17" s="669" t="s">
        <v>195</v>
      </c>
      <c r="BK17" s="311" t="s">
        <v>86</v>
      </c>
      <c r="BL17" s="312">
        <v>43</v>
      </c>
      <c r="BM17" s="306">
        <v>10900</v>
      </c>
      <c r="BN17" s="670">
        <f t="shared" si="26"/>
        <v>468700</v>
      </c>
      <c r="BO17" s="928"/>
      <c r="BP17" s="704"/>
      <c r="BQ17" s="760">
        <f t="shared" si="12"/>
        <v>468700</v>
      </c>
      <c r="BR17" s="226">
        <f t="shared" si="13"/>
        <v>0</v>
      </c>
      <c r="BS17" s="302" t="s">
        <v>142</v>
      </c>
      <c r="BT17" s="669" t="s">
        <v>195</v>
      </c>
      <c r="BU17" s="311" t="s">
        <v>86</v>
      </c>
      <c r="BV17" s="312">
        <v>43</v>
      </c>
      <c r="BW17" s="306">
        <v>12100</v>
      </c>
      <c r="BX17" s="670">
        <f t="shared" si="27"/>
        <v>520300</v>
      </c>
      <c r="BY17" s="928"/>
      <c r="BZ17" s="704"/>
      <c r="CA17" s="760">
        <f t="shared" si="14"/>
        <v>520300</v>
      </c>
      <c r="CB17" s="226">
        <f t="shared" si="15"/>
        <v>0</v>
      </c>
      <c r="CC17" s="302" t="s">
        <v>142</v>
      </c>
      <c r="CD17" s="669" t="s">
        <v>195</v>
      </c>
      <c r="CE17" s="311" t="s">
        <v>86</v>
      </c>
      <c r="CF17" s="312">
        <v>43</v>
      </c>
      <c r="CG17" s="306">
        <v>11800</v>
      </c>
      <c r="CH17" s="670">
        <f t="shared" si="28"/>
        <v>507400</v>
      </c>
      <c r="CI17" s="928"/>
      <c r="CJ17" s="704"/>
      <c r="CK17" s="760">
        <f t="shared" si="16"/>
        <v>507400</v>
      </c>
      <c r="CL17" s="226">
        <f t="shared" si="17"/>
        <v>0</v>
      </c>
      <c r="CM17" s="302" t="s">
        <v>142</v>
      </c>
      <c r="CN17" s="310" t="s">
        <v>195</v>
      </c>
      <c r="CO17" s="311" t="s">
        <v>86</v>
      </c>
      <c r="CP17" s="312">
        <v>43</v>
      </c>
      <c r="CQ17" s="306">
        <v>26700</v>
      </c>
      <c r="CR17" s="463">
        <f t="shared" si="29"/>
        <v>1148100</v>
      </c>
      <c r="CS17" s="928"/>
      <c r="CT17" s="704"/>
      <c r="CU17" s="760">
        <f t="shared" si="18"/>
        <v>1148100</v>
      </c>
      <c r="CV17" s="226">
        <f t="shared" si="19"/>
        <v>0</v>
      </c>
    </row>
    <row r="18" spans="1:100" s="208" customFormat="1" ht="91.5" outlineLevel="2" thickTop="1" thickBot="1">
      <c r="A18" s="302" t="s">
        <v>143</v>
      </c>
      <c r="B18" s="418" t="s">
        <v>196</v>
      </c>
      <c r="C18" s="311" t="e">
        <f>+#REF!</f>
        <v>#REF!</v>
      </c>
      <c r="D18" s="312">
        <v>120.87</v>
      </c>
      <c r="E18" s="414">
        <v>8200</v>
      </c>
      <c r="F18" s="419">
        <f t="shared" si="20"/>
        <v>991134</v>
      </c>
      <c r="G18" s="928"/>
      <c r="H18" s="704"/>
      <c r="I18" s="760">
        <f t="shared" si="0"/>
        <v>991134</v>
      </c>
      <c r="J18" s="226">
        <f t="shared" si="1"/>
        <v>0</v>
      </c>
      <c r="K18" s="302" t="s">
        <v>143</v>
      </c>
      <c r="L18" s="310" t="s">
        <v>196</v>
      </c>
      <c r="M18" s="311" t="s">
        <v>86</v>
      </c>
      <c r="N18" s="312">
        <v>120.87</v>
      </c>
      <c r="O18" s="456">
        <v>8700</v>
      </c>
      <c r="P18" s="463">
        <f t="shared" si="21"/>
        <v>1051569</v>
      </c>
      <c r="Q18" s="928"/>
      <c r="R18" s="704"/>
      <c r="S18" s="760">
        <f t="shared" si="2"/>
        <v>1051569</v>
      </c>
      <c r="T18" s="226">
        <f t="shared" si="3"/>
        <v>0</v>
      </c>
      <c r="U18" s="494" t="s">
        <v>143</v>
      </c>
      <c r="V18" s="504" t="s">
        <v>424</v>
      </c>
      <c r="W18" s="505" t="e">
        <f>+#REF!</f>
        <v>#REF!</v>
      </c>
      <c r="X18" s="503">
        <v>120.87</v>
      </c>
      <c r="Y18" s="498">
        <v>9500</v>
      </c>
      <c r="Z18" s="503">
        <f t="shared" si="22"/>
        <v>1148265</v>
      </c>
      <c r="AA18" s="502"/>
      <c r="AB18" s="704"/>
      <c r="AC18" s="760">
        <f t="shared" si="4"/>
        <v>1148265</v>
      </c>
      <c r="AD18" s="226">
        <f t="shared" si="5"/>
        <v>0</v>
      </c>
      <c r="AE18" s="582" t="s">
        <v>143</v>
      </c>
      <c r="AF18" s="592" t="s">
        <v>477</v>
      </c>
      <c r="AG18" s="593" t="e">
        <f>+#REF!</f>
        <v>#REF!</v>
      </c>
      <c r="AH18" s="594">
        <v>120.87</v>
      </c>
      <c r="AI18" s="586">
        <v>12000</v>
      </c>
      <c r="AJ18" s="595">
        <f t="shared" si="23"/>
        <v>1450440</v>
      </c>
      <c r="AK18" s="928"/>
      <c r="AL18" s="704"/>
      <c r="AM18" s="760">
        <f t="shared" si="6"/>
        <v>1450440</v>
      </c>
      <c r="AN18" s="226">
        <f t="shared" si="7"/>
        <v>0</v>
      </c>
      <c r="AO18" s="302" t="s">
        <v>143</v>
      </c>
      <c r="AP18" s="669" t="s">
        <v>196</v>
      </c>
      <c r="AQ18" s="311" t="s">
        <v>86</v>
      </c>
      <c r="AR18" s="312">
        <v>120.87</v>
      </c>
      <c r="AS18" s="306">
        <v>8000</v>
      </c>
      <c r="AT18" s="670">
        <f t="shared" si="24"/>
        <v>966960</v>
      </c>
      <c r="AU18" s="956"/>
      <c r="AV18" s="704"/>
      <c r="AW18" s="760">
        <f t="shared" si="8"/>
        <v>966960</v>
      </c>
      <c r="AX18" s="226">
        <f t="shared" si="9"/>
        <v>0</v>
      </c>
      <c r="AY18" s="302" t="s">
        <v>143</v>
      </c>
      <c r="AZ18" s="310" t="s">
        <v>196</v>
      </c>
      <c r="BA18" s="311" t="e">
        <f>+#REF!</f>
        <v>#REF!</v>
      </c>
      <c r="BB18" s="312">
        <v>120.87</v>
      </c>
      <c r="BC18" s="716">
        <v>3550</v>
      </c>
      <c r="BD18" s="719">
        <f t="shared" si="25"/>
        <v>429089</v>
      </c>
      <c r="BE18" s="928"/>
      <c r="BF18" s="704"/>
      <c r="BG18" s="760">
        <f t="shared" si="10"/>
        <v>429089</v>
      </c>
      <c r="BH18" s="226">
        <f t="shared" si="11"/>
        <v>0</v>
      </c>
      <c r="BI18" s="302" t="s">
        <v>143</v>
      </c>
      <c r="BJ18" s="669" t="s">
        <v>196</v>
      </c>
      <c r="BK18" s="311" t="s">
        <v>86</v>
      </c>
      <c r="BL18" s="312">
        <v>120.87</v>
      </c>
      <c r="BM18" s="306">
        <v>8000</v>
      </c>
      <c r="BN18" s="670">
        <f t="shared" si="26"/>
        <v>966960</v>
      </c>
      <c r="BO18" s="928"/>
      <c r="BP18" s="704"/>
      <c r="BQ18" s="760">
        <f t="shared" si="12"/>
        <v>966960</v>
      </c>
      <c r="BR18" s="226">
        <f t="shared" si="13"/>
        <v>0</v>
      </c>
      <c r="BS18" s="302" t="s">
        <v>143</v>
      </c>
      <c r="BT18" s="669" t="s">
        <v>196</v>
      </c>
      <c r="BU18" s="311" t="s">
        <v>86</v>
      </c>
      <c r="BV18" s="312">
        <v>120.87</v>
      </c>
      <c r="BW18" s="306">
        <v>8200</v>
      </c>
      <c r="BX18" s="670">
        <f t="shared" si="27"/>
        <v>991134</v>
      </c>
      <c r="BY18" s="928"/>
      <c r="BZ18" s="704"/>
      <c r="CA18" s="760">
        <f t="shared" si="14"/>
        <v>991134</v>
      </c>
      <c r="CB18" s="226">
        <f t="shared" si="15"/>
        <v>0</v>
      </c>
      <c r="CC18" s="302" t="s">
        <v>143</v>
      </c>
      <c r="CD18" s="669" t="s">
        <v>196</v>
      </c>
      <c r="CE18" s="311" t="s">
        <v>86</v>
      </c>
      <c r="CF18" s="312">
        <v>120.87</v>
      </c>
      <c r="CG18" s="306">
        <v>7950</v>
      </c>
      <c r="CH18" s="670">
        <f t="shared" si="28"/>
        <v>960917</v>
      </c>
      <c r="CI18" s="928"/>
      <c r="CJ18" s="704"/>
      <c r="CK18" s="760">
        <f t="shared" si="16"/>
        <v>960917</v>
      </c>
      <c r="CL18" s="226">
        <f t="shared" si="17"/>
        <v>0</v>
      </c>
      <c r="CM18" s="302" t="s">
        <v>143</v>
      </c>
      <c r="CN18" s="310" t="s">
        <v>196</v>
      </c>
      <c r="CO18" s="311" t="e">
        <f>+#REF!</f>
        <v>#REF!</v>
      </c>
      <c r="CP18" s="312">
        <v>120.87</v>
      </c>
      <c r="CQ18" s="306">
        <v>13700</v>
      </c>
      <c r="CR18" s="463">
        <f t="shared" si="29"/>
        <v>1655919</v>
      </c>
      <c r="CS18" s="928"/>
      <c r="CT18" s="704"/>
      <c r="CU18" s="760">
        <f t="shared" si="18"/>
        <v>1655919</v>
      </c>
      <c r="CV18" s="226">
        <f t="shared" si="19"/>
        <v>0</v>
      </c>
    </row>
    <row r="19" spans="1:100" s="208" customFormat="1" ht="91.5" outlineLevel="2" thickTop="1" thickBot="1">
      <c r="A19" s="302" t="s">
        <v>144</v>
      </c>
      <c r="B19" s="418" t="s">
        <v>197</v>
      </c>
      <c r="C19" s="311" t="s">
        <v>191</v>
      </c>
      <c r="D19" s="312">
        <v>73</v>
      </c>
      <c r="E19" s="414">
        <v>36000</v>
      </c>
      <c r="F19" s="419">
        <f t="shared" si="20"/>
        <v>2628000</v>
      </c>
      <c r="G19" s="929"/>
      <c r="H19" s="704"/>
      <c r="I19" s="760">
        <f t="shared" si="0"/>
        <v>2628000</v>
      </c>
      <c r="J19" s="226">
        <f t="shared" si="1"/>
        <v>0</v>
      </c>
      <c r="K19" s="302" t="s">
        <v>144</v>
      </c>
      <c r="L19" s="310" t="s">
        <v>197</v>
      </c>
      <c r="M19" s="311" t="s">
        <v>191</v>
      </c>
      <c r="N19" s="312">
        <v>73</v>
      </c>
      <c r="O19" s="456">
        <v>31000</v>
      </c>
      <c r="P19" s="463">
        <f t="shared" si="21"/>
        <v>2263000</v>
      </c>
      <c r="Q19" s="929"/>
      <c r="R19" s="704"/>
      <c r="S19" s="760">
        <f t="shared" si="2"/>
        <v>2263000</v>
      </c>
      <c r="T19" s="226">
        <f t="shared" si="3"/>
        <v>0</v>
      </c>
      <c r="U19" s="494" t="s">
        <v>144</v>
      </c>
      <c r="V19" s="504" t="s">
        <v>425</v>
      </c>
      <c r="W19" s="505" t="s">
        <v>191</v>
      </c>
      <c r="X19" s="503">
        <v>73</v>
      </c>
      <c r="Y19" s="498">
        <v>28730</v>
      </c>
      <c r="Z19" s="503">
        <f t="shared" si="22"/>
        <v>2097290</v>
      </c>
      <c r="AA19" s="509"/>
      <c r="AB19" s="704"/>
      <c r="AC19" s="760">
        <f t="shared" si="4"/>
        <v>2097290</v>
      </c>
      <c r="AD19" s="226">
        <f t="shared" si="5"/>
        <v>0</v>
      </c>
      <c r="AE19" s="582" t="s">
        <v>144</v>
      </c>
      <c r="AF19" s="592" t="s">
        <v>478</v>
      </c>
      <c r="AG19" s="593" t="s">
        <v>191</v>
      </c>
      <c r="AH19" s="594">
        <v>73</v>
      </c>
      <c r="AI19" s="586">
        <v>40000</v>
      </c>
      <c r="AJ19" s="595">
        <f t="shared" si="23"/>
        <v>2920000</v>
      </c>
      <c r="AK19" s="929"/>
      <c r="AL19" s="704"/>
      <c r="AM19" s="760">
        <f t="shared" si="6"/>
        <v>2920000</v>
      </c>
      <c r="AN19" s="226">
        <f t="shared" si="7"/>
        <v>0</v>
      </c>
      <c r="AO19" s="302" t="s">
        <v>144</v>
      </c>
      <c r="AP19" s="669" t="s">
        <v>197</v>
      </c>
      <c r="AQ19" s="311" t="s">
        <v>191</v>
      </c>
      <c r="AR19" s="312">
        <v>73</v>
      </c>
      <c r="AS19" s="306">
        <v>32000</v>
      </c>
      <c r="AT19" s="670">
        <f t="shared" si="24"/>
        <v>2336000</v>
      </c>
      <c r="AU19" s="957"/>
      <c r="AV19" s="704"/>
      <c r="AW19" s="760">
        <f t="shared" si="8"/>
        <v>2336000</v>
      </c>
      <c r="AX19" s="226">
        <f t="shared" si="9"/>
        <v>0</v>
      </c>
      <c r="AY19" s="302" t="s">
        <v>144</v>
      </c>
      <c r="AZ19" s="310" t="s">
        <v>197</v>
      </c>
      <c r="BA19" s="311" t="s">
        <v>191</v>
      </c>
      <c r="BB19" s="312">
        <v>73</v>
      </c>
      <c r="BC19" s="716">
        <v>38000</v>
      </c>
      <c r="BD19" s="719">
        <f t="shared" si="25"/>
        <v>2774000</v>
      </c>
      <c r="BE19" s="929"/>
      <c r="BF19" s="704"/>
      <c r="BG19" s="760">
        <f t="shared" si="10"/>
        <v>2774000</v>
      </c>
      <c r="BH19" s="226">
        <f t="shared" si="11"/>
        <v>0</v>
      </c>
      <c r="BI19" s="302" t="s">
        <v>144</v>
      </c>
      <c r="BJ19" s="669" t="s">
        <v>197</v>
      </c>
      <c r="BK19" s="311" t="s">
        <v>191</v>
      </c>
      <c r="BL19" s="312">
        <v>73</v>
      </c>
      <c r="BM19" s="306">
        <v>35900</v>
      </c>
      <c r="BN19" s="670">
        <f t="shared" si="26"/>
        <v>2620700</v>
      </c>
      <c r="BO19" s="929"/>
      <c r="BP19" s="704"/>
      <c r="BQ19" s="760">
        <f t="shared" si="12"/>
        <v>2620700</v>
      </c>
      <c r="BR19" s="226">
        <f t="shared" si="13"/>
        <v>0</v>
      </c>
      <c r="BS19" s="302" t="s">
        <v>144</v>
      </c>
      <c r="BT19" s="669" t="s">
        <v>197</v>
      </c>
      <c r="BU19" s="311" t="s">
        <v>191</v>
      </c>
      <c r="BV19" s="312">
        <v>73</v>
      </c>
      <c r="BW19" s="306">
        <v>35000</v>
      </c>
      <c r="BX19" s="670">
        <f t="shared" si="27"/>
        <v>2555000</v>
      </c>
      <c r="BY19" s="929"/>
      <c r="BZ19" s="704"/>
      <c r="CA19" s="760">
        <f t="shared" si="14"/>
        <v>2555000</v>
      </c>
      <c r="CB19" s="226">
        <f t="shared" si="15"/>
        <v>0</v>
      </c>
      <c r="CC19" s="302" t="s">
        <v>144</v>
      </c>
      <c r="CD19" s="669" t="s">
        <v>197</v>
      </c>
      <c r="CE19" s="311" t="s">
        <v>191</v>
      </c>
      <c r="CF19" s="312">
        <v>73</v>
      </c>
      <c r="CG19" s="306">
        <v>36100</v>
      </c>
      <c r="CH19" s="670">
        <f t="shared" si="28"/>
        <v>2635300</v>
      </c>
      <c r="CI19" s="929"/>
      <c r="CJ19" s="704"/>
      <c r="CK19" s="760">
        <f t="shared" si="16"/>
        <v>2635300</v>
      </c>
      <c r="CL19" s="226">
        <f t="shared" si="17"/>
        <v>0</v>
      </c>
      <c r="CM19" s="302" t="s">
        <v>144</v>
      </c>
      <c r="CN19" s="310" t="s">
        <v>197</v>
      </c>
      <c r="CO19" s="311" t="s">
        <v>191</v>
      </c>
      <c r="CP19" s="312">
        <v>73</v>
      </c>
      <c r="CQ19" s="306">
        <v>37700</v>
      </c>
      <c r="CR19" s="463">
        <f t="shared" si="29"/>
        <v>2752100</v>
      </c>
      <c r="CS19" s="929"/>
      <c r="CT19" s="704"/>
      <c r="CU19" s="760">
        <f t="shared" si="18"/>
        <v>2752100</v>
      </c>
      <c r="CV19" s="226">
        <f t="shared" si="19"/>
        <v>0</v>
      </c>
    </row>
    <row r="20" spans="1:100" s="208" customFormat="1" ht="24.75" outlineLevel="2" thickTop="1" thickBot="1">
      <c r="A20" s="295" t="s">
        <v>4</v>
      </c>
      <c r="B20" s="421" t="s">
        <v>198</v>
      </c>
      <c r="C20" s="297"/>
      <c r="D20" s="298"/>
      <c r="E20" s="422"/>
      <c r="F20" s="423"/>
      <c r="G20" s="301">
        <f>SUM(F21:F22)</f>
        <v>3553176</v>
      </c>
      <c r="H20" s="703"/>
      <c r="I20" s="760">
        <f t="shared" si="0"/>
        <v>0</v>
      </c>
      <c r="J20" s="226"/>
      <c r="K20" s="295" t="s">
        <v>4</v>
      </c>
      <c r="L20" s="316" t="s">
        <v>198</v>
      </c>
      <c r="M20" s="297"/>
      <c r="N20" s="298"/>
      <c r="O20" s="299"/>
      <c r="P20" s="464"/>
      <c r="Q20" s="301">
        <f>SUM(P21:P22)</f>
        <v>3597330</v>
      </c>
      <c r="R20" s="703"/>
      <c r="S20" s="760">
        <f t="shared" si="2"/>
        <v>0</v>
      </c>
      <c r="T20" s="226"/>
      <c r="U20" s="487" t="s">
        <v>4</v>
      </c>
      <c r="V20" s="510" t="s">
        <v>198</v>
      </c>
      <c r="W20" s="489"/>
      <c r="X20" s="490"/>
      <c r="Y20" s="491"/>
      <c r="Z20" s="492"/>
      <c r="AA20" s="493">
        <f>SUM(Z21:Z22)</f>
        <v>3700365</v>
      </c>
      <c r="AB20" s="703"/>
      <c r="AC20" s="760">
        <f t="shared" si="4"/>
        <v>0</v>
      </c>
      <c r="AD20" s="226"/>
      <c r="AE20" s="599" t="s">
        <v>4</v>
      </c>
      <c r="AF20" s="600" t="s">
        <v>198</v>
      </c>
      <c r="AG20" s="601"/>
      <c r="AH20" s="602"/>
      <c r="AI20" s="603"/>
      <c r="AJ20" s="604"/>
      <c r="AK20" s="301">
        <f>SUM(AJ21:AJ22)</f>
        <v>4564800</v>
      </c>
      <c r="AL20" s="703"/>
      <c r="AM20" s="760">
        <f t="shared" si="6"/>
        <v>0</v>
      </c>
      <c r="AN20" s="226"/>
      <c r="AO20" s="295" t="s">
        <v>4</v>
      </c>
      <c r="AP20" s="672" t="s">
        <v>198</v>
      </c>
      <c r="AQ20" s="297"/>
      <c r="AR20" s="298"/>
      <c r="AS20" s="299"/>
      <c r="AT20" s="664"/>
      <c r="AU20" s="699">
        <f>SUM(AT21:AT22)</f>
        <v>3312556</v>
      </c>
      <c r="AV20" s="703"/>
      <c r="AW20" s="760">
        <f t="shared" si="8"/>
        <v>0</v>
      </c>
      <c r="AX20" s="226"/>
      <c r="AY20" s="295" t="s">
        <v>4</v>
      </c>
      <c r="AZ20" s="316" t="s">
        <v>198</v>
      </c>
      <c r="BA20" s="297"/>
      <c r="BB20" s="298"/>
      <c r="BC20" s="720">
        <v>0</v>
      </c>
      <c r="BD20" s="721"/>
      <c r="BE20" s="301">
        <f>SUM(BD21:BD22)</f>
        <v>5439310</v>
      </c>
      <c r="BF20" s="703"/>
      <c r="BG20" s="760">
        <f t="shared" si="10"/>
        <v>0</v>
      </c>
      <c r="BH20" s="226"/>
      <c r="BI20" s="295" t="s">
        <v>4</v>
      </c>
      <c r="BJ20" s="672" t="s">
        <v>198</v>
      </c>
      <c r="BK20" s="297"/>
      <c r="BL20" s="298"/>
      <c r="BM20" s="299"/>
      <c r="BN20" s="664"/>
      <c r="BO20" s="301">
        <f>SUM(BN21:BN22)</f>
        <v>3463656</v>
      </c>
      <c r="BP20" s="703"/>
      <c r="BQ20" s="760">
        <f t="shared" si="12"/>
        <v>0</v>
      </c>
      <c r="BR20" s="226"/>
      <c r="BS20" s="295" t="s">
        <v>4</v>
      </c>
      <c r="BT20" s="672" t="s">
        <v>198</v>
      </c>
      <c r="BU20" s="297"/>
      <c r="BV20" s="298"/>
      <c r="BW20" s="299"/>
      <c r="BX20" s="664"/>
      <c r="BY20" s="301">
        <f>SUM(BX21:BX22)</f>
        <v>3350208</v>
      </c>
      <c r="BZ20" s="703"/>
      <c r="CA20" s="760">
        <f t="shared" si="14"/>
        <v>0</v>
      </c>
      <c r="CB20" s="226"/>
      <c r="CC20" s="295" t="s">
        <v>4</v>
      </c>
      <c r="CD20" s="672" t="s">
        <v>198</v>
      </c>
      <c r="CE20" s="297"/>
      <c r="CF20" s="298"/>
      <c r="CG20" s="299"/>
      <c r="CH20" s="664"/>
      <c r="CI20" s="301">
        <f>SUM(CH21:CH22)</f>
        <v>3388002</v>
      </c>
      <c r="CJ20" s="703"/>
      <c r="CK20" s="760">
        <f t="shared" si="16"/>
        <v>0</v>
      </c>
      <c r="CL20" s="226"/>
      <c r="CM20" s="295" t="s">
        <v>4</v>
      </c>
      <c r="CN20" s="316" t="s">
        <v>198</v>
      </c>
      <c r="CO20" s="297"/>
      <c r="CP20" s="298"/>
      <c r="CQ20" s="299"/>
      <c r="CR20" s="300"/>
      <c r="CS20" s="301">
        <f>SUM(CR21:CR22)</f>
        <v>4892407</v>
      </c>
      <c r="CT20" s="703"/>
      <c r="CU20" s="760">
        <f t="shared" si="18"/>
        <v>0</v>
      </c>
      <c r="CV20" s="226"/>
    </row>
    <row r="21" spans="1:100" s="208" customFormat="1" ht="76.5" outlineLevel="2" thickTop="1" thickBot="1">
      <c r="A21" s="317">
        <v>2.1</v>
      </c>
      <c r="B21" s="418" t="s">
        <v>199</v>
      </c>
      <c r="C21" s="308" t="s">
        <v>191</v>
      </c>
      <c r="D21" s="309">
        <v>46</v>
      </c>
      <c r="E21" s="414">
        <v>17400</v>
      </c>
      <c r="F21" s="417">
        <f>ROUND(D21*E21,0)</f>
        <v>800400</v>
      </c>
      <c r="G21" s="927">
        <f>+G20/F81</f>
        <v>9.7447007997787105E-3</v>
      </c>
      <c r="H21" s="704"/>
      <c r="I21" s="760">
        <f t="shared" si="0"/>
        <v>800400</v>
      </c>
      <c r="J21" s="226">
        <f>+IF(E21=0,1,0)</f>
        <v>0</v>
      </c>
      <c r="K21" s="317">
        <v>2.1</v>
      </c>
      <c r="L21" s="310" t="s">
        <v>199</v>
      </c>
      <c r="M21" s="308" t="s">
        <v>191</v>
      </c>
      <c r="N21" s="309">
        <v>46</v>
      </c>
      <c r="O21" s="456">
        <v>21000</v>
      </c>
      <c r="P21" s="462">
        <f>ROUND(N21*O21,0)</f>
        <v>966000</v>
      </c>
      <c r="Q21" s="927">
        <f>+Q20/P81</f>
        <v>9.8081104307300767E-3</v>
      </c>
      <c r="R21" s="704"/>
      <c r="S21" s="760">
        <f t="shared" si="2"/>
        <v>966000</v>
      </c>
      <c r="T21" s="226">
        <f t="shared" ref="T21:T22" si="30">+IF(O21=0,1,0)</f>
        <v>0</v>
      </c>
      <c r="U21" s="511">
        <v>2.1</v>
      </c>
      <c r="V21" s="504" t="s">
        <v>426</v>
      </c>
      <c r="W21" s="500" t="s">
        <v>191</v>
      </c>
      <c r="X21" s="501">
        <v>46</v>
      </c>
      <c r="Y21" s="498">
        <v>19541</v>
      </c>
      <c r="Z21" s="501">
        <f>ROUND(X21*Y21,0)</f>
        <v>898886</v>
      </c>
      <c r="AA21" s="499">
        <f>+AA20/Z81</f>
        <v>1.0226401601055096E-2</v>
      </c>
      <c r="AB21" s="704"/>
      <c r="AC21" s="760">
        <f t="shared" si="4"/>
        <v>898886</v>
      </c>
      <c r="AD21" s="226">
        <f t="shared" ref="AD21:AD22" si="31">+IF(Y21=0,1,0)</f>
        <v>0</v>
      </c>
      <c r="AE21" s="605">
        <v>2.1</v>
      </c>
      <c r="AF21" s="592" t="s">
        <v>479</v>
      </c>
      <c r="AG21" s="589" t="s">
        <v>191</v>
      </c>
      <c r="AH21" s="590">
        <v>46</v>
      </c>
      <c r="AI21" s="586">
        <v>18000</v>
      </c>
      <c r="AJ21" s="591">
        <f>ROUND(AH21*AI21,0)</f>
        <v>828000</v>
      </c>
      <c r="AK21" s="927">
        <f>+AK20/AJ81</f>
        <v>1.2503905621545925E-2</v>
      </c>
      <c r="AL21" s="704"/>
      <c r="AM21" s="760">
        <f t="shared" si="6"/>
        <v>828000</v>
      </c>
      <c r="AN21" s="226">
        <f t="shared" ref="AN21:AN22" si="32">+IF(AI21=0,1,0)</f>
        <v>0</v>
      </c>
      <c r="AO21" s="317">
        <v>2.1</v>
      </c>
      <c r="AP21" s="669" t="s">
        <v>199</v>
      </c>
      <c r="AQ21" s="308" t="s">
        <v>191</v>
      </c>
      <c r="AR21" s="309">
        <v>46</v>
      </c>
      <c r="AS21" s="306">
        <v>14200</v>
      </c>
      <c r="AT21" s="668">
        <f>ROUND(AR21*AS21,0)</f>
        <v>653200</v>
      </c>
      <c r="AU21" s="955">
        <f>+AU20/AT81</f>
        <v>8.9173484262478637E-3</v>
      </c>
      <c r="AV21" s="704"/>
      <c r="AW21" s="760">
        <f t="shared" si="8"/>
        <v>653200</v>
      </c>
      <c r="AX21" s="226">
        <f t="shared" ref="AX21:AX22" si="33">+IF(AS21=0,1,0)</f>
        <v>0</v>
      </c>
      <c r="AY21" s="317">
        <v>2.1</v>
      </c>
      <c r="AZ21" s="310" t="s">
        <v>199</v>
      </c>
      <c r="BA21" s="308" t="s">
        <v>191</v>
      </c>
      <c r="BB21" s="309">
        <v>46</v>
      </c>
      <c r="BC21" s="716">
        <v>46150</v>
      </c>
      <c r="BD21" s="718">
        <f>ROUND(BB21*BC21,0)</f>
        <v>2122900</v>
      </c>
      <c r="BE21" s="927">
        <f>+BE20/BD81</f>
        <v>1.5432066147116383E-2</v>
      </c>
      <c r="BF21" s="704"/>
      <c r="BG21" s="760">
        <f t="shared" si="10"/>
        <v>2122900</v>
      </c>
      <c r="BH21" s="226">
        <f t="shared" ref="BH21:BH22" si="34">+IF(BC21=0,1,0)</f>
        <v>0</v>
      </c>
      <c r="BI21" s="317">
        <v>2.1</v>
      </c>
      <c r="BJ21" s="669" t="s">
        <v>199</v>
      </c>
      <c r="BK21" s="308" t="s">
        <v>191</v>
      </c>
      <c r="BL21" s="309">
        <v>46</v>
      </c>
      <c r="BM21" s="306">
        <v>14100</v>
      </c>
      <c r="BN21" s="668">
        <f>ROUND(BL21*BM21,0)</f>
        <v>648600</v>
      </c>
      <c r="BO21" s="927">
        <f>+BO20/BN81</f>
        <v>9.3288821886162616E-3</v>
      </c>
      <c r="BP21" s="704"/>
      <c r="BQ21" s="760">
        <f t="shared" si="12"/>
        <v>648600</v>
      </c>
      <c r="BR21" s="226">
        <f t="shared" ref="BR21:BR22" si="35">+IF(BM21=0,1,0)</f>
        <v>0</v>
      </c>
      <c r="BS21" s="317">
        <v>2.1</v>
      </c>
      <c r="BT21" s="669" t="s">
        <v>199</v>
      </c>
      <c r="BU21" s="308" t="s">
        <v>191</v>
      </c>
      <c r="BV21" s="309">
        <v>46</v>
      </c>
      <c r="BW21" s="306">
        <v>13800</v>
      </c>
      <c r="BX21" s="668">
        <f>ROUND(BV21*BW21,0)</f>
        <v>634800</v>
      </c>
      <c r="BY21" s="927">
        <f>+BY20/BX81</f>
        <v>8.9426518226332526E-3</v>
      </c>
      <c r="BZ21" s="704"/>
      <c r="CA21" s="760">
        <f t="shared" si="14"/>
        <v>634800</v>
      </c>
      <c r="CB21" s="226">
        <f t="shared" ref="CB21:CB22" si="36">+IF(BW21=0,1,0)</f>
        <v>0</v>
      </c>
      <c r="CC21" s="317">
        <v>2.1</v>
      </c>
      <c r="CD21" s="669" t="s">
        <v>199</v>
      </c>
      <c r="CE21" s="308" t="s">
        <v>191</v>
      </c>
      <c r="CF21" s="309">
        <v>46</v>
      </c>
      <c r="CG21" s="306">
        <v>13200</v>
      </c>
      <c r="CH21" s="668">
        <f>ROUND(CF21*CG21,0)</f>
        <v>607200</v>
      </c>
      <c r="CI21" s="927">
        <f>+CI20/CH81</f>
        <v>9.0920465572750415E-3</v>
      </c>
      <c r="CJ21" s="704"/>
      <c r="CK21" s="760">
        <f t="shared" si="16"/>
        <v>607200</v>
      </c>
      <c r="CL21" s="226">
        <f t="shared" ref="CL21:CL22" si="37">+IF(CG21=0,1,0)</f>
        <v>0</v>
      </c>
      <c r="CM21" s="317">
        <v>2.1</v>
      </c>
      <c r="CN21" s="310" t="s">
        <v>199</v>
      </c>
      <c r="CO21" s="308" t="s">
        <v>191</v>
      </c>
      <c r="CP21" s="309">
        <v>46</v>
      </c>
      <c r="CQ21" s="306">
        <v>33550</v>
      </c>
      <c r="CR21" s="462">
        <f>ROUND(CP21*CQ21,0)</f>
        <v>1543300</v>
      </c>
      <c r="CS21" s="927">
        <f>+CS20/CR81</f>
        <v>1.3536277115428454E-2</v>
      </c>
      <c r="CT21" s="704"/>
      <c r="CU21" s="760">
        <f t="shared" si="18"/>
        <v>1543300</v>
      </c>
      <c r="CV21" s="226">
        <f t="shared" ref="CV21:CV22" si="38">+IF(CQ21=0,1,0)</f>
        <v>0</v>
      </c>
    </row>
    <row r="22" spans="1:100" s="208" customFormat="1" ht="106.5" outlineLevel="2" thickTop="1" thickBot="1">
      <c r="A22" s="317" t="s">
        <v>200</v>
      </c>
      <c r="B22" s="424" t="s">
        <v>201</v>
      </c>
      <c r="C22" s="308" t="s">
        <v>191</v>
      </c>
      <c r="D22" s="309">
        <v>31.14</v>
      </c>
      <c r="E22" s="414">
        <v>88400</v>
      </c>
      <c r="F22" s="417">
        <f>ROUND(D22*E22,0)</f>
        <v>2752776</v>
      </c>
      <c r="G22" s="929"/>
      <c r="H22" s="704"/>
      <c r="I22" s="760">
        <f t="shared" si="0"/>
        <v>2752776</v>
      </c>
      <c r="J22" s="226">
        <f>+IF(E22=0,1,0)</f>
        <v>0</v>
      </c>
      <c r="K22" s="317" t="s">
        <v>200</v>
      </c>
      <c r="L22" s="318" t="s">
        <v>201</v>
      </c>
      <c r="M22" s="308" t="s">
        <v>191</v>
      </c>
      <c r="N22" s="309">
        <v>31.14</v>
      </c>
      <c r="O22" s="456">
        <v>84500</v>
      </c>
      <c r="P22" s="462">
        <f>ROUND(N22*O22,0)</f>
        <v>2631330</v>
      </c>
      <c r="Q22" s="929"/>
      <c r="R22" s="704"/>
      <c r="S22" s="760">
        <f t="shared" si="2"/>
        <v>2631330</v>
      </c>
      <c r="T22" s="226">
        <f t="shared" si="30"/>
        <v>0</v>
      </c>
      <c r="U22" s="511" t="s">
        <v>200</v>
      </c>
      <c r="V22" s="504" t="s">
        <v>427</v>
      </c>
      <c r="W22" s="500" t="s">
        <v>191</v>
      </c>
      <c r="X22" s="501">
        <v>31.14</v>
      </c>
      <c r="Y22" s="498">
        <v>89964</v>
      </c>
      <c r="Z22" s="501">
        <f>ROUND(X22*Y22,0)</f>
        <v>2801479</v>
      </c>
      <c r="AA22" s="509"/>
      <c r="AB22" s="704"/>
      <c r="AC22" s="760">
        <f t="shared" si="4"/>
        <v>2801479</v>
      </c>
      <c r="AD22" s="226">
        <f t="shared" si="31"/>
        <v>0</v>
      </c>
      <c r="AE22" s="605" t="s">
        <v>200</v>
      </c>
      <c r="AF22" s="606" t="s">
        <v>480</v>
      </c>
      <c r="AG22" s="589" t="s">
        <v>191</v>
      </c>
      <c r="AH22" s="590">
        <v>31.14</v>
      </c>
      <c r="AI22" s="586">
        <v>120000</v>
      </c>
      <c r="AJ22" s="591">
        <f>ROUND(AH22*AI22,0)</f>
        <v>3736800</v>
      </c>
      <c r="AK22" s="929"/>
      <c r="AL22" s="704"/>
      <c r="AM22" s="760">
        <f t="shared" si="6"/>
        <v>3736800</v>
      </c>
      <c r="AN22" s="226">
        <f t="shared" si="32"/>
        <v>0</v>
      </c>
      <c r="AO22" s="317" t="s">
        <v>200</v>
      </c>
      <c r="AP22" s="673" t="s">
        <v>201</v>
      </c>
      <c r="AQ22" s="308" t="s">
        <v>191</v>
      </c>
      <c r="AR22" s="309">
        <v>31.14</v>
      </c>
      <c r="AS22" s="306">
        <v>85400</v>
      </c>
      <c r="AT22" s="668">
        <f>ROUND(AR22*AS22,0)</f>
        <v>2659356</v>
      </c>
      <c r="AU22" s="957"/>
      <c r="AV22" s="704"/>
      <c r="AW22" s="760">
        <f t="shared" si="8"/>
        <v>2659356</v>
      </c>
      <c r="AX22" s="226">
        <f t="shared" si="33"/>
        <v>0</v>
      </c>
      <c r="AY22" s="317" t="s">
        <v>200</v>
      </c>
      <c r="AZ22" s="318" t="s">
        <v>201</v>
      </c>
      <c r="BA22" s="308" t="s">
        <v>191</v>
      </c>
      <c r="BB22" s="309">
        <v>31.14</v>
      </c>
      <c r="BC22" s="716">
        <v>106500</v>
      </c>
      <c r="BD22" s="718">
        <f>ROUND(BB22*BC22,0)</f>
        <v>3316410</v>
      </c>
      <c r="BE22" s="929"/>
      <c r="BF22" s="704"/>
      <c r="BG22" s="760">
        <f t="shared" si="10"/>
        <v>3316410</v>
      </c>
      <c r="BH22" s="226">
        <f t="shared" si="34"/>
        <v>0</v>
      </c>
      <c r="BI22" s="317" t="s">
        <v>200</v>
      </c>
      <c r="BJ22" s="673" t="s">
        <v>201</v>
      </c>
      <c r="BK22" s="308" t="s">
        <v>191</v>
      </c>
      <c r="BL22" s="309">
        <v>31.14</v>
      </c>
      <c r="BM22" s="306">
        <v>90400</v>
      </c>
      <c r="BN22" s="668">
        <f>ROUND(BL22*BM22,0)</f>
        <v>2815056</v>
      </c>
      <c r="BO22" s="929"/>
      <c r="BP22" s="704"/>
      <c r="BQ22" s="760">
        <f t="shared" si="12"/>
        <v>2815056</v>
      </c>
      <c r="BR22" s="226">
        <f t="shared" si="35"/>
        <v>0</v>
      </c>
      <c r="BS22" s="317" t="s">
        <v>200</v>
      </c>
      <c r="BT22" s="673" t="s">
        <v>201</v>
      </c>
      <c r="BU22" s="308" t="s">
        <v>191</v>
      </c>
      <c r="BV22" s="309">
        <v>31.14</v>
      </c>
      <c r="BW22" s="306">
        <v>87200</v>
      </c>
      <c r="BX22" s="668">
        <f>ROUND(BV22*BW22,0)</f>
        <v>2715408</v>
      </c>
      <c r="BY22" s="929"/>
      <c r="BZ22" s="704"/>
      <c r="CA22" s="760">
        <f t="shared" si="14"/>
        <v>2715408</v>
      </c>
      <c r="CB22" s="226">
        <f t="shared" si="36"/>
        <v>0</v>
      </c>
      <c r="CC22" s="317" t="s">
        <v>200</v>
      </c>
      <c r="CD22" s="673" t="s">
        <v>201</v>
      </c>
      <c r="CE22" s="308" t="s">
        <v>191</v>
      </c>
      <c r="CF22" s="309">
        <v>31.14</v>
      </c>
      <c r="CG22" s="306">
        <v>89300</v>
      </c>
      <c r="CH22" s="668">
        <f>ROUND(CF22*CG22,0)</f>
        <v>2780802</v>
      </c>
      <c r="CI22" s="929"/>
      <c r="CJ22" s="704"/>
      <c r="CK22" s="760">
        <f t="shared" si="16"/>
        <v>2780802</v>
      </c>
      <c r="CL22" s="226">
        <f t="shared" si="37"/>
        <v>0</v>
      </c>
      <c r="CM22" s="317" t="s">
        <v>200</v>
      </c>
      <c r="CN22" s="356" t="s">
        <v>201</v>
      </c>
      <c r="CO22" s="308" t="s">
        <v>191</v>
      </c>
      <c r="CP22" s="309">
        <v>31.14</v>
      </c>
      <c r="CQ22" s="306">
        <v>107550</v>
      </c>
      <c r="CR22" s="462">
        <f>ROUND(CP22*CQ22,0)</f>
        <v>3349107</v>
      </c>
      <c r="CS22" s="929"/>
      <c r="CT22" s="704"/>
      <c r="CU22" s="760">
        <f t="shared" si="18"/>
        <v>3349107</v>
      </c>
      <c r="CV22" s="226">
        <f t="shared" si="38"/>
        <v>0</v>
      </c>
    </row>
    <row r="23" spans="1:100" s="208" customFormat="1" ht="24.75" outlineLevel="2" thickTop="1" thickBot="1">
      <c r="A23" s="295" t="s">
        <v>5</v>
      </c>
      <c r="B23" s="411" t="s">
        <v>145</v>
      </c>
      <c r="C23" s="297"/>
      <c r="D23" s="298"/>
      <c r="E23" s="422"/>
      <c r="F23" s="423"/>
      <c r="G23" s="301">
        <f>SUM(F24:F27)</f>
        <v>72033000</v>
      </c>
      <c r="H23" s="703"/>
      <c r="I23" s="760">
        <f t="shared" si="0"/>
        <v>0</v>
      </c>
      <c r="J23" s="226"/>
      <c r="K23" s="295" t="s">
        <v>5</v>
      </c>
      <c r="L23" s="296" t="s">
        <v>145</v>
      </c>
      <c r="M23" s="297"/>
      <c r="N23" s="298"/>
      <c r="O23" s="299"/>
      <c r="P23" s="464"/>
      <c r="Q23" s="301">
        <f>SUM(P24:P27)</f>
        <v>94920000</v>
      </c>
      <c r="R23" s="703"/>
      <c r="S23" s="760">
        <f t="shared" si="2"/>
        <v>0</v>
      </c>
      <c r="T23" s="226"/>
      <c r="U23" s="487" t="s">
        <v>5</v>
      </c>
      <c r="V23" s="488" t="s">
        <v>145</v>
      </c>
      <c r="W23" s="489"/>
      <c r="X23" s="490"/>
      <c r="Y23" s="491"/>
      <c r="Z23" s="492"/>
      <c r="AA23" s="493">
        <f>SUM(Z24:Z27)</f>
        <v>54914900</v>
      </c>
      <c r="AB23" s="703"/>
      <c r="AC23" s="760">
        <f t="shared" si="4"/>
        <v>0</v>
      </c>
      <c r="AD23" s="226"/>
      <c r="AE23" s="599" t="s">
        <v>5</v>
      </c>
      <c r="AF23" s="607" t="s">
        <v>145</v>
      </c>
      <c r="AG23" s="601"/>
      <c r="AH23" s="602"/>
      <c r="AI23" s="603"/>
      <c r="AJ23" s="604"/>
      <c r="AK23" s="301">
        <f>SUM(AJ24:AJ27)</f>
        <v>55780000</v>
      </c>
      <c r="AL23" s="703"/>
      <c r="AM23" s="760">
        <f t="shared" si="6"/>
        <v>0</v>
      </c>
      <c r="AN23" s="226"/>
      <c r="AO23" s="295" t="s">
        <v>5</v>
      </c>
      <c r="AP23" s="663" t="s">
        <v>145</v>
      </c>
      <c r="AQ23" s="297"/>
      <c r="AR23" s="298"/>
      <c r="AS23" s="299"/>
      <c r="AT23" s="664"/>
      <c r="AU23" s="699">
        <f>SUM(AT24:AT27)</f>
        <v>73504000</v>
      </c>
      <c r="AV23" s="703"/>
      <c r="AW23" s="760">
        <f t="shared" si="8"/>
        <v>0</v>
      </c>
      <c r="AX23" s="226"/>
      <c r="AY23" s="295" t="s">
        <v>5</v>
      </c>
      <c r="AZ23" s="296" t="s">
        <v>145</v>
      </c>
      <c r="BA23" s="297"/>
      <c r="BB23" s="298"/>
      <c r="BC23" s="720">
        <v>0</v>
      </c>
      <c r="BD23" s="721"/>
      <c r="BE23" s="301">
        <f>SUM(BD24:BD27)</f>
        <v>68623490</v>
      </c>
      <c r="BF23" s="703"/>
      <c r="BG23" s="760">
        <f t="shared" si="10"/>
        <v>0</v>
      </c>
      <c r="BH23" s="226"/>
      <c r="BI23" s="295" t="s">
        <v>5</v>
      </c>
      <c r="BJ23" s="663" t="s">
        <v>145</v>
      </c>
      <c r="BK23" s="297"/>
      <c r="BL23" s="298"/>
      <c r="BM23" s="299"/>
      <c r="BN23" s="664"/>
      <c r="BO23" s="301">
        <f>SUM(BN24:BN27)</f>
        <v>73991000</v>
      </c>
      <c r="BP23" s="703"/>
      <c r="BQ23" s="760">
        <f t="shared" si="12"/>
        <v>0</v>
      </c>
      <c r="BR23" s="226"/>
      <c r="BS23" s="295" t="s">
        <v>5</v>
      </c>
      <c r="BT23" s="663" t="s">
        <v>145</v>
      </c>
      <c r="BU23" s="297"/>
      <c r="BV23" s="298"/>
      <c r="BW23" s="299"/>
      <c r="BX23" s="664"/>
      <c r="BY23" s="301">
        <f>SUM(BX24:BX27)</f>
        <v>75489000</v>
      </c>
      <c r="BZ23" s="703"/>
      <c r="CA23" s="760">
        <f t="shared" si="14"/>
        <v>0</v>
      </c>
      <c r="CB23" s="226"/>
      <c r="CC23" s="295" t="s">
        <v>5</v>
      </c>
      <c r="CD23" s="663" t="s">
        <v>145</v>
      </c>
      <c r="CE23" s="297"/>
      <c r="CF23" s="298"/>
      <c r="CG23" s="299"/>
      <c r="CH23" s="664"/>
      <c r="CI23" s="301">
        <f>SUM(CH24:CH27)</f>
        <v>73741000</v>
      </c>
      <c r="CJ23" s="703"/>
      <c r="CK23" s="760">
        <f t="shared" si="16"/>
        <v>0</v>
      </c>
      <c r="CL23" s="226"/>
      <c r="CM23" s="295" t="s">
        <v>5</v>
      </c>
      <c r="CN23" s="296" t="s">
        <v>145</v>
      </c>
      <c r="CO23" s="297"/>
      <c r="CP23" s="298"/>
      <c r="CQ23" s="299"/>
      <c r="CR23" s="300"/>
      <c r="CS23" s="301">
        <f>SUM(CR24:CR27)</f>
        <v>55457500</v>
      </c>
      <c r="CT23" s="703"/>
      <c r="CU23" s="760">
        <f t="shared" si="18"/>
        <v>0</v>
      </c>
      <c r="CV23" s="226"/>
    </row>
    <row r="24" spans="1:100" s="208" customFormat="1" ht="106.5" outlineLevel="2" thickTop="1" thickBot="1">
      <c r="A24" s="317" t="s">
        <v>58</v>
      </c>
      <c r="B24" s="425" t="s">
        <v>202</v>
      </c>
      <c r="C24" s="320" t="s">
        <v>86</v>
      </c>
      <c r="D24" s="312">
        <v>1320</v>
      </c>
      <c r="E24" s="426">
        <v>24600</v>
      </c>
      <c r="F24" s="419">
        <f>ROUND(D24*E24,0)</f>
        <v>32472000</v>
      </c>
      <c r="G24" s="927">
        <f>+G23/F81</f>
        <v>0.19755284644229834</v>
      </c>
      <c r="H24" s="704"/>
      <c r="I24" s="760">
        <f t="shared" si="0"/>
        <v>32472000</v>
      </c>
      <c r="J24" s="226">
        <f>+IF(E24=0,1,0)</f>
        <v>0</v>
      </c>
      <c r="K24" s="317" t="s">
        <v>58</v>
      </c>
      <c r="L24" s="319" t="s">
        <v>202</v>
      </c>
      <c r="M24" s="320" t="s">
        <v>86</v>
      </c>
      <c r="N24" s="312">
        <v>1320</v>
      </c>
      <c r="O24" s="457">
        <v>42000</v>
      </c>
      <c r="P24" s="463">
        <f>ROUND(N24*O24,0)</f>
        <v>55440000</v>
      </c>
      <c r="Q24" s="927">
        <f>+Q23/P81</f>
        <v>0.25879912103835312</v>
      </c>
      <c r="R24" s="704"/>
      <c r="S24" s="760">
        <f t="shared" si="2"/>
        <v>55440000</v>
      </c>
      <c r="T24" s="226">
        <f t="shared" ref="T24:T27" si="39">+IF(O24=0,1,0)</f>
        <v>0</v>
      </c>
      <c r="U24" s="511" t="s">
        <v>58</v>
      </c>
      <c r="V24" s="504" t="s">
        <v>428</v>
      </c>
      <c r="W24" s="504" t="s">
        <v>86</v>
      </c>
      <c r="X24" s="504">
        <v>1320</v>
      </c>
      <c r="Y24" s="512">
        <v>12500</v>
      </c>
      <c r="Z24" s="503">
        <f>ROUND(X24*Y24,0)</f>
        <v>16500000</v>
      </c>
      <c r="AA24" s="499">
        <f>+AA23/Z81</f>
        <v>0.15176389931311654</v>
      </c>
      <c r="AB24" s="704"/>
      <c r="AC24" s="760">
        <f t="shared" si="4"/>
        <v>16500000</v>
      </c>
      <c r="AD24" s="226">
        <f t="shared" ref="AD24:AD27" si="40">+IF(Y24=0,1,0)</f>
        <v>0</v>
      </c>
      <c r="AE24" s="605" t="s">
        <v>58</v>
      </c>
      <c r="AF24" s="608" t="s">
        <v>481</v>
      </c>
      <c r="AG24" s="609" t="s">
        <v>86</v>
      </c>
      <c r="AH24" s="594">
        <v>1320</v>
      </c>
      <c r="AI24" s="610">
        <v>28000</v>
      </c>
      <c r="AJ24" s="595">
        <f>ROUND(AH24*AI24,0)</f>
        <v>36960000</v>
      </c>
      <c r="AK24" s="927">
        <f>+AK23/AJ81</f>
        <v>0.1527926427378706</v>
      </c>
      <c r="AL24" s="704"/>
      <c r="AM24" s="760">
        <f t="shared" si="6"/>
        <v>36960000</v>
      </c>
      <c r="AN24" s="226">
        <f t="shared" ref="AN24:AN27" si="41">+IF(AI24=0,1,0)</f>
        <v>0</v>
      </c>
      <c r="AO24" s="317" t="s">
        <v>58</v>
      </c>
      <c r="AP24" s="674" t="s">
        <v>202</v>
      </c>
      <c r="AQ24" s="320" t="s">
        <v>86</v>
      </c>
      <c r="AR24" s="312">
        <v>1320</v>
      </c>
      <c r="AS24" s="321">
        <v>16100</v>
      </c>
      <c r="AT24" s="670">
        <f>ROUND(AR24*AS24,0)</f>
        <v>21252000</v>
      </c>
      <c r="AU24" s="955">
        <f>+AU23/AT81</f>
        <v>0.19787160691711264</v>
      </c>
      <c r="AV24" s="704"/>
      <c r="AW24" s="760">
        <f t="shared" si="8"/>
        <v>21252000</v>
      </c>
      <c r="AX24" s="226">
        <f t="shared" ref="AX24:AX27" si="42">+IF(AS24=0,1,0)</f>
        <v>0</v>
      </c>
      <c r="AY24" s="317" t="s">
        <v>58</v>
      </c>
      <c r="AZ24" s="319" t="s">
        <v>202</v>
      </c>
      <c r="BA24" s="320" t="s">
        <v>86</v>
      </c>
      <c r="BB24" s="312">
        <v>1320</v>
      </c>
      <c r="BC24" s="722">
        <v>35757</v>
      </c>
      <c r="BD24" s="719">
        <f>ROUND(BB24*BC24,0)</f>
        <v>47199240</v>
      </c>
      <c r="BE24" s="927">
        <f>+BE23/BD81</f>
        <v>0.19469422351842047</v>
      </c>
      <c r="BF24" s="704"/>
      <c r="BG24" s="760">
        <f t="shared" si="10"/>
        <v>47199240</v>
      </c>
      <c r="BH24" s="226">
        <f t="shared" ref="BH24:BH27" si="43">+IF(BC24=0,1,0)</f>
        <v>0</v>
      </c>
      <c r="BI24" s="317" t="s">
        <v>58</v>
      </c>
      <c r="BJ24" s="674" t="s">
        <v>202</v>
      </c>
      <c r="BK24" s="320" t="s">
        <v>86</v>
      </c>
      <c r="BL24" s="312">
        <v>1320</v>
      </c>
      <c r="BM24" s="321">
        <v>17000</v>
      </c>
      <c r="BN24" s="670">
        <f>ROUND(BL24*BM24,0)</f>
        <v>22440000</v>
      </c>
      <c r="BO24" s="927">
        <f>+BO23/BN81</f>
        <v>0.19928460621317642</v>
      </c>
      <c r="BP24" s="704"/>
      <c r="BQ24" s="760">
        <f t="shared" si="12"/>
        <v>22440000</v>
      </c>
      <c r="BR24" s="226">
        <f t="shared" ref="BR24:BR27" si="44">+IF(BM24=0,1,0)</f>
        <v>0</v>
      </c>
      <c r="BS24" s="317" t="s">
        <v>58</v>
      </c>
      <c r="BT24" s="674" t="s">
        <v>202</v>
      </c>
      <c r="BU24" s="320" t="s">
        <v>86</v>
      </c>
      <c r="BV24" s="312">
        <v>1320</v>
      </c>
      <c r="BW24" s="321">
        <v>17800</v>
      </c>
      <c r="BX24" s="670">
        <f>ROUND(BV24*BW24,0)</f>
        <v>23496000</v>
      </c>
      <c r="BY24" s="927">
        <f>+BY23/BX81</f>
        <v>0.20150147197987753</v>
      </c>
      <c r="BZ24" s="704"/>
      <c r="CA24" s="760">
        <f t="shared" si="14"/>
        <v>23496000</v>
      </c>
      <c r="CB24" s="226">
        <f t="shared" ref="CB24:CB27" si="45">+IF(BW24=0,1,0)</f>
        <v>0</v>
      </c>
      <c r="CC24" s="317" t="s">
        <v>58</v>
      </c>
      <c r="CD24" s="674" t="s">
        <v>202</v>
      </c>
      <c r="CE24" s="320" t="s">
        <v>86</v>
      </c>
      <c r="CF24" s="1023">
        <v>1320</v>
      </c>
      <c r="CG24" s="321">
        <v>16900</v>
      </c>
      <c r="CH24" s="670">
        <f>ROUND(CF24*CG24,0)</f>
        <v>22308000</v>
      </c>
      <c r="CI24" s="927">
        <f>+CI23/CH81</f>
        <v>0.19789144315145588</v>
      </c>
      <c r="CJ24" s="704"/>
      <c r="CK24" s="760">
        <f t="shared" si="16"/>
        <v>22308000</v>
      </c>
      <c r="CL24" s="226">
        <f t="shared" ref="CL24:CL27" si="46">+IF(CG24=0,1,0)</f>
        <v>0</v>
      </c>
      <c r="CM24" s="317" t="s">
        <v>58</v>
      </c>
      <c r="CN24" s="745" t="s">
        <v>202</v>
      </c>
      <c r="CO24" s="320" t="s">
        <v>86</v>
      </c>
      <c r="CP24" s="312">
        <v>1320</v>
      </c>
      <c r="CQ24" s="321">
        <v>21900</v>
      </c>
      <c r="CR24" s="463">
        <f>ROUND(CP24*CQ24,0)</f>
        <v>28908000</v>
      </c>
      <c r="CS24" s="927">
        <f>+CS23/CR81</f>
        <v>0.15343941910983153</v>
      </c>
      <c r="CT24" s="704"/>
      <c r="CU24" s="760">
        <f t="shared" si="18"/>
        <v>28908000</v>
      </c>
      <c r="CV24" s="226">
        <f t="shared" ref="CV24:CV27" si="47">+IF(CQ24=0,1,0)</f>
        <v>0</v>
      </c>
    </row>
    <row r="25" spans="1:100" s="207" customFormat="1" ht="76.5" outlineLevel="1" thickTop="1" thickBot="1">
      <c r="A25" s="317" t="s">
        <v>164</v>
      </c>
      <c r="B25" s="416" t="s">
        <v>203</v>
      </c>
      <c r="C25" s="322" t="s">
        <v>86</v>
      </c>
      <c r="D25" s="323">
        <v>290</v>
      </c>
      <c r="E25" s="426">
        <v>39300</v>
      </c>
      <c r="F25" s="419">
        <f t="shared" ref="F25:F27" si="48">ROUND(D25*E25,0)</f>
        <v>11397000</v>
      </c>
      <c r="G25" s="928"/>
      <c r="H25" s="704"/>
      <c r="I25" s="760">
        <f t="shared" si="0"/>
        <v>11397000</v>
      </c>
      <c r="J25" s="226">
        <f>+IF(E25=0,1,0)</f>
        <v>0</v>
      </c>
      <c r="K25" s="317" t="s">
        <v>164</v>
      </c>
      <c r="L25" s="307" t="s">
        <v>203</v>
      </c>
      <c r="M25" s="322" t="s">
        <v>86</v>
      </c>
      <c r="N25" s="323">
        <v>290</v>
      </c>
      <c r="O25" s="457">
        <v>41000</v>
      </c>
      <c r="P25" s="463">
        <f t="shared" ref="P25:P27" si="49">ROUND(N25*O25,0)</f>
        <v>11890000</v>
      </c>
      <c r="Q25" s="928"/>
      <c r="R25" s="704"/>
      <c r="S25" s="760">
        <f t="shared" si="2"/>
        <v>11890000</v>
      </c>
      <c r="T25" s="226">
        <f t="shared" si="39"/>
        <v>0</v>
      </c>
      <c r="U25" s="511" t="s">
        <v>164</v>
      </c>
      <c r="V25" s="504" t="s">
        <v>429</v>
      </c>
      <c r="W25" s="504" t="s">
        <v>86</v>
      </c>
      <c r="X25" s="504">
        <v>290</v>
      </c>
      <c r="Y25" s="512">
        <f>29*1850</f>
        <v>53650</v>
      </c>
      <c r="Z25" s="503">
        <f t="shared" ref="Z25:Z27" si="50">ROUND(X25*Y25,0)</f>
        <v>15558500</v>
      </c>
      <c r="AA25" s="502"/>
      <c r="AB25" s="704"/>
      <c r="AC25" s="760">
        <f t="shared" si="4"/>
        <v>15558500</v>
      </c>
      <c r="AD25" s="226">
        <f t="shared" si="40"/>
        <v>0</v>
      </c>
      <c r="AE25" s="605" t="s">
        <v>164</v>
      </c>
      <c r="AF25" s="588" t="s">
        <v>482</v>
      </c>
      <c r="AG25" s="611" t="s">
        <v>86</v>
      </c>
      <c r="AH25" s="612">
        <v>290</v>
      </c>
      <c r="AI25" s="610">
        <v>25000</v>
      </c>
      <c r="AJ25" s="595">
        <f t="shared" ref="AJ25:AJ27" si="51">ROUND(AH25*AI25,0)</f>
        <v>7250000</v>
      </c>
      <c r="AK25" s="928"/>
      <c r="AL25" s="704"/>
      <c r="AM25" s="760">
        <f t="shared" si="6"/>
        <v>7250000</v>
      </c>
      <c r="AN25" s="226">
        <f t="shared" si="41"/>
        <v>0</v>
      </c>
      <c r="AO25" s="317" t="s">
        <v>164</v>
      </c>
      <c r="AP25" s="667" t="s">
        <v>203</v>
      </c>
      <c r="AQ25" s="322" t="s">
        <v>86</v>
      </c>
      <c r="AR25" s="323">
        <v>290</v>
      </c>
      <c r="AS25" s="321">
        <v>68700</v>
      </c>
      <c r="AT25" s="670">
        <f t="shared" ref="AT25:AT27" si="52">ROUND(AR25*AS25,0)</f>
        <v>19923000</v>
      </c>
      <c r="AU25" s="956"/>
      <c r="AV25" s="704"/>
      <c r="AW25" s="760">
        <f t="shared" si="8"/>
        <v>19923000</v>
      </c>
      <c r="AX25" s="226">
        <f t="shared" si="42"/>
        <v>0</v>
      </c>
      <c r="AY25" s="317" t="s">
        <v>164</v>
      </c>
      <c r="AZ25" s="307" t="s">
        <v>203</v>
      </c>
      <c r="BA25" s="322" t="s">
        <v>86</v>
      </c>
      <c r="BB25" s="323">
        <v>290</v>
      </c>
      <c r="BC25" s="722">
        <v>24850</v>
      </c>
      <c r="BD25" s="719">
        <f t="shared" ref="BD25:BD27" si="53">ROUND(BB25*BC25,0)</f>
        <v>7206500</v>
      </c>
      <c r="BE25" s="928"/>
      <c r="BF25" s="704"/>
      <c r="BG25" s="760">
        <f t="shared" si="10"/>
        <v>7206500</v>
      </c>
      <c r="BH25" s="226">
        <f t="shared" si="43"/>
        <v>0</v>
      </c>
      <c r="BI25" s="317" t="s">
        <v>164</v>
      </c>
      <c r="BJ25" s="667" t="s">
        <v>203</v>
      </c>
      <c r="BK25" s="322" t="s">
        <v>86</v>
      </c>
      <c r="BL25" s="323">
        <v>290</v>
      </c>
      <c r="BM25" s="321">
        <v>64500</v>
      </c>
      <c r="BN25" s="670">
        <f t="shared" ref="BN25:BN27" si="54">ROUND(BL25*BM25,0)</f>
        <v>18705000</v>
      </c>
      <c r="BO25" s="928"/>
      <c r="BP25" s="704"/>
      <c r="BQ25" s="760">
        <f t="shared" si="12"/>
        <v>18705000</v>
      </c>
      <c r="BR25" s="226">
        <f t="shared" si="44"/>
        <v>0</v>
      </c>
      <c r="BS25" s="317" t="s">
        <v>164</v>
      </c>
      <c r="BT25" s="667" t="s">
        <v>203</v>
      </c>
      <c r="BU25" s="322" t="s">
        <v>86</v>
      </c>
      <c r="BV25" s="323">
        <v>290</v>
      </c>
      <c r="BW25" s="321">
        <v>64300</v>
      </c>
      <c r="BX25" s="670">
        <f t="shared" ref="BX25:BX27" si="55">ROUND(BV25*BW25,0)</f>
        <v>18647000</v>
      </c>
      <c r="BY25" s="928"/>
      <c r="BZ25" s="704"/>
      <c r="CA25" s="760">
        <f t="shared" si="14"/>
        <v>18647000</v>
      </c>
      <c r="CB25" s="226">
        <f t="shared" si="45"/>
        <v>0</v>
      </c>
      <c r="CC25" s="317" t="s">
        <v>164</v>
      </c>
      <c r="CD25" s="667" t="s">
        <v>203</v>
      </c>
      <c r="CE25" s="322" t="s">
        <v>86</v>
      </c>
      <c r="CF25" s="1024">
        <v>290</v>
      </c>
      <c r="CG25" s="321">
        <v>64200</v>
      </c>
      <c r="CH25" s="670">
        <f t="shared" ref="CH25:CH27" si="56">ROUND(CF25*CG25,0)</f>
        <v>18618000</v>
      </c>
      <c r="CI25" s="928"/>
      <c r="CJ25" s="704"/>
      <c r="CK25" s="760">
        <f t="shared" si="16"/>
        <v>18618000</v>
      </c>
      <c r="CL25" s="226">
        <f t="shared" si="46"/>
        <v>0</v>
      </c>
      <c r="CM25" s="317" t="s">
        <v>164</v>
      </c>
      <c r="CN25" s="743" t="s">
        <v>203</v>
      </c>
      <c r="CO25" s="322" t="s">
        <v>86</v>
      </c>
      <c r="CP25" s="323">
        <v>290</v>
      </c>
      <c r="CQ25" s="321">
        <v>38050</v>
      </c>
      <c r="CR25" s="463">
        <f t="shared" ref="CR25:CR27" si="57">ROUND(CP25*CQ25,0)</f>
        <v>11034500</v>
      </c>
      <c r="CS25" s="928"/>
      <c r="CT25" s="704"/>
      <c r="CU25" s="760">
        <f t="shared" si="18"/>
        <v>11034500</v>
      </c>
      <c r="CV25" s="226">
        <f t="shared" si="47"/>
        <v>0</v>
      </c>
    </row>
    <row r="26" spans="1:100" s="208" customFormat="1" ht="61.5" outlineLevel="2" thickTop="1" thickBot="1">
      <c r="A26" s="317" t="s">
        <v>204</v>
      </c>
      <c r="B26" s="416" t="s">
        <v>205</v>
      </c>
      <c r="C26" s="324" t="s">
        <v>86</v>
      </c>
      <c r="D26" s="323">
        <v>1250</v>
      </c>
      <c r="E26" s="426">
        <v>15500</v>
      </c>
      <c r="F26" s="419">
        <f t="shared" si="48"/>
        <v>19375000</v>
      </c>
      <c r="G26" s="928"/>
      <c r="H26" s="704"/>
      <c r="I26" s="760">
        <f t="shared" si="0"/>
        <v>19375000</v>
      </c>
      <c r="J26" s="226">
        <f>+IF(E26=0,1,0)</f>
        <v>0</v>
      </c>
      <c r="K26" s="317" t="s">
        <v>204</v>
      </c>
      <c r="L26" s="307" t="s">
        <v>205</v>
      </c>
      <c r="M26" s="324" t="s">
        <v>86</v>
      </c>
      <c r="N26" s="323">
        <v>1250</v>
      </c>
      <c r="O26" s="457">
        <v>18500</v>
      </c>
      <c r="P26" s="463">
        <f t="shared" si="49"/>
        <v>23125000</v>
      </c>
      <c r="Q26" s="928"/>
      <c r="R26" s="704"/>
      <c r="S26" s="760">
        <f t="shared" si="2"/>
        <v>23125000</v>
      </c>
      <c r="T26" s="226">
        <f t="shared" si="39"/>
        <v>0</v>
      </c>
      <c r="U26" s="511" t="s">
        <v>204</v>
      </c>
      <c r="V26" s="504" t="s">
        <v>430</v>
      </c>
      <c r="W26" s="504" t="s">
        <v>86</v>
      </c>
      <c r="X26" s="504">
        <v>1250</v>
      </c>
      <c r="Y26" s="512">
        <v>12600</v>
      </c>
      <c r="Z26" s="503">
        <f t="shared" si="50"/>
        <v>15750000</v>
      </c>
      <c r="AA26" s="502"/>
      <c r="AB26" s="704"/>
      <c r="AC26" s="760">
        <f t="shared" si="4"/>
        <v>15750000</v>
      </c>
      <c r="AD26" s="226">
        <f t="shared" si="40"/>
        <v>0</v>
      </c>
      <c r="AE26" s="605" t="s">
        <v>204</v>
      </c>
      <c r="AF26" s="588" t="s">
        <v>483</v>
      </c>
      <c r="AG26" s="613" t="s">
        <v>86</v>
      </c>
      <c r="AH26" s="612">
        <v>1250</v>
      </c>
      <c r="AI26" s="610">
        <v>7000</v>
      </c>
      <c r="AJ26" s="595">
        <f t="shared" si="51"/>
        <v>8750000</v>
      </c>
      <c r="AK26" s="928"/>
      <c r="AL26" s="704"/>
      <c r="AM26" s="760">
        <f t="shared" si="6"/>
        <v>8750000</v>
      </c>
      <c r="AN26" s="226">
        <f t="shared" si="41"/>
        <v>0</v>
      </c>
      <c r="AO26" s="317" t="s">
        <v>204</v>
      </c>
      <c r="AP26" s="667" t="s">
        <v>205</v>
      </c>
      <c r="AQ26" s="324" t="s">
        <v>86</v>
      </c>
      <c r="AR26" s="323">
        <v>1250</v>
      </c>
      <c r="AS26" s="321">
        <v>20900</v>
      </c>
      <c r="AT26" s="670">
        <f t="shared" si="52"/>
        <v>26125000</v>
      </c>
      <c r="AU26" s="956"/>
      <c r="AV26" s="704"/>
      <c r="AW26" s="760">
        <f t="shared" si="8"/>
        <v>26125000</v>
      </c>
      <c r="AX26" s="226">
        <f t="shared" si="42"/>
        <v>0</v>
      </c>
      <c r="AY26" s="317" t="s">
        <v>204</v>
      </c>
      <c r="AZ26" s="307" t="s">
        <v>205</v>
      </c>
      <c r="BA26" s="324" t="s">
        <v>86</v>
      </c>
      <c r="BB26" s="323">
        <v>1250</v>
      </c>
      <c r="BC26" s="722">
        <v>6035</v>
      </c>
      <c r="BD26" s="719">
        <f t="shared" si="53"/>
        <v>7543750</v>
      </c>
      <c r="BE26" s="928"/>
      <c r="BF26" s="704"/>
      <c r="BG26" s="760">
        <f t="shared" si="10"/>
        <v>7543750</v>
      </c>
      <c r="BH26" s="226">
        <f t="shared" si="43"/>
        <v>0</v>
      </c>
      <c r="BI26" s="317" t="s">
        <v>204</v>
      </c>
      <c r="BJ26" s="667" t="s">
        <v>205</v>
      </c>
      <c r="BK26" s="324" t="s">
        <v>86</v>
      </c>
      <c r="BL26" s="323">
        <v>1250</v>
      </c>
      <c r="BM26" s="321">
        <v>20900</v>
      </c>
      <c r="BN26" s="670">
        <f t="shared" si="54"/>
        <v>26125000</v>
      </c>
      <c r="BO26" s="928"/>
      <c r="BP26" s="704"/>
      <c r="BQ26" s="760">
        <f t="shared" si="12"/>
        <v>26125000</v>
      </c>
      <c r="BR26" s="226">
        <f t="shared" si="44"/>
        <v>0</v>
      </c>
      <c r="BS26" s="317" t="s">
        <v>204</v>
      </c>
      <c r="BT26" s="667" t="s">
        <v>205</v>
      </c>
      <c r="BU26" s="324" t="s">
        <v>86</v>
      </c>
      <c r="BV26" s="323">
        <v>1250</v>
      </c>
      <c r="BW26" s="321">
        <v>21300</v>
      </c>
      <c r="BX26" s="670">
        <f t="shared" si="55"/>
        <v>26625000</v>
      </c>
      <c r="BY26" s="928"/>
      <c r="BZ26" s="704"/>
      <c r="CA26" s="760">
        <f t="shared" si="14"/>
        <v>26625000</v>
      </c>
      <c r="CB26" s="226">
        <f t="shared" si="45"/>
        <v>0</v>
      </c>
      <c r="CC26" s="317" t="s">
        <v>204</v>
      </c>
      <c r="CD26" s="667" t="s">
        <v>205</v>
      </c>
      <c r="CE26" s="324" t="s">
        <v>86</v>
      </c>
      <c r="CF26" s="1024">
        <v>1250</v>
      </c>
      <c r="CG26" s="321">
        <v>20800</v>
      </c>
      <c r="CH26" s="670">
        <f t="shared" si="56"/>
        <v>26000000</v>
      </c>
      <c r="CI26" s="928"/>
      <c r="CJ26" s="704"/>
      <c r="CK26" s="760">
        <f t="shared" si="16"/>
        <v>26000000</v>
      </c>
      <c r="CL26" s="226">
        <f t="shared" si="46"/>
        <v>0</v>
      </c>
      <c r="CM26" s="317" t="s">
        <v>204</v>
      </c>
      <c r="CN26" s="743" t="s">
        <v>205</v>
      </c>
      <c r="CO26" s="324" t="s">
        <v>86</v>
      </c>
      <c r="CP26" s="323">
        <v>1250</v>
      </c>
      <c r="CQ26" s="321">
        <v>7900</v>
      </c>
      <c r="CR26" s="463">
        <f t="shared" si="57"/>
        <v>9875000</v>
      </c>
      <c r="CS26" s="928"/>
      <c r="CT26" s="704"/>
      <c r="CU26" s="760">
        <f t="shared" si="18"/>
        <v>9875000</v>
      </c>
      <c r="CV26" s="226">
        <f t="shared" si="47"/>
        <v>0</v>
      </c>
    </row>
    <row r="27" spans="1:100" s="208" customFormat="1" ht="76.5" outlineLevel="1" thickTop="1" thickBot="1">
      <c r="A27" s="317" t="s">
        <v>146</v>
      </c>
      <c r="B27" s="416" t="s">
        <v>206</v>
      </c>
      <c r="C27" s="308" t="s">
        <v>92</v>
      </c>
      <c r="D27" s="309">
        <v>470</v>
      </c>
      <c r="E27" s="426">
        <v>18700</v>
      </c>
      <c r="F27" s="419">
        <f t="shared" si="48"/>
        <v>8789000</v>
      </c>
      <c r="G27" s="928"/>
      <c r="H27" s="704"/>
      <c r="I27" s="760">
        <f t="shared" si="0"/>
        <v>8789000</v>
      </c>
      <c r="J27" s="226">
        <f>+IF(E27=0,1,0)</f>
        <v>0</v>
      </c>
      <c r="K27" s="317" t="s">
        <v>146</v>
      </c>
      <c r="L27" s="307" t="s">
        <v>206</v>
      </c>
      <c r="M27" s="308" t="s">
        <v>92</v>
      </c>
      <c r="N27" s="309">
        <v>470</v>
      </c>
      <c r="O27" s="457">
        <v>9500</v>
      </c>
      <c r="P27" s="463">
        <f t="shared" si="49"/>
        <v>4465000</v>
      </c>
      <c r="Q27" s="928"/>
      <c r="R27" s="704"/>
      <c r="S27" s="760">
        <f t="shared" si="2"/>
        <v>4465000</v>
      </c>
      <c r="T27" s="226">
        <f t="shared" si="39"/>
        <v>0</v>
      </c>
      <c r="U27" s="511" t="s">
        <v>146</v>
      </c>
      <c r="V27" s="495" t="s">
        <v>431</v>
      </c>
      <c r="W27" s="500" t="s">
        <v>92</v>
      </c>
      <c r="X27" s="501">
        <v>470</v>
      </c>
      <c r="Y27" s="512">
        <v>15120</v>
      </c>
      <c r="Z27" s="503">
        <f t="shared" si="50"/>
        <v>7106400</v>
      </c>
      <c r="AA27" s="509"/>
      <c r="AB27" s="704"/>
      <c r="AC27" s="760">
        <f t="shared" si="4"/>
        <v>7106400</v>
      </c>
      <c r="AD27" s="226">
        <f t="shared" si="40"/>
        <v>0</v>
      </c>
      <c r="AE27" s="605" t="s">
        <v>146</v>
      </c>
      <c r="AF27" s="588" t="s">
        <v>484</v>
      </c>
      <c r="AG27" s="589" t="s">
        <v>92</v>
      </c>
      <c r="AH27" s="590">
        <v>470</v>
      </c>
      <c r="AI27" s="610">
        <v>6000</v>
      </c>
      <c r="AJ27" s="595">
        <f t="shared" si="51"/>
        <v>2820000</v>
      </c>
      <c r="AK27" s="928"/>
      <c r="AL27" s="704"/>
      <c r="AM27" s="760">
        <f t="shared" si="6"/>
        <v>2820000</v>
      </c>
      <c r="AN27" s="226">
        <f t="shared" si="41"/>
        <v>0</v>
      </c>
      <c r="AO27" s="317" t="s">
        <v>146</v>
      </c>
      <c r="AP27" s="667" t="s">
        <v>206</v>
      </c>
      <c r="AQ27" s="308" t="s">
        <v>92</v>
      </c>
      <c r="AR27" s="309">
        <v>470</v>
      </c>
      <c r="AS27" s="321">
        <v>13200</v>
      </c>
      <c r="AT27" s="670">
        <f t="shared" si="52"/>
        <v>6204000</v>
      </c>
      <c r="AU27" s="956"/>
      <c r="AV27" s="704"/>
      <c r="AW27" s="760">
        <f t="shared" si="8"/>
        <v>6204000</v>
      </c>
      <c r="AX27" s="226">
        <f t="shared" si="42"/>
        <v>0</v>
      </c>
      <c r="AY27" s="317" t="s">
        <v>146</v>
      </c>
      <c r="AZ27" s="307" t="s">
        <v>206</v>
      </c>
      <c r="BA27" s="308" t="s">
        <v>92</v>
      </c>
      <c r="BB27" s="309">
        <v>470</v>
      </c>
      <c r="BC27" s="722">
        <v>14200</v>
      </c>
      <c r="BD27" s="719">
        <f t="shared" si="53"/>
        <v>6674000</v>
      </c>
      <c r="BE27" s="928"/>
      <c r="BF27" s="704"/>
      <c r="BG27" s="760">
        <f t="shared" si="10"/>
        <v>6674000</v>
      </c>
      <c r="BH27" s="226">
        <f t="shared" si="43"/>
        <v>0</v>
      </c>
      <c r="BI27" s="317" t="s">
        <v>146</v>
      </c>
      <c r="BJ27" s="667" t="s">
        <v>206</v>
      </c>
      <c r="BK27" s="308" t="s">
        <v>92</v>
      </c>
      <c r="BL27" s="309">
        <v>470</v>
      </c>
      <c r="BM27" s="321">
        <v>14300</v>
      </c>
      <c r="BN27" s="670">
        <f t="shared" si="54"/>
        <v>6721000</v>
      </c>
      <c r="BO27" s="928"/>
      <c r="BP27" s="704"/>
      <c r="BQ27" s="760">
        <f t="shared" si="12"/>
        <v>6721000</v>
      </c>
      <c r="BR27" s="226">
        <f t="shared" si="44"/>
        <v>0</v>
      </c>
      <c r="BS27" s="317" t="s">
        <v>146</v>
      </c>
      <c r="BT27" s="667" t="s">
        <v>206</v>
      </c>
      <c r="BU27" s="308" t="s">
        <v>92</v>
      </c>
      <c r="BV27" s="309">
        <v>470</v>
      </c>
      <c r="BW27" s="321">
        <v>14300</v>
      </c>
      <c r="BX27" s="670">
        <f t="shared" si="55"/>
        <v>6721000</v>
      </c>
      <c r="BY27" s="928"/>
      <c r="BZ27" s="704"/>
      <c r="CA27" s="760">
        <f t="shared" si="14"/>
        <v>6721000</v>
      </c>
      <c r="CB27" s="226">
        <f t="shared" si="45"/>
        <v>0</v>
      </c>
      <c r="CC27" s="317" t="s">
        <v>146</v>
      </c>
      <c r="CD27" s="667" t="s">
        <v>206</v>
      </c>
      <c r="CE27" s="308" t="s">
        <v>92</v>
      </c>
      <c r="CF27" s="309">
        <v>470</v>
      </c>
      <c r="CG27" s="321">
        <v>14500</v>
      </c>
      <c r="CH27" s="670">
        <f t="shared" si="56"/>
        <v>6815000</v>
      </c>
      <c r="CI27" s="928"/>
      <c r="CJ27" s="704"/>
      <c r="CK27" s="760">
        <f t="shared" si="16"/>
        <v>6815000</v>
      </c>
      <c r="CL27" s="226">
        <f t="shared" si="46"/>
        <v>0</v>
      </c>
      <c r="CM27" s="317" t="s">
        <v>146</v>
      </c>
      <c r="CN27" s="743" t="s">
        <v>206</v>
      </c>
      <c r="CO27" s="308" t="s">
        <v>92</v>
      </c>
      <c r="CP27" s="309">
        <v>470</v>
      </c>
      <c r="CQ27" s="321">
        <v>12000</v>
      </c>
      <c r="CR27" s="463">
        <f t="shared" si="57"/>
        <v>5640000</v>
      </c>
      <c r="CS27" s="928"/>
      <c r="CT27" s="704"/>
      <c r="CU27" s="760">
        <f t="shared" si="18"/>
        <v>5640000</v>
      </c>
      <c r="CV27" s="226">
        <f t="shared" si="47"/>
        <v>0</v>
      </c>
    </row>
    <row r="28" spans="1:100" s="208" customFormat="1" ht="24.75" outlineLevel="1" thickTop="1" thickBot="1">
      <c r="A28" s="295" t="s">
        <v>6</v>
      </c>
      <c r="B28" s="421" t="s">
        <v>207</v>
      </c>
      <c r="C28" s="297"/>
      <c r="D28" s="298"/>
      <c r="E28" s="422"/>
      <c r="F28" s="423"/>
      <c r="G28" s="301">
        <f>SUM(F29:F39)</f>
        <v>76114339</v>
      </c>
      <c r="H28" s="703"/>
      <c r="I28" s="760">
        <f t="shared" si="0"/>
        <v>0</v>
      </c>
      <c r="J28" s="226"/>
      <c r="K28" s="295" t="s">
        <v>6</v>
      </c>
      <c r="L28" s="316" t="s">
        <v>207</v>
      </c>
      <c r="M28" s="297"/>
      <c r="N28" s="298"/>
      <c r="O28" s="299"/>
      <c r="P28" s="464"/>
      <c r="Q28" s="301">
        <f>SUM(P29:P39)</f>
        <v>92094120</v>
      </c>
      <c r="R28" s="703"/>
      <c r="S28" s="760">
        <f t="shared" si="2"/>
        <v>0</v>
      </c>
      <c r="T28" s="226"/>
      <c r="U28" s="487" t="s">
        <v>6</v>
      </c>
      <c r="V28" s="510" t="s">
        <v>207</v>
      </c>
      <c r="W28" s="489"/>
      <c r="X28" s="490"/>
      <c r="Y28" s="491"/>
      <c r="Z28" s="492"/>
      <c r="AA28" s="493">
        <f>SUM(Z29:Z39)</f>
        <v>88863850</v>
      </c>
      <c r="AB28" s="703"/>
      <c r="AC28" s="760">
        <f t="shared" si="4"/>
        <v>0</v>
      </c>
      <c r="AD28" s="226"/>
      <c r="AE28" s="599" t="s">
        <v>6</v>
      </c>
      <c r="AF28" s="600" t="s">
        <v>207</v>
      </c>
      <c r="AG28" s="601"/>
      <c r="AH28" s="602"/>
      <c r="AI28" s="603"/>
      <c r="AJ28" s="604"/>
      <c r="AK28" s="301">
        <f>SUM(AJ29:AJ39)</f>
        <v>90763010</v>
      </c>
      <c r="AL28" s="703"/>
      <c r="AM28" s="760">
        <f t="shared" si="6"/>
        <v>0</v>
      </c>
      <c r="AN28" s="226"/>
      <c r="AO28" s="295" t="s">
        <v>6</v>
      </c>
      <c r="AP28" s="672" t="s">
        <v>207</v>
      </c>
      <c r="AQ28" s="297"/>
      <c r="AR28" s="298"/>
      <c r="AS28" s="299"/>
      <c r="AT28" s="664"/>
      <c r="AU28" s="699">
        <f>SUM(AT29:AT39)</f>
        <v>67550386</v>
      </c>
      <c r="AV28" s="703"/>
      <c r="AW28" s="760">
        <f t="shared" si="8"/>
        <v>0</v>
      </c>
      <c r="AX28" s="226"/>
      <c r="AY28" s="295" t="s">
        <v>6</v>
      </c>
      <c r="AZ28" s="316" t="s">
        <v>207</v>
      </c>
      <c r="BA28" s="297"/>
      <c r="BB28" s="298"/>
      <c r="BC28" s="720"/>
      <c r="BD28" s="721"/>
      <c r="BE28" s="301">
        <f>SUM(BD29:BD39)</f>
        <v>93176389</v>
      </c>
      <c r="BF28" s="703"/>
      <c r="BG28" s="760">
        <f t="shared" si="10"/>
        <v>0</v>
      </c>
      <c r="BH28" s="226"/>
      <c r="BI28" s="295" t="s">
        <v>6</v>
      </c>
      <c r="BJ28" s="672" t="s">
        <v>207</v>
      </c>
      <c r="BK28" s="297"/>
      <c r="BL28" s="298"/>
      <c r="BM28" s="299"/>
      <c r="BN28" s="664"/>
      <c r="BO28" s="301">
        <f>SUM(BN29:BN39)</f>
        <v>66010422</v>
      </c>
      <c r="BP28" s="703"/>
      <c r="BQ28" s="760">
        <f t="shared" si="12"/>
        <v>0</v>
      </c>
      <c r="BR28" s="226"/>
      <c r="BS28" s="295" t="s">
        <v>6</v>
      </c>
      <c r="BT28" s="672" t="s">
        <v>207</v>
      </c>
      <c r="BU28" s="297"/>
      <c r="BV28" s="298"/>
      <c r="BW28" s="299"/>
      <c r="BX28" s="664"/>
      <c r="BY28" s="301">
        <f>SUM(BX29:BX39)</f>
        <v>67307225</v>
      </c>
      <c r="BZ28" s="703"/>
      <c r="CA28" s="760">
        <f t="shared" si="14"/>
        <v>0</v>
      </c>
      <c r="CB28" s="226"/>
      <c r="CC28" s="295" t="s">
        <v>6</v>
      </c>
      <c r="CD28" s="672" t="s">
        <v>207</v>
      </c>
      <c r="CE28" s="297"/>
      <c r="CF28" s="298"/>
      <c r="CG28" s="299"/>
      <c r="CH28" s="664"/>
      <c r="CI28" s="301">
        <f>SUM(CH29:CH39)</f>
        <v>66945084</v>
      </c>
      <c r="CJ28" s="703"/>
      <c r="CK28" s="760">
        <f t="shared" si="16"/>
        <v>0</v>
      </c>
      <c r="CL28" s="226"/>
      <c r="CM28" s="295" t="s">
        <v>6</v>
      </c>
      <c r="CN28" s="316" t="s">
        <v>207</v>
      </c>
      <c r="CO28" s="297"/>
      <c r="CP28" s="298"/>
      <c r="CQ28" s="299"/>
      <c r="CR28" s="300"/>
      <c r="CS28" s="301">
        <f>SUM(CR29:CR39)</f>
        <v>92419764</v>
      </c>
      <c r="CT28" s="703"/>
      <c r="CU28" s="760">
        <f t="shared" si="18"/>
        <v>0</v>
      </c>
      <c r="CV28" s="226"/>
    </row>
    <row r="29" spans="1:100" s="208" customFormat="1" ht="151.5" outlineLevel="1" thickTop="1" thickBot="1">
      <c r="A29" s="325" t="s">
        <v>208</v>
      </c>
      <c r="B29" s="424" t="s">
        <v>209</v>
      </c>
      <c r="C29" s="326" t="s">
        <v>86</v>
      </c>
      <c r="D29" s="327">
        <v>3168</v>
      </c>
      <c r="E29" s="427">
        <v>10600</v>
      </c>
      <c r="F29" s="428">
        <f>ROUND(D29*E29,0)</f>
        <v>33580800</v>
      </c>
      <c r="G29" s="927">
        <f>+G28/F81</f>
        <v>0.2087460514559166</v>
      </c>
      <c r="H29" s="704"/>
      <c r="I29" s="760">
        <f t="shared" si="0"/>
        <v>33580800</v>
      </c>
      <c r="J29" s="226">
        <f t="shared" ref="J29:J39" si="58">+IF(E29=0,1,0)</f>
        <v>0</v>
      </c>
      <c r="K29" s="325" t="s">
        <v>208</v>
      </c>
      <c r="L29" s="318" t="s">
        <v>209</v>
      </c>
      <c r="M29" s="326" t="s">
        <v>86</v>
      </c>
      <c r="N29" s="327">
        <v>3168</v>
      </c>
      <c r="O29" s="458">
        <v>12700</v>
      </c>
      <c r="P29" s="465">
        <f>ROUND(N29*O29,0)</f>
        <v>40233600</v>
      </c>
      <c r="Q29" s="927">
        <f>+Q28/P81</f>
        <v>0.25109436692794579</v>
      </c>
      <c r="R29" s="704"/>
      <c r="S29" s="760">
        <f t="shared" si="2"/>
        <v>40233600</v>
      </c>
      <c r="T29" s="226">
        <f t="shared" ref="T29:T30" si="59">+IF(O29=0,1,0)</f>
        <v>0</v>
      </c>
      <c r="U29" s="513" t="s">
        <v>208</v>
      </c>
      <c r="V29" s="537" t="s">
        <v>432</v>
      </c>
      <c r="W29" s="1027" t="s">
        <v>86</v>
      </c>
      <c r="X29" s="1028">
        <v>3168</v>
      </c>
      <c r="Y29" s="514">
        <v>9500</v>
      </c>
      <c r="Z29" s="515">
        <f>ROUND(X29*Y29,0)</f>
        <v>30096000</v>
      </c>
      <c r="AA29" s="499">
        <f>+AA28/Z81</f>
        <v>0.24558588623444441</v>
      </c>
      <c r="AB29" s="704"/>
      <c r="AC29" s="760">
        <f t="shared" si="4"/>
        <v>30096000</v>
      </c>
      <c r="AD29" s="226">
        <f t="shared" ref="AD29:AD30" si="60">+IF(Y29=0,1,0)</f>
        <v>0</v>
      </c>
      <c r="AE29" s="614" t="s">
        <v>208</v>
      </c>
      <c r="AF29" s="606" t="s">
        <v>485</v>
      </c>
      <c r="AG29" s="615" t="s">
        <v>86</v>
      </c>
      <c r="AH29" s="616">
        <v>3168</v>
      </c>
      <c r="AI29" s="617">
        <v>9000</v>
      </c>
      <c r="AJ29" s="618">
        <f>ROUND(AH29*AI29,0)</f>
        <v>28512000</v>
      </c>
      <c r="AK29" s="927">
        <f>+AK28/AJ81</f>
        <v>0.24861814558522369</v>
      </c>
      <c r="AL29" s="704"/>
      <c r="AM29" s="760">
        <f t="shared" si="6"/>
        <v>28512000</v>
      </c>
      <c r="AN29" s="226">
        <f t="shared" ref="AN29:AN30" si="61">+IF(AI29=0,1,0)</f>
        <v>0</v>
      </c>
      <c r="AO29" s="325" t="s">
        <v>208</v>
      </c>
      <c r="AP29" s="673" t="s">
        <v>209</v>
      </c>
      <c r="AQ29" s="326" t="s">
        <v>86</v>
      </c>
      <c r="AR29" s="327">
        <v>3168</v>
      </c>
      <c r="AS29" s="328">
        <v>8000</v>
      </c>
      <c r="AT29" s="675">
        <f>ROUND(AR29*AS29,0)</f>
        <v>25344000</v>
      </c>
      <c r="AU29" s="955">
        <f>+AU28/AT81</f>
        <v>0.18184457207350932</v>
      </c>
      <c r="AV29" s="704"/>
      <c r="AW29" s="760">
        <f t="shared" si="8"/>
        <v>25344000</v>
      </c>
      <c r="AX29" s="226">
        <f t="shared" ref="AX29:AX30" si="62">+IF(AS29=0,1,0)</f>
        <v>0</v>
      </c>
      <c r="AY29" s="325" t="s">
        <v>208</v>
      </c>
      <c r="AZ29" s="318" t="s">
        <v>209</v>
      </c>
      <c r="BA29" s="326" t="s">
        <v>86</v>
      </c>
      <c r="BB29" s="327">
        <v>3168</v>
      </c>
      <c r="BC29" s="723">
        <v>10295</v>
      </c>
      <c r="BD29" s="724">
        <f>ROUND(BB29*BC29,0)</f>
        <v>32614560</v>
      </c>
      <c r="BE29" s="927">
        <f>+BE28/BD81</f>
        <v>0.26435415491991582</v>
      </c>
      <c r="BF29" s="704"/>
      <c r="BG29" s="760">
        <f t="shared" si="10"/>
        <v>32614560</v>
      </c>
      <c r="BH29" s="226">
        <f t="shared" ref="BH29:BH30" si="63">+IF(BC29=0,1,0)</f>
        <v>0</v>
      </c>
      <c r="BI29" s="325" t="s">
        <v>208</v>
      </c>
      <c r="BJ29" s="673" t="s">
        <v>209</v>
      </c>
      <c r="BK29" s="326" t="s">
        <v>86</v>
      </c>
      <c r="BL29" s="327">
        <v>3168</v>
      </c>
      <c r="BM29" s="328">
        <v>7920</v>
      </c>
      <c r="BN29" s="675">
        <f>ROUND(BL29*BM29,0)</f>
        <v>25090560</v>
      </c>
      <c r="BO29" s="927">
        <f>+BO28/BN81</f>
        <v>0.17779001438331143</v>
      </c>
      <c r="BP29" s="704"/>
      <c r="BQ29" s="760">
        <f t="shared" si="12"/>
        <v>25090560</v>
      </c>
      <c r="BR29" s="226">
        <f t="shared" ref="BR29:BR30" si="64">+IF(BM29=0,1,0)</f>
        <v>0</v>
      </c>
      <c r="BS29" s="325" t="s">
        <v>208</v>
      </c>
      <c r="BT29" s="673" t="s">
        <v>209</v>
      </c>
      <c r="BU29" s="326" t="s">
        <v>86</v>
      </c>
      <c r="BV29" s="327">
        <v>3168</v>
      </c>
      <c r="BW29" s="328">
        <v>7800</v>
      </c>
      <c r="BX29" s="675">
        <f>ROUND(BV29*BW29,0)</f>
        <v>24710400</v>
      </c>
      <c r="BY29" s="927">
        <f>+BY28/BX81</f>
        <v>0.17966200257495546</v>
      </c>
      <c r="BZ29" s="704"/>
      <c r="CA29" s="760">
        <f t="shared" si="14"/>
        <v>24710400</v>
      </c>
      <c r="CB29" s="226">
        <f t="shared" ref="CB29:CB30" si="65">+IF(BW29=0,1,0)</f>
        <v>0</v>
      </c>
      <c r="CC29" s="325" t="s">
        <v>208</v>
      </c>
      <c r="CD29" s="673" t="s">
        <v>209</v>
      </c>
      <c r="CE29" s="326" t="s">
        <v>86</v>
      </c>
      <c r="CF29" s="1025">
        <v>3168</v>
      </c>
      <c r="CG29" s="328">
        <v>7950</v>
      </c>
      <c r="CH29" s="675">
        <f>ROUND(CF29*CG29,0)</f>
        <v>25185600</v>
      </c>
      <c r="CI29" s="927">
        <f>+CI28/CH81</f>
        <v>0.17965391416790438</v>
      </c>
      <c r="CJ29" s="704"/>
      <c r="CK29" s="760">
        <f t="shared" si="16"/>
        <v>25185600</v>
      </c>
      <c r="CL29" s="226">
        <f t="shared" ref="CL29:CL30" si="66">+IF(CG29=0,1,0)</f>
        <v>0</v>
      </c>
      <c r="CM29" s="325" t="s">
        <v>208</v>
      </c>
      <c r="CN29" s="356" t="s">
        <v>209</v>
      </c>
      <c r="CO29" s="326" t="s">
        <v>86</v>
      </c>
      <c r="CP29" s="327">
        <v>3168</v>
      </c>
      <c r="CQ29" s="328">
        <v>11100</v>
      </c>
      <c r="CR29" s="465">
        <f>ROUND(CP29*CQ29,0)</f>
        <v>35164800</v>
      </c>
      <c r="CS29" s="927">
        <f>+CS28/CR81</f>
        <v>0.2557063499513631</v>
      </c>
      <c r="CT29" s="704"/>
      <c r="CU29" s="760">
        <f t="shared" si="18"/>
        <v>35164800</v>
      </c>
      <c r="CV29" s="226">
        <f t="shared" ref="CV29:CV30" si="67">+IF(CQ29=0,1,0)</f>
        <v>0</v>
      </c>
    </row>
    <row r="30" spans="1:100" s="208" customFormat="1" ht="151.5" thickTop="1" thickBot="1">
      <c r="A30" s="325" t="s">
        <v>59</v>
      </c>
      <c r="B30" s="424" t="s">
        <v>210</v>
      </c>
      <c r="C30" s="326" t="s">
        <v>86</v>
      </c>
      <c r="D30" s="327">
        <v>450</v>
      </c>
      <c r="E30" s="427">
        <v>11500</v>
      </c>
      <c r="F30" s="428">
        <f t="shared" ref="F30:F39" si="68">ROUND(D30*E30,0)</f>
        <v>5175000</v>
      </c>
      <c r="G30" s="928"/>
      <c r="H30" s="704"/>
      <c r="I30" s="760">
        <f t="shared" si="0"/>
        <v>5175000</v>
      </c>
      <c r="J30" s="226">
        <f t="shared" si="58"/>
        <v>0</v>
      </c>
      <c r="K30" s="325" t="s">
        <v>59</v>
      </c>
      <c r="L30" s="318" t="s">
        <v>210</v>
      </c>
      <c r="M30" s="326" t="s">
        <v>86</v>
      </c>
      <c r="N30" s="327">
        <v>450</v>
      </c>
      <c r="O30" s="458">
        <v>17800</v>
      </c>
      <c r="P30" s="465">
        <f t="shared" ref="P30:P39" si="69">ROUND(N30*O30,0)</f>
        <v>8010000</v>
      </c>
      <c r="Q30" s="928"/>
      <c r="R30" s="704"/>
      <c r="S30" s="760">
        <f t="shared" si="2"/>
        <v>8010000</v>
      </c>
      <c r="T30" s="226">
        <f t="shared" si="59"/>
        <v>0</v>
      </c>
      <c r="U30" s="516" t="s">
        <v>59</v>
      </c>
      <c r="V30" s="537" t="s">
        <v>433</v>
      </c>
      <c r="W30" s="1027" t="s">
        <v>86</v>
      </c>
      <c r="X30" s="1028">
        <v>450</v>
      </c>
      <c r="Y30" s="514">
        <v>18900</v>
      </c>
      <c r="Z30" s="515">
        <f t="shared" ref="Z30:Z39" si="70">ROUND(X30*Y30,0)</f>
        <v>8505000</v>
      </c>
      <c r="AA30" s="502"/>
      <c r="AB30" s="704"/>
      <c r="AC30" s="760">
        <f t="shared" si="4"/>
        <v>8505000</v>
      </c>
      <c r="AD30" s="226">
        <f t="shared" si="60"/>
        <v>0</v>
      </c>
      <c r="AE30" s="614" t="s">
        <v>59</v>
      </c>
      <c r="AF30" s="606" t="s">
        <v>486</v>
      </c>
      <c r="AG30" s="615" t="s">
        <v>86</v>
      </c>
      <c r="AH30" s="616">
        <v>450</v>
      </c>
      <c r="AI30" s="617">
        <v>16000</v>
      </c>
      <c r="AJ30" s="618">
        <f t="shared" ref="AJ30:AJ39" si="71">ROUND(AH30*AI30,0)</f>
        <v>7200000</v>
      </c>
      <c r="AK30" s="928"/>
      <c r="AL30" s="704"/>
      <c r="AM30" s="760">
        <f t="shared" si="6"/>
        <v>7200000</v>
      </c>
      <c r="AN30" s="226">
        <f t="shared" si="61"/>
        <v>0</v>
      </c>
      <c r="AO30" s="325" t="s">
        <v>59</v>
      </c>
      <c r="AP30" s="673" t="s">
        <v>210</v>
      </c>
      <c r="AQ30" s="326" t="s">
        <v>86</v>
      </c>
      <c r="AR30" s="327">
        <v>450</v>
      </c>
      <c r="AS30" s="328">
        <v>13200</v>
      </c>
      <c r="AT30" s="675">
        <f t="shared" ref="AT30:AT39" si="72">ROUND(AR30*AS30,0)</f>
        <v>5940000</v>
      </c>
      <c r="AU30" s="956"/>
      <c r="AV30" s="704"/>
      <c r="AW30" s="760">
        <f t="shared" si="8"/>
        <v>5940000</v>
      </c>
      <c r="AX30" s="226">
        <f t="shared" si="62"/>
        <v>0</v>
      </c>
      <c r="AY30" s="325" t="s">
        <v>59</v>
      </c>
      <c r="AZ30" s="318" t="s">
        <v>210</v>
      </c>
      <c r="BA30" s="326" t="s">
        <v>86</v>
      </c>
      <c r="BB30" s="327">
        <v>450</v>
      </c>
      <c r="BC30" s="723">
        <v>14200</v>
      </c>
      <c r="BD30" s="724">
        <f t="shared" ref="BD30:BD39" si="73">ROUND(BB30*BC30,0)</f>
        <v>6390000</v>
      </c>
      <c r="BE30" s="928"/>
      <c r="BF30" s="704"/>
      <c r="BG30" s="760">
        <f t="shared" si="10"/>
        <v>6390000</v>
      </c>
      <c r="BH30" s="226">
        <f t="shared" si="63"/>
        <v>0</v>
      </c>
      <c r="BI30" s="325" t="s">
        <v>59</v>
      </c>
      <c r="BJ30" s="673" t="s">
        <v>210</v>
      </c>
      <c r="BK30" s="326" t="s">
        <v>86</v>
      </c>
      <c r="BL30" s="327">
        <v>450</v>
      </c>
      <c r="BM30" s="328">
        <v>13980</v>
      </c>
      <c r="BN30" s="675">
        <f t="shared" ref="BN30:BN39" si="74">ROUND(BL30*BM30,0)</f>
        <v>6291000</v>
      </c>
      <c r="BO30" s="928"/>
      <c r="BP30" s="704"/>
      <c r="BQ30" s="760">
        <f t="shared" si="12"/>
        <v>6291000</v>
      </c>
      <c r="BR30" s="226">
        <f t="shared" si="64"/>
        <v>0</v>
      </c>
      <c r="BS30" s="325" t="s">
        <v>59</v>
      </c>
      <c r="BT30" s="673" t="s">
        <v>210</v>
      </c>
      <c r="BU30" s="326" t="s">
        <v>86</v>
      </c>
      <c r="BV30" s="327">
        <v>450</v>
      </c>
      <c r="BW30" s="328">
        <v>13500</v>
      </c>
      <c r="BX30" s="675">
        <f t="shared" ref="BX30:BX39" si="75">ROUND(BV30*BW30,0)</f>
        <v>6075000</v>
      </c>
      <c r="BY30" s="928"/>
      <c r="BZ30" s="704"/>
      <c r="CA30" s="760">
        <f t="shared" si="14"/>
        <v>6075000</v>
      </c>
      <c r="CB30" s="226">
        <f t="shared" si="65"/>
        <v>0</v>
      </c>
      <c r="CC30" s="325" t="s">
        <v>59</v>
      </c>
      <c r="CD30" s="673" t="s">
        <v>210</v>
      </c>
      <c r="CE30" s="326" t="s">
        <v>86</v>
      </c>
      <c r="CF30" s="1025">
        <v>450</v>
      </c>
      <c r="CG30" s="328">
        <v>14020</v>
      </c>
      <c r="CH30" s="675">
        <f t="shared" ref="CH30:CH39" si="76">ROUND(CF30*CG30,0)</f>
        <v>6309000</v>
      </c>
      <c r="CI30" s="928"/>
      <c r="CJ30" s="704"/>
      <c r="CK30" s="760">
        <f t="shared" si="16"/>
        <v>6309000</v>
      </c>
      <c r="CL30" s="226">
        <f t="shared" si="66"/>
        <v>0</v>
      </c>
      <c r="CM30" s="325" t="s">
        <v>59</v>
      </c>
      <c r="CN30" s="356" t="s">
        <v>210</v>
      </c>
      <c r="CO30" s="326" t="s">
        <v>86</v>
      </c>
      <c r="CP30" s="327">
        <v>450</v>
      </c>
      <c r="CQ30" s="328">
        <v>13500</v>
      </c>
      <c r="CR30" s="465">
        <f t="shared" ref="CR30:CR39" si="77">ROUND(CP30*CQ30,0)</f>
        <v>6075000</v>
      </c>
      <c r="CS30" s="928"/>
      <c r="CT30" s="704"/>
      <c r="CU30" s="760">
        <f t="shared" si="18"/>
        <v>6075000</v>
      </c>
      <c r="CV30" s="226">
        <f t="shared" si="67"/>
        <v>0</v>
      </c>
    </row>
    <row r="31" spans="1:100" s="208" customFormat="1" ht="121.5" outlineLevel="1" thickTop="1" thickBot="1">
      <c r="A31" s="325" t="s">
        <v>211</v>
      </c>
      <c r="B31" s="429" t="s">
        <v>212</v>
      </c>
      <c r="C31" s="326" t="s">
        <v>86</v>
      </c>
      <c r="D31" s="327">
        <v>200</v>
      </c>
      <c r="E31" s="427">
        <v>12800</v>
      </c>
      <c r="F31" s="428">
        <f t="shared" si="68"/>
        <v>2560000</v>
      </c>
      <c r="G31" s="928"/>
      <c r="H31" s="704"/>
      <c r="I31" s="760">
        <f t="shared" si="0"/>
        <v>2560000</v>
      </c>
      <c r="J31" s="226">
        <f t="shared" si="58"/>
        <v>0</v>
      </c>
      <c r="K31" s="325" t="s">
        <v>211</v>
      </c>
      <c r="L31" s="329" t="s">
        <v>212</v>
      </c>
      <c r="M31" s="326" t="s">
        <v>86</v>
      </c>
      <c r="N31" s="327">
        <v>200</v>
      </c>
      <c r="O31" s="458">
        <v>14800</v>
      </c>
      <c r="P31" s="465">
        <f t="shared" si="69"/>
        <v>2960000</v>
      </c>
      <c r="Q31" s="928"/>
      <c r="R31" s="704"/>
      <c r="S31" s="760">
        <f t="shared" si="2"/>
        <v>2960000</v>
      </c>
      <c r="T31" s="226">
        <f>+IF(O31=0,1,0)</f>
        <v>0</v>
      </c>
      <c r="U31" s="513" t="s">
        <v>211</v>
      </c>
      <c r="V31" s="1029" t="s">
        <v>434</v>
      </c>
      <c r="W31" s="1027" t="s">
        <v>86</v>
      </c>
      <c r="X31" s="1028">
        <v>200</v>
      </c>
      <c r="Y31" s="514">
        <v>12500</v>
      </c>
      <c r="Z31" s="515">
        <f t="shared" si="70"/>
        <v>2500000</v>
      </c>
      <c r="AA31" s="502"/>
      <c r="AB31" s="704"/>
      <c r="AC31" s="760">
        <f t="shared" si="4"/>
        <v>2500000</v>
      </c>
      <c r="AD31" s="226">
        <f>+IF(Y31=0,1,0)</f>
        <v>0</v>
      </c>
      <c r="AE31" s="614" t="s">
        <v>211</v>
      </c>
      <c r="AF31" s="619" t="s">
        <v>487</v>
      </c>
      <c r="AG31" s="615" t="s">
        <v>86</v>
      </c>
      <c r="AH31" s="616">
        <v>200</v>
      </c>
      <c r="AI31" s="617">
        <v>20000</v>
      </c>
      <c r="AJ31" s="618">
        <f t="shared" si="71"/>
        <v>4000000</v>
      </c>
      <c r="AK31" s="928"/>
      <c r="AL31" s="704"/>
      <c r="AM31" s="760">
        <f t="shared" si="6"/>
        <v>4000000</v>
      </c>
      <c r="AN31" s="226">
        <f>+IF(AI31=0,1,0)</f>
        <v>0</v>
      </c>
      <c r="AO31" s="325" t="s">
        <v>211</v>
      </c>
      <c r="AP31" s="676" t="s">
        <v>212</v>
      </c>
      <c r="AQ31" s="326" t="s">
        <v>86</v>
      </c>
      <c r="AR31" s="327">
        <v>200</v>
      </c>
      <c r="AS31" s="328">
        <v>12800</v>
      </c>
      <c r="AT31" s="675">
        <f t="shared" si="72"/>
        <v>2560000</v>
      </c>
      <c r="AU31" s="956"/>
      <c r="AV31" s="704"/>
      <c r="AW31" s="760">
        <f t="shared" si="8"/>
        <v>2560000</v>
      </c>
      <c r="AX31" s="226">
        <f>+IF(AS31=0,1,0)</f>
        <v>0</v>
      </c>
      <c r="AY31" s="325" t="s">
        <v>211</v>
      </c>
      <c r="AZ31" s="329" t="s">
        <v>212</v>
      </c>
      <c r="BA31" s="326" t="s">
        <v>86</v>
      </c>
      <c r="BB31" s="327">
        <v>200</v>
      </c>
      <c r="BC31" s="723">
        <v>10295</v>
      </c>
      <c r="BD31" s="724">
        <f t="shared" si="73"/>
        <v>2059000</v>
      </c>
      <c r="BE31" s="928"/>
      <c r="BF31" s="704"/>
      <c r="BG31" s="760">
        <f t="shared" si="10"/>
        <v>2059000</v>
      </c>
      <c r="BH31" s="226">
        <f>+IF(BC31=0,1,0)</f>
        <v>0</v>
      </c>
      <c r="BI31" s="325" t="s">
        <v>211</v>
      </c>
      <c r="BJ31" s="676" t="s">
        <v>212</v>
      </c>
      <c r="BK31" s="326" t="s">
        <v>86</v>
      </c>
      <c r="BL31" s="327">
        <v>200</v>
      </c>
      <c r="BM31" s="328">
        <v>12300</v>
      </c>
      <c r="BN31" s="675">
        <f t="shared" si="74"/>
        <v>2460000</v>
      </c>
      <c r="BO31" s="928"/>
      <c r="BP31" s="704"/>
      <c r="BQ31" s="760">
        <f t="shared" si="12"/>
        <v>2460000</v>
      </c>
      <c r="BR31" s="226">
        <f>+IF(BM31=0,1,0)</f>
        <v>0</v>
      </c>
      <c r="BS31" s="325" t="s">
        <v>211</v>
      </c>
      <c r="BT31" s="676" t="s">
        <v>212</v>
      </c>
      <c r="BU31" s="326" t="s">
        <v>86</v>
      </c>
      <c r="BV31" s="327">
        <v>200</v>
      </c>
      <c r="BW31" s="328">
        <v>13100</v>
      </c>
      <c r="BX31" s="675">
        <f t="shared" si="75"/>
        <v>2620000</v>
      </c>
      <c r="BY31" s="928"/>
      <c r="BZ31" s="704"/>
      <c r="CA31" s="760">
        <f t="shared" si="14"/>
        <v>2620000</v>
      </c>
      <c r="CB31" s="226">
        <f>+IF(BW31=0,1,0)</f>
        <v>0</v>
      </c>
      <c r="CC31" s="325" t="s">
        <v>211</v>
      </c>
      <c r="CD31" s="676" t="s">
        <v>212</v>
      </c>
      <c r="CE31" s="326" t="s">
        <v>86</v>
      </c>
      <c r="CF31" s="327">
        <v>200</v>
      </c>
      <c r="CG31" s="328">
        <v>12900</v>
      </c>
      <c r="CH31" s="675">
        <f t="shared" si="76"/>
        <v>2580000</v>
      </c>
      <c r="CI31" s="928"/>
      <c r="CJ31" s="704"/>
      <c r="CK31" s="760">
        <f t="shared" si="16"/>
        <v>2580000</v>
      </c>
      <c r="CL31" s="226">
        <f>+IF(CG31=0,1,0)</f>
        <v>0</v>
      </c>
      <c r="CM31" s="325" t="s">
        <v>211</v>
      </c>
      <c r="CN31" s="746" t="s">
        <v>212</v>
      </c>
      <c r="CO31" s="326" t="s">
        <v>86</v>
      </c>
      <c r="CP31" s="327">
        <v>200</v>
      </c>
      <c r="CQ31" s="328">
        <v>13950</v>
      </c>
      <c r="CR31" s="465">
        <f t="shared" si="77"/>
        <v>2790000</v>
      </c>
      <c r="CS31" s="928"/>
      <c r="CT31" s="704"/>
      <c r="CU31" s="760">
        <f t="shared" si="18"/>
        <v>2790000</v>
      </c>
      <c r="CV31" s="226">
        <f>+IF(CQ31=0,1,0)</f>
        <v>0</v>
      </c>
    </row>
    <row r="32" spans="1:100" s="208" customFormat="1" ht="136.5" outlineLevel="1" thickTop="1" thickBot="1">
      <c r="A32" s="325" t="s">
        <v>213</v>
      </c>
      <c r="B32" s="430" t="s">
        <v>214</v>
      </c>
      <c r="C32" s="326" t="s">
        <v>86</v>
      </c>
      <c r="D32" s="327">
        <v>200</v>
      </c>
      <c r="E32" s="427">
        <v>23800</v>
      </c>
      <c r="F32" s="428">
        <f t="shared" si="68"/>
        <v>4760000</v>
      </c>
      <c r="G32" s="928"/>
      <c r="H32" s="704"/>
      <c r="I32" s="760">
        <f t="shared" si="0"/>
        <v>4760000</v>
      </c>
      <c r="J32" s="226">
        <f t="shared" si="58"/>
        <v>0</v>
      </c>
      <c r="K32" s="325" t="s">
        <v>213</v>
      </c>
      <c r="L32" s="330" t="s">
        <v>214</v>
      </c>
      <c r="M32" s="326" t="s">
        <v>86</v>
      </c>
      <c r="N32" s="327">
        <v>200</v>
      </c>
      <c r="O32" s="458">
        <v>34000</v>
      </c>
      <c r="P32" s="465">
        <f t="shared" si="69"/>
        <v>6800000</v>
      </c>
      <c r="Q32" s="928"/>
      <c r="R32" s="704"/>
      <c r="S32" s="760">
        <f t="shared" si="2"/>
        <v>6800000</v>
      </c>
      <c r="T32" s="226">
        <f>+IF(O32=0,1,0)</f>
        <v>0</v>
      </c>
      <c r="U32" s="513" t="s">
        <v>213</v>
      </c>
      <c r="V32" s="1030" t="s">
        <v>435</v>
      </c>
      <c r="W32" s="1027" t="s">
        <v>86</v>
      </c>
      <c r="X32" s="1028">
        <v>200</v>
      </c>
      <c r="Y32" s="514">
        <v>25600</v>
      </c>
      <c r="Z32" s="515">
        <f t="shared" si="70"/>
        <v>5120000</v>
      </c>
      <c r="AA32" s="502"/>
      <c r="AB32" s="704"/>
      <c r="AC32" s="760">
        <f t="shared" si="4"/>
        <v>5120000</v>
      </c>
      <c r="AD32" s="226">
        <f>+IF(Y32=0,1,0)</f>
        <v>0</v>
      </c>
      <c r="AE32" s="614" t="s">
        <v>213</v>
      </c>
      <c r="AF32" s="620" t="s">
        <v>488</v>
      </c>
      <c r="AG32" s="615" t="s">
        <v>86</v>
      </c>
      <c r="AH32" s="616">
        <v>200</v>
      </c>
      <c r="AI32" s="617">
        <v>28000</v>
      </c>
      <c r="AJ32" s="618">
        <f t="shared" si="71"/>
        <v>5600000</v>
      </c>
      <c r="AK32" s="928"/>
      <c r="AL32" s="704"/>
      <c r="AM32" s="760">
        <f t="shared" si="6"/>
        <v>5600000</v>
      </c>
      <c r="AN32" s="226">
        <f>+IF(AI32=0,1,0)</f>
        <v>0</v>
      </c>
      <c r="AO32" s="325" t="s">
        <v>213</v>
      </c>
      <c r="AP32" s="330" t="s">
        <v>214</v>
      </c>
      <c r="AQ32" s="326" t="s">
        <v>86</v>
      </c>
      <c r="AR32" s="327">
        <v>200</v>
      </c>
      <c r="AS32" s="328">
        <v>14200</v>
      </c>
      <c r="AT32" s="675">
        <f t="shared" si="72"/>
        <v>2840000</v>
      </c>
      <c r="AU32" s="956"/>
      <c r="AV32" s="704"/>
      <c r="AW32" s="760">
        <f t="shared" si="8"/>
        <v>2840000</v>
      </c>
      <c r="AX32" s="226">
        <f>+IF(AS32=0,1,0)</f>
        <v>0</v>
      </c>
      <c r="AY32" s="325" t="s">
        <v>213</v>
      </c>
      <c r="AZ32" s="330" t="s">
        <v>214</v>
      </c>
      <c r="BA32" s="326" t="s">
        <v>86</v>
      </c>
      <c r="BB32" s="327">
        <v>200</v>
      </c>
      <c r="BC32" s="723">
        <v>85200</v>
      </c>
      <c r="BD32" s="724">
        <f t="shared" si="73"/>
        <v>17040000</v>
      </c>
      <c r="BE32" s="928"/>
      <c r="BF32" s="704"/>
      <c r="BG32" s="760">
        <f t="shared" si="10"/>
        <v>17040000</v>
      </c>
      <c r="BH32" s="226">
        <f>+IF(BC32=0,1,0)</f>
        <v>0</v>
      </c>
      <c r="BI32" s="325" t="s">
        <v>213</v>
      </c>
      <c r="BJ32" s="330" t="s">
        <v>214</v>
      </c>
      <c r="BK32" s="326" t="s">
        <v>86</v>
      </c>
      <c r="BL32" s="327">
        <v>200</v>
      </c>
      <c r="BM32" s="328">
        <v>13200</v>
      </c>
      <c r="BN32" s="675">
        <f t="shared" si="74"/>
        <v>2640000</v>
      </c>
      <c r="BO32" s="928"/>
      <c r="BP32" s="704"/>
      <c r="BQ32" s="760">
        <f t="shared" si="12"/>
        <v>2640000</v>
      </c>
      <c r="BR32" s="226">
        <f>+IF(BM32=0,1,0)</f>
        <v>0</v>
      </c>
      <c r="BS32" s="325" t="s">
        <v>213</v>
      </c>
      <c r="BT32" s="330" t="s">
        <v>214</v>
      </c>
      <c r="BU32" s="326" t="s">
        <v>86</v>
      </c>
      <c r="BV32" s="327">
        <v>200</v>
      </c>
      <c r="BW32" s="328">
        <v>14100</v>
      </c>
      <c r="BX32" s="675">
        <f t="shared" si="75"/>
        <v>2820000</v>
      </c>
      <c r="BY32" s="928"/>
      <c r="BZ32" s="704"/>
      <c r="CA32" s="760">
        <f t="shared" si="14"/>
        <v>2820000</v>
      </c>
      <c r="CB32" s="226">
        <f>+IF(BW32=0,1,0)</f>
        <v>0</v>
      </c>
      <c r="CC32" s="325" t="s">
        <v>213</v>
      </c>
      <c r="CD32" s="330" t="s">
        <v>214</v>
      </c>
      <c r="CE32" s="326" t="s">
        <v>86</v>
      </c>
      <c r="CF32" s="327">
        <v>200</v>
      </c>
      <c r="CG32" s="328">
        <v>13900</v>
      </c>
      <c r="CH32" s="675">
        <f t="shared" si="76"/>
        <v>2780000</v>
      </c>
      <c r="CI32" s="928"/>
      <c r="CJ32" s="704"/>
      <c r="CK32" s="760">
        <f t="shared" si="16"/>
        <v>2780000</v>
      </c>
      <c r="CL32" s="226">
        <f>+IF(CG32=0,1,0)</f>
        <v>0</v>
      </c>
      <c r="CM32" s="325" t="s">
        <v>213</v>
      </c>
      <c r="CN32" s="747" t="s">
        <v>214</v>
      </c>
      <c r="CO32" s="326" t="s">
        <v>86</v>
      </c>
      <c r="CP32" s="327">
        <v>200</v>
      </c>
      <c r="CQ32" s="328">
        <v>31050</v>
      </c>
      <c r="CR32" s="465">
        <f t="shared" si="77"/>
        <v>6210000</v>
      </c>
      <c r="CS32" s="928"/>
      <c r="CT32" s="704"/>
      <c r="CU32" s="760">
        <f t="shared" si="18"/>
        <v>6210000</v>
      </c>
      <c r="CV32" s="226">
        <f>+IF(CQ32=0,1,0)</f>
        <v>0</v>
      </c>
    </row>
    <row r="33" spans="1:100" s="208" customFormat="1" ht="76.5" outlineLevel="1" thickTop="1" thickBot="1">
      <c r="A33" s="325" t="s">
        <v>215</v>
      </c>
      <c r="B33" s="431" t="s">
        <v>216</v>
      </c>
      <c r="C33" s="326" t="s">
        <v>86</v>
      </c>
      <c r="D33" s="327">
        <v>140.19</v>
      </c>
      <c r="E33" s="427">
        <v>15200</v>
      </c>
      <c r="F33" s="428">
        <f t="shared" si="68"/>
        <v>2130888</v>
      </c>
      <c r="G33" s="928"/>
      <c r="H33" s="704"/>
      <c r="I33" s="760">
        <f t="shared" si="0"/>
        <v>2130888</v>
      </c>
      <c r="J33" s="226">
        <f t="shared" si="58"/>
        <v>0</v>
      </c>
      <c r="K33" s="325" t="s">
        <v>215</v>
      </c>
      <c r="L33" s="331" t="s">
        <v>216</v>
      </c>
      <c r="M33" s="326" t="s">
        <v>86</v>
      </c>
      <c r="N33" s="327">
        <v>140.19</v>
      </c>
      <c r="O33" s="458">
        <v>29000</v>
      </c>
      <c r="P33" s="465">
        <f t="shared" si="69"/>
        <v>4065510</v>
      </c>
      <c r="Q33" s="928"/>
      <c r="R33" s="704"/>
      <c r="S33" s="760">
        <f t="shared" si="2"/>
        <v>4065510</v>
      </c>
      <c r="T33" s="226">
        <f t="shared" ref="T33:T37" si="78">+IF(O33=0,1,0)</f>
        <v>0</v>
      </c>
      <c r="U33" s="513" t="s">
        <v>215</v>
      </c>
      <c r="V33" s="1031" t="s">
        <v>436</v>
      </c>
      <c r="W33" s="1027" t="s">
        <v>86</v>
      </c>
      <c r="X33" s="1028">
        <v>140.19</v>
      </c>
      <c r="Y33" s="514">
        <v>35000</v>
      </c>
      <c r="Z33" s="515">
        <f t="shared" si="70"/>
        <v>4906650</v>
      </c>
      <c r="AA33" s="502"/>
      <c r="AB33" s="704"/>
      <c r="AC33" s="760">
        <f t="shared" si="4"/>
        <v>4906650</v>
      </c>
      <c r="AD33" s="226">
        <f t="shared" ref="AD33:AD37" si="79">+IF(Y33=0,1,0)</f>
        <v>0</v>
      </c>
      <c r="AE33" s="614" t="s">
        <v>215</v>
      </c>
      <c r="AF33" s="621" t="s">
        <v>489</v>
      </c>
      <c r="AG33" s="615" t="s">
        <v>86</v>
      </c>
      <c r="AH33" s="616">
        <v>140.19</v>
      </c>
      <c r="AI33" s="617">
        <v>28000</v>
      </c>
      <c r="AJ33" s="618">
        <f t="shared" si="71"/>
        <v>3925320</v>
      </c>
      <c r="AK33" s="928"/>
      <c r="AL33" s="704"/>
      <c r="AM33" s="760">
        <f t="shared" si="6"/>
        <v>3925320</v>
      </c>
      <c r="AN33" s="226">
        <f t="shared" ref="AN33:AN37" si="80">+IF(AI33=0,1,0)</f>
        <v>0</v>
      </c>
      <c r="AO33" s="325" t="s">
        <v>215</v>
      </c>
      <c r="AP33" s="677" t="s">
        <v>216</v>
      </c>
      <c r="AQ33" s="326" t="s">
        <v>86</v>
      </c>
      <c r="AR33" s="327">
        <v>140.19</v>
      </c>
      <c r="AS33" s="328">
        <v>23200</v>
      </c>
      <c r="AT33" s="675">
        <f t="shared" si="72"/>
        <v>3252408</v>
      </c>
      <c r="AU33" s="956"/>
      <c r="AV33" s="704"/>
      <c r="AW33" s="760">
        <f t="shared" si="8"/>
        <v>3252408</v>
      </c>
      <c r="AX33" s="226">
        <f t="shared" ref="AX33:AX37" si="81">+IF(AS33=0,1,0)</f>
        <v>0</v>
      </c>
      <c r="AY33" s="325" t="s">
        <v>215</v>
      </c>
      <c r="AZ33" s="331" t="s">
        <v>216</v>
      </c>
      <c r="BA33" s="326" t="s">
        <v>86</v>
      </c>
      <c r="BB33" s="327">
        <v>140.19</v>
      </c>
      <c r="BC33" s="723">
        <v>28400</v>
      </c>
      <c r="BD33" s="724">
        <f t="shared" si="73"/>
        <v>3981396</v>
      </c>
      <c r="BE33" s="928"/>
      <c r="BF33" s="704"/>
      <c r="BG33" s="760">
        <f t="shared" si="10"/>
        <v>3981396</v>
      </c>
      <c r="BH33" s="226">
        <f t="shared" ref="BH33:BH37" si="82">+IF(BC33=0,1,0)</f>
        <v>0</v>
      </c>
      <c r="BI33" s="325" t="s">
        <v>215</v>
      </c>
      <c r="BJ33" s="677" t="s">
        <v>216</v>
      </c>
      <c r="BK33" s="326" t="s">
        <v>86</v>
      </c>
      <c r="BL33" s="327">
        <v>140.19</v>
      </c>
      <c r="BM33" s="328">
        <v>21500</v>
      </c>
      <c r="BN33" s="675">
        <f t="shared" si="74"/>
        <v>3014085</v>
      </c>
      <c r="BO33" s="928"/>
      <c r="BP33" s="704"/>
      <c r="BQ33" s="760">
        <f t="shared" si="12"/>
        <v>3014085</v>
      </c>
      <c r="BR33" s="226">
        <f t="shared" ref="BR33:BR37" si="83">+IF(BM33=0,1,0)</f>
        <v>0</v>
      </c>
      <c r="BS33" s="325" t="s">
        <v>215</v>
      </c>
      <c r="BT33" s="677" t="s">
        <v>216</v>
      </c>
      <c r="BU33" s="326" t="s">
        <v>86</v>
      </c>
      <c r="BV33" s="327">
        <v>140.19</v>
      </c>
      <c r="BW33" s="328">
        <v>23300</v>
      </c>
      <c r="BX33" s="675">
        <f t="shared" si="75"/>
        <v>3266427</v>
      </c>
      <c r="BY33" s="928"/>
      <c r="BZ33" s="704"/>
      <c r="CA33" s="760">
        <f t="shared" si="14"/>
        <v>3266427</v>
      </c>
      <c r="CB33" s="226">
        <f t="shared" ref="CB33:CB37" si="84">+IF(BW33=0,1,0)</f>
        <v>0</v>
      </c>
      <c r="CC33" s="325" t="s">
        <v>215</v>
      </c>
      <c r="CD33" s="677" t="s">
        <v>216</v>
      </c>
      <c r="CE33" s="326" t="s">
        <v>86</v>
      </c>
      <c r="CF33" s="327">
        <v>140.19</v>
      </c>
      <c r="CG33" s="328">
        <v>21900</v>
      </c>
      <c r="CH33" s="675">
        <f t="shared" si="76"/>
        <v>3070161</v>
      </c>
      <c r="CI33" s="928"/>
      <c r="CJ33" s="704"/>
      <c r="CK33" s="760">
        <f t="shared" si="16"/>
        <v>3070161</v>
      </c>
      <c r="CL33" s="226">
        <f t="shared" ref="CL33:CL37" si="85">+IF(CG33=0,1,0)</f>
        <v>0</v>
      </c>
      <c r="CM33" s="325" t="s">
        <v>215</v>
      </c>
      <c r="CN33" s="748" t="s">
        <v>216</v>
      </c>
      <c r="CO33" s="326" t="s">
        <v>86</v>
      </c>
      <c r="CP33" s="327">
        <v>140.19</v>
      </c>
      <c r="CQ33" s="328">
        <v>22100</v>
      </c>
      <c r="CR33" s="465">
        <f t="shared" si="77"/>
        <v>3098199</v>
      </c>
      <c r="CS33" s="928"/>
      <c r="CT33" s="704"/>
      <c r="CU33" s="760">
        <f t="shared" si="18"/>
        <v>3098199</v>
      </c>
      <c r="CV33" s="226">
        <f t="shared" ref="CV33:CV37" si="86">+IF(CQ33=0,1,0)</f>
        <v>0</v>
      </c>
    </row>
    <row r="34" spans="1:100" s="208" customFormat="1" ht="91.5" outlineLevel="1" thickTop="1" thickBot="1">
      <c r="A34" s="325" t="s">
        <v>217</v>
      </c>
      <c r="B34" s="432" t="s">
        <v>218</v>
      </c>
      <c r="C34" s="326" t="s">
        <v>86</v>
      </c>
      <c r="D34" s="327">
        <v>230</v>
      </c>
      <c r="E34" s="427">
        <v>13900</v>
      </c>
      <c r="F34" s="428">
        <f t="shared" si="68"/>
        <v>3197000</v>
      </c>
      <c r="G34" s="928"/>
      <c r="H34" s="704"/>
      <c r="I34" s="760">
        <f t="shared" si="0"/>
        <v>3197000</v>
      </c>
      <c r="J34" s="226">
        <f t="shared" si="58"/>
        <v>0</v>
      </c>
      <c r="K34" s="325" t="s">
        <v>217</v>
      </c>
      <c r="L34" s="332" t="s">
        <v>218</v>
      </c>
      <c r="M34" s="326" t="s">
        <v>86</v>
      </c>
      <c r="N34" s="327">
        <v>230</v>
      </c>
      <c r="O34" s="458">
        <v>15000</v>
      </c>
      <c r="P34" s="465">
        <f t="shared" si="69"/>
        <v>3450000</v>
      </c>
      <c r="Q34" s="928"/>
      <c r="R34" s="704"/>
      <c r="S34" s="760">
        <f t="shared" si="2"/>
        <v>3450000</v>
      </c>
      <c r="T34" s="226">
        <f t="shared" si="78"/>
        <v>0</v>
      </c>
      <c r="U34" s="513" t="s">
        <v>217</v>
      </c>
      <c r="V34" s="519" t="s">
        <v>437</v>
      </c>
      <c r="W34" s="1027" t="s">
        <v>86</v>
      </c>
      <c r="X34" s="1028">
        <v>230</v>
      </c>
      <c r="Y34" s="514">
        <v>13500</v>
      </c>
      <c r="Z34" s="515">
        <f t="shared" si="70"/>
        <v>3105000</v>
      </c>
      <c r="AA34" s="502"/>
      <c r="AB34" s="704"/>
      <c r="AC34" s="760">
        <f t="shared" si="4"/>
        <v>3105000</v>
      </c>
      <c r="AD34" s="226">
        <f t="shared" si="79"/>
        <v>0</v>
      </c>
      <c r="AE34" s="614" t="s">
        <v>217</v>
      </c>
      <c r="AF34" s="622" t="s">
        <v>490</v>
      </c>
      <c r="AG34" s="615" t="s">
        <v>86</v>
      </c>
      <c r="AH34" s="616">
        <v>230</v>
      </c>
      <c r="AI34" s="617">
        <v>20000</v>
      </c>
      <c r="AJ34" s="618">
        <f t="shared" si="71"/>
        <v>4600000</v>
      </c>
      <c r="AK34" s="928"/>
      <c r="AL34" s="704"/>
      <c r="AM34" s="760">
        <f t="shared" si="6"/>
        <v>4600000</v>
      </c>
      <c r="AN34" s="226">
        <f t="shared" si="80"/>
        <v>0</v>
      </c>
      <c r="AO34" s="325" t="s">
        <v>217</v>
      </c>
      <c r="AP34" s="332" t="s">
        <v>218</v>
      </c>
      <c r="AQ34" s="326" t="s">
        <v>86</v>
      </c>
      <c r="AR34" s="327">
        <v>230</v>
      </c>
      <c r="AS34" s="328">
        <v>15400</v>
      </c>
      <c r="AT34" s="675">
        <f t="shared" si="72"/>
        <v>3542000</v>
      </c>
      <c r="AU34" s="956"/>
      <c r="AV34" s="704"/>
      <c r="AW34" s="760">
        <f t="shared" si="8"/>
        <v>3542000</v>
      </c>
      <c r="AX34" s="226">
        <f t="shared" si="81"/>
        <v>0</v>
      </c>
      <c r="AY34" s="325" t="s">
        <v>217</v>
      </c>
      <c r="AZ34" s="332" t="s">
        <v>218</v>
      </c>
      <c r="BA34" s="326" t="s">
        <v>86</v>
      </c>
      <c r="BB34" s="327">
        <v>230</v>
      </c>
      <c r="BC34" s="723">
        <v>13490</v>
      </c>
      <c r="BD34" s="724">
        <f t="shared" si="73"/>
        <v>3102700</v>
      </c>
      <c r="BE34" s="928"/>
      <c r="BF34" s="704"/>
      <c r="BG34" s="760">
        <f t="shared" si="10"/>
        <v>3102700</v>
      </c>
      <c r="BH34" s="226">
        <f t="shared" si="82"/>
        <v>0</v>
      </c>
      <c r="BI34" s="325" t="s">
        <v>217</v>
      </c>
      <c r="BJ34" s="332" t="s">
        <v>218</v>
      </c>
      <c r="BK34" s="326" t="s">
        <v>86</v>
      </c>
      <c r="BL34" s="327">
        <v>230</v>
      </c>
      <c r="BM34" s="328">
        <v>14900</v>
      </c>
      <c r="BN34" s="675">
        <f t="shared" si="74"/>
        <v>3427000</v>
      </c>
      <c r="BO34" s="928"/>
      <c r="BP34" s="704"/>
      <c r="BQ34" s="760">
        <f t="shared" si="12"/>
        <v>3427000</v>
      </c>
      <c r="BR34" s="226">
        <f t="shared" si="83"/>
        <v>0</v>
      </c>
      <c r="BS34" s="325" t="s">
        <v>217</v>
      </c>
      <c r="BT34" s="332" t="s">
        <v>218</v>
      </c>
      <c r="BU34" s="326" t="s">
        <v>86</v>
      </c>
      <c r="BV34" s="327">
        <v>230</v>
      </c>
      <c r="BW34" s="328">
        <v>15600</v>
      </c>
      <c r="BX34" s="675">
        <f t="shared" si="75"/>
        <v>3588000</v>
      </c>
      <c r="BY34" s="928"/>
      <c r="BZ34" s="704"/>
      <c r="CA34" s="760">
        <f t="shared" si="14"/>
        <v>3588000</v>
      </c>
      <c r="CB34" s="226">
        <f t="shared" si="84"/>
        <v>0</v>
      </c>
      <c r="CC34" s="325" t="s">
        <v>217</v>
      </c>
      <c r="CD34" s="332" t="s">
        <v>218</v>
      </c>
      <c r="CE34" s="326" t="s">
        <v>86</v>
      </c>
      <c r="CF34" s="327">
        <v>230</v>
      </c>
      <c r="CG34" s="328">
        <v>15800</v>
      </c>
      <c r="CH34" s="675">
        <f t="shared" si="76"/>
        <v>3634000</v>
      </c>
      <c r="CI34" s="928"/>
      <c r="CJ34" s="704"/>
      <c r="CK34" s="760">
        <f t="shared" si="16"/>
        <v>3634000</v>
      </c>
      <c r="CL34" s="226">
        <f t="shared" si="85"/>
        <v>0</v>
      </c>
      <c r="CM34" s="325" t="s">
        <v>217</v>
      </c>
      <c r="CN34" s="332" t="s">
        <v>218</v>
      </c>
      <c r="CO34" s="326" t="s">
        <v>86</v>
      </c>
      <c r="CP34" s="327">
        <v>230</v>
      </c>
      <c r="CQ34" s="328">
        <v>23750</v>
      </c>
      <c r="CR34" s="465">
        <f t="shared" si="77"/>
        <v>5462500</v>
      </c>
      <c r="CS34" s="928"/>
      <c r="CT34" s="704"/>
      <c r="CU34" s="760">
        <f t="shared" si="18"/>
        <v>5462500</v>
      </c>
      <c r="CV34" s="226">
        <f t="shared" si="86"/>
        <v>0</v>
      </c>
    </row>
    <row r="35" spans="1:100" s="208" customFormat="1" ht="151.5" outlineLevel="2" thickTop="1" thickBot="1">
      <c r="A35" s="325" t="s">
        <v>219</v>
      </c>
      <c r="B35" s="432" t="s">
        <v>220</v>
      </c>
      <c r="C35" s="326" t="s">
        <v>86</v>
      </c>
      <c r="D35" s="327">
        <v>520</v>
      </c>
      <c r="E35" s="427">
        <v>17100</v>
      </c>
      <c r="F35" s="428">
        <f t="shared" si="68"/>
        <v>8892000</v>
      </c>
      <c r="G35" s="928"/>
      <c r="H35" s="704"/>
      <c r="I35" s="760">
        <f t="shared" si="0"/>
        <v>8892000</v>
      </c>
      <c r="J35" s="226">
        <f t="shared" si="58"/>
        <v>0</v>
      </c>
      <c r="K35" s="325" t="s">
        <v>219</v>
      </c>
      <c r="L35" s="332" t="s">
        <v>220</v>
      </c>
      <c r="M35" s="326" t="s">
        <v>86</v>
      </c>
      <c r="N35" s="327">
        <v>520</v>
      </c>
      <c r="O35" s="458">
        <v>17000</v>
      </c>
      <c r="P35" s="465">
        <f t="shared" si="69"/>
        <v>8840000</v>
      </c>
      <c r="Q35" s="928"/>
      <c r="R35" s="704"/>
      <c r="S35" s="760">
        <f t="shared" si="2"/>
        <v>8840000</v>
      </c>
      <c r="T35" s="226">
        <f t="shared" si="78"/>
        <v>0</v>
      </c>
      <c r="U35" s="513" t="s">
        <v>219</v>
      </c>
      <c r="V35" s="519" t="s">
        <v>438</v>
      </c>
      <c r="W35" s="1027" t="s">
        <v>86</v>
      </c>
      <c r="X35" s="1028">
        <v>520</v>
      </c>
      <c r="Y35" s="514">
        <v>11000</v>
      </c>
      <c r="Z35" s="515">
        <f t="shared" si="70"/>
        <v>5720000</v>
      </c>
      <c r="AA35" s="502"/>
      <c r="AB35" s="704"/>
      <c r="AC35" s="760">
        <f t="shared" si="4"/>
        <v>5720000</v>
      </c>
      <c r="AD35" s="226">
        <f t="shared" si="79"/>
        <v>0</v>
      </c>
      <c r="AE35" s="614" t="s">
        <v>219</v>
      </c>
      <c r="AF35" s="622" t="s">
        <v>491</v>
      </c>
      <c r="AG35" s="615" t="s">
        <v>86</v>
      </c>
      <c r="AH35" s="616">
        <v>520</v>
      </c>
      <c r="AI35" s="617">
        <v>20000</v>
      </c>
      <c r="AJ35" s="618">
        <f t="shared" si="71"/>
        <v>10400000</v>
      </c>
      <c r="AK35" s="928"/>
      <c r="AL35" s="704"/>
      <c r="AM35" s="760">
        <f t="shared" si="6"/>
        <v>10400000</v>
      </c>
      <c r="AN35" s="226">
        <f t="shared" si="80"/>
        <v>0</v>
      </c>
      <c r="AO35" s="325" t="s">
        <v>219</v>
      </c>
      <c r="AP35" s="332" t="s">
        <v>220</v>
      </c>
      <c r="AQ35" s="326" t="s">
        <v>86</v>
      </c>
      <c r="AR35" s="327">
        <v>520</v>
      </c>
      <c r="AS35" s="328">
        <v>13200</v>
      </c>
      <c r="AT35" s="675">
        <f t="shared" si="72"/>
        <v>6864000</v>
      </c>
      <c r="AU35" s="956"/>
      <c r="AV35" s="704"/>
      <c r="AW35" s="760">
        <f t="shared" si="8"/>
        <v>6864000</v>
      </c>
      <c r="AX35" s="226">
        <f t="shared" si="81"/>
        <v>0</v>
      </c>
      <c r="AY35" s="325" t="s">
        <v>219</v>
      </c>
      <c r="AZ35" s="332" t="s">
        <v>220</v>
      </c>
      <c r="BA35" s="326" t="s">
        <v>86</v>
      </c>
      <c r="BB35" s="327">
        <v>520</v>
      </c>
      <c r="BC35" s="723">
        <v>13490</v>
      </c>
      <c r="BD35" s="724">
        <f t="shared" si="73"/>
        <v>7014800</v>
      </c>
      <c r="BE35" s="928"/>
      <c r="BF35" s="704"/>
      <c r="BG35" s="760">
        <f t="shared" si="10"/>
        <v>7014800</v>
      </c>
      <c r="BH35" s="226">
        <f t="shared" si="82"/>
        <v>0</v>
      </c>
      <c r="BI35" s="325" t="s">
        <v>219</v>
      </c>
      <c r="BJ35" s="332" t="s">
        <v>220</v>
      </c>
      <c r="BK35" s="326" t="s">
        <v>86</v>
      </c>
      <c r="BL35" s="327">
        <v>520</v>
      </c>
      <c r="BM35" s="328">
        <v>11990</v>
      </c>
      <c r="BN35" s="675">
        <f t="shared" si="74"/>
        <v>6234800</v>
      </c>
      <c r="BO35" s="928"/>
      <c r="BP35" s="704"/>
      <c r="BQ35" s="760">
        <f t="shared" si="12"/>
        <v>6234800</v>
      </c>
      <c r="BR35" s="226">
        <f t="shared" si="83"/>
        <v>0</v>
      </c>
      <c r="BS35" s="325" t="s">
        <v>219</v>
      </c>
      <c r="BT35" s="332" t="s">
        <v>220</v>
      </c>
      <c r="BU35" s="326" t="s">
        <v>86</v>
      </c>
      <c r="BV35" s="327">
        <v>520</v>
      </c>
      <c r="BW35" s="328">
        <v>12900</v>
      </c>
      <c r="BX35" s="675">
        <f t="shared" si="75"/>
        <v>6708000</v>
      </c>
      <c r="BY35" s="928"/>
      <c r="BZ35" s="704"/>
      <c r="CA35" s="760">
        <f t="shared" si="14"/>
        <v>6708000</v>
      </c>
      <c r="CB35" s="226">
        <f t="shared" si="84"/>
        <v>0</v>
      </c>
      <c r="CC35" s="325" t="s">
        <v>219</v>
      </c>
      <c r="CD35" s="332" t="s">
        <v>220</v>
      </c>
      <c r="CE35" s="326" t="s">
        <v>86</v>
      </c>
      <c r="CF35" s="1025">
        <v>520</v>
      </c>
      <c r="CG35" s="328">
        <v>12100</v>
      </c>
      <c r="CH35" s="675">
        <f t="shared" si="76"/>
        <v>6292000</v>
      </c>
      <c r="CI35" s="928"/>
      <c r="CJ35" s="704"/>
      <c r="CK35" s="760">
        <f t="shared" si="16"/>
        <v>6292000</v>
      </c>
      <c r="CL35" s="226">
        <f t="shared" si="85"/>
        <v>0</v>
      </c>
      <c r="CM35" s="325" t="s">
        <v>219</v>
      </c>
      <c r="CN35" s="332" t="s">
        <v>220</v>
      </c>
      <c r="CO35" s="326" t="s">
        <v>86</v>
      </c>
      <c r="CP35" s="327">
        <v>520</v>
      </c>
      <c r="CQ35" s="328">
        <v>26780</v>
      </c>
      <c r="CR35" s="465">
        <f t="shared" si="77"/>
        <v>13925600</v>
      </c>
      <c r="CS35" s="928"/>
      <c r="CT35" s="704"/>
      <c r="CU35" s="760">
        <f t="shared" si="18"/>
        <v>13925600</v>
      </c>
      <c r="CV35" s="226">
        <f t="shared" si="86"/>
        <v>0</v>
      </c>
    </row>
    <row r="36" spans="1:100" s="208" customFormat="1" ht="61.5" outlineLevel="2" thickTop="1" thickBot="1">
      <c r="A36" s="325" t="s">
        <v>221</v>
      </c>
      <c r="B36" s="424" t="s">
        <v>222</v>
      </c>
      <c r="C36" s="326" t="s">
        <v>86</v>
      </c>
      <c r="D36" s="327">
        <v>55</v>
      </c>
      <c r="E36" s="427">
        <v>16900</v>
      </c>
      <c r="F36" s="428">
        <f t="shared" si="68"/>
        <v>929500</v>
      </c>
      <c r="G36" s="928"/>
      <c r="H36" s="704"/>
      <c r="I36" s="760">
        <f t="shared" si="0"/>
        <v>929500</v>
      </c>
      <c r="J36" s="226">
        <f t="shared" si="58"/>
        <v>0</v>
      </c>
      <c r="K36" s="325" t="s">
        <v>221</v>
      </c>
      <c r="L36" s="318" t="s">
        <v>222</v>
      </c>
      <c r="M36" s="326" t="s">
        <v>86</v>
      </c>
      <c r="N36" s="327">
        <v>55</v>
      </c>
      <c r="O36" s="458">
        <v>21000</v>
      </c>
      <c r="P36" s="465">
        <f t="shared" si="69"/>
        <v>1155000</v>
      </c>
      <c r="Q36" s="928"/>
      <c r="R36" s="704"/>
      <c r="S36" s="760">
        <f t="shared" si="2"/>
        <v>1155000</v>
      </c>
      <c r="T36" s="226">
        <f t="shared" si="78"/>
        <v>0</v>
      </c>
      <c r="U36" s="513" t="s">
        <v>221</v>
      </c>
      <c r="V36" s="537" t="s">
        <v>439</v>
      </c>
      <c r="W36" s="1027" t="s">
        <v>86</v>
      </c>
      <c r="X36" s="1028">
        <v>55</v>
      </c>
      <c r="Y36" s="514">
        <v>15500</v>
      </c>
      <c r="Z36" s="515">
        <f t="shared" si="70"/>
        <v>852500</v>
      </c>
      <c r="AA36" s="502"/>
      <c r="AB36" s="704"/>
      <c r="AC36" s="760">
        <f t="shared" si="4"/>
        <v>852500</v>
      </c>
      <c r="AD36" s="226">
        <f t="shared" si="79"/>
        <v>0</v>
      </c>
      <c r="AE36" s="614" t="s">
        <v>221</v>
      </c>
      <c r="AF36" s="606" t="s">
        <v>492</v>
      </c>
      <c r="AG36" s="615" t="s">
        <v>86</v>
      </c>
      <c r="AH36" s="616">
        <v>55</v>
      </c>
      <c r="AI36" s="617">
        <v>28000</v>
      </c>
      <c r="AJ36" s="618">
        <f t="shared" si="71"/>
        <v>1540000</v>
      </c>
      <c r="AK36" s="928"/>
      <c r="AL36" s="704"/>
      <c r="AM36" s="760">
        <f t="shared" si="6"/>
        <v>1540000</v>
      </c>
      <c r="AN36" s="226">
        <f t="shared" si="80"/>
        <v>0</v>
      </c>
      <c r="AO36" s="325" t="s">
        <v>221</v>
      </c>
      <c r="AP36" s="673" t="s">
        <v>222</v>
      </c>
      <c r="AQ36" s="326" t="s">
        <v>86</v>
      </c>
      <c r="AR36" s="327">
        <v>55</v>
      </c>
      <c r="AS36" s="328">
        <v>16450</v>
      </c>
      <c r="AT36" s="675">
        <f t="shared" si="72"/>
        <v>904750</v>
      </c>
      <c r="AU36" s="956"/>
      <c r="AV36" s="704"/>
      <c r="AW36" s="760">
        <f t="shared" si="8"/>
        <v>904750</v>
      </c>
      <c r="AX36" s="226">
        <f t="shared" si="81"/>
        <v>0</v>
      </c>
      <c r="AY36" s="325" t="s">
        <v>221</v>
      </c>
      <c r="AZ36" s="318" t="s">
        <v>222</v>
      </c>
      <c r="BA36" s="326" t="s">
        <v>86</v>
      </c>
      <c r="BB36" s="327">
        <v>55</v>
      </c>
      <c r="BC36" s="723">
        <v>10295</v>
      </c>
      <c r="BD36" s="724">
        <f t="shared" si="73"/>
        <v>566225</v>
      </c>
      <c r="BE36" s="928"/>
      <c r="BF36" s="704"/>
      <c r="BG36" s="760">
        <f t="shared" si="10"/>
        <v>566225</v>
      </c>
      <c r="BH36" s="226">
        <f t="shared" si="82"/>
        <v>0</v>
      </c>
      <c r="BI36" s="325" t="s">
        <v>221</v>
      </c>
      <c r="BJ36" s="673" t="s">
        <v>222</v>
      </c>
      <c r="BK36" s="326" t="s">
        <v>86</v>
      </c>
      <c r="BL36" s="327">
        <v>55</v>
      </c>
      <c r="BM36" s="328">
        <v>16850</v>
      </c>
      <c r="BN36" s="675">
        <f t="shared" si="74"/>
        <v>926750</v>
      </c>
      <c r="BO36" s="928"/>
      <c r="BP36" s="704"/>
      <c r="BQ36" s="760">
        <f t="shared" si="12"/>
        <v>926750</v>
      </c>
      <c r="BR36" s="226">
        <f t="shared" si="83"/>
        <v>0</v>
      </c>
      <c r="BS36" s="325" t="s">
        <v>221</v>
      </c>
      <c r="BT36" s="673" t="s">
        <v>222</v>
      </c>
      <c r="BU36" s="326" t="s">
        <v>86</v>
      </c>
      <c r="BV36" s="327">
        <v>55</v>
      </c>
      <c r="BW36" s="328">
        <v>17200</v>
      </c>
      <c r="BX36" s="675">
        <f t="shared" si="75"/>
        <v>946000</v>
      </c>
      <c r="BY36" s="928"/>
      <c r="BZ36" s="704"/>
      <c r="CA36" s="760">
        <f t="shared" si="14"/>
        <v>946000</v>
      </c>
      <c r="CB36" s="226">
        <f t="shared" si="84"/>
        <v>0</v>
      </c>
      <c r="CC36" s="325" t="s">
        <v>221</v>
      </c>
      <c r="CD36" s="673" t="s">
        <v>222</v>
      </c>
      <c r="CE36" s="326" t="s">
        <v>86</v>
      </c>
      <c r="CF36" s="1025">
        <v>55</v>
      </c>
      <c r="CG36" s="328">
        <v>16900</v>
      </c>
      <c r="CH36" s="675">
        <f t="shared" si="76"/>
        <v>929500</v>
      </c>
      <c r="CI36" s="928"/>
      <c r="CJ36" s="704"/>
      <c r="CK36" s="760">
        <f t="shared" si="16"/>
        <v>929500</v>
      </c>
      <c r="CL36" s="226">
        <f t="shared" si="85"/>
        <v>0</v>
      </c>
      <c r="CM36" s="325" t="s">
        <v>221</v>
      </c>
      <c r="CN36" s="356" t="s">
        <v>222</v>
      </c>
      <c r="CO36" s="326" t="s">
        <v>86</v>
      </c>
      <c r="CP36" s="327">
        <v>55</v>
      </c>
      <c r="CQ36" s="328">
        <v>23480</v>
      </c>
      <c r="CR36" s="465">
        <f t="shared" si="77"/>
        <v>1291400</v>
      </c>
      <c r="CS36" s="928"/>
      <c r="CT36" s="704"/>
      <c r="CU36" s="760">
        <f t="shared" si="18"/>
        <v>1291400</v>
      </c>
      <c r="CV36" s="226">
        <f t="shared" si="86"/>
        <v>0</v>
      </c>
    </row>
    <row r="37" spans="1:100" s="208" customFormat="1" ht="91.5" outlineLevel="2" thickTop="1" thickBot="1">
      <c r="A37" s="325" t="s">
        <v>223</v>
      </c>
      <c r="B37" s="424" t="s">
        <v>224</v>
      </c>
      <c r="C37" s="326" t="s">
        <v>86</v>
      </c>
      <c r="D37" s="327">
        <v>150</v>
      </c>
      <c r="E37" s="427">
        <v>12500</v>
      </c>
      <c r="F37" s="428">
        <f t="shared" si="68"/>
        <v>1875000</v>
      </c>
      <c r="G37" s="928"/>
      <c r="H37" s="704"/>
      <c r="I37" s="760">
        <f t="shared" si="0"/>
        <v>1875000</v>
      </c>
      <c r="J37" s="226">
        <f t="shared" si="58"/>
        <v>0</v>
      </c>
      <c r="K37" s="325" t="s">
        <v>223</v>
      </c>
      <c r="L37" s="318" t="s">
        <v>224</v>
      </c>
      <c r="M37" s="326" t="s">
        <v>86</v>
      </c>
      <c r="N37" s="327">
        <v>150</v>
      </c>
      <c r="O37" s="458">
        <v>11000</v>
      </c>
      <c r="P37" s="465">
        <f t="shared" si="69"/>
        <v>1650000</v>
      </c>
      <c r="Q37" s="928"/>
      <c r="R37" s="704"/>
      <c r="S37" s="760">
        <f t="shared" si="2"/>
        <v>1650000</v>
      </c>
      <c r="T37" s="226">
        <f t="shared" si="78"/>
        <v>0</v>
      </c>
      <c r="U37" s="513" t="s">
        <v>223</v>
      </c>
      <c r="V37" s="537" t="s">
        <v>440</v>
      </c>
      <c r="W37" s="1027" t="s">
        <v>86</v>
      </c>
      <c r="X37" s="1028">
        <v>150</v>
      </c>
      <c r="Y37" s="514">
        <v>98000</v>
      </c>
      <c r="Z37" s="515">
        <f t="shared" si="70"/>
        <v>14700000</v>
      </c>
      <c r="AA37" s="502"/>
      <c r="AB37" s="704"/>
      <c r="AC37" s="760">
        <f t="shared" si="4"/>
        <v>14700000</v>
      </c>
      <c r="AD37" s="226">
        <f t="shared" si="79"/>
        <v>0</v>
      </c>
      <c r="AE37" s="614" t="s">
        <v>223</v>
      </c>
      <c r="AF37" s="606" t="s">
        <v>493</v>
      </c>
      <c r="AG37" s="615" t="s">
        <v>86</v>
      </c>
      <c r="AH37" s="616">
        <v>150</v>
      </c>
      <c r="AI37" s="617">
        <v>15000</v>
      </c>
      <c r="AJ37" s="618">
        <f t="shared" si="71"/>
        <v>2250000</v>
      </c>
      <c r="AK37" s="928"/>
      <c r="AL37" s="704"/>
      <c r="AM37" s="760">
        <f t="shared" si="6"/>
        <v>2250000</v>
      </c>
      <c r="AN37" s="226">
        <f t="shared" si="80"/>
        <v>0</v>
      </c>
      <c r="AO37" s="325" t="s">
        <v>223</v>
      </c>
      <c r="AP37" s="673" t="s">
        <v>224</v>
      </c>
      <c r="AQ37" s="326" t="s">
        <v>86</v>
      </c>
      <c r="AR37" s="327">
        <v>150</v>
      </c>
      <c r="AS37" s="328">
        <v>12100</v>
      </c>
      <c r="AT37" s="675">
        <f t="shared" si="72"/>
        <v>1815000</v>
      </c>
      <c r="AU37" s="956"/>
      <c r="AV37" s="704"/>
      <c r="AW37" s="760">
        <f t="shared" si="8"/>
        <v>1815000</v>
      </c>
      <c r="AX37" s="226">
        <f t="shared" si="81"/>
        <v>0</v>
      </c>
      <c r="AY37" s="325" t="s">
        <v>223</v>
      </c>
      <c r="AZ37" s="318" t="s">
        <v>224</v>
      </c>
      <c r="BA37" s="326" t="s">
        <v>86</v>
      </c>
      <c r="BB37" s="327">
        <v>150</v>
      </c>
      <c r="BC37" s="723">
        <v>6745</v>
      </c>
      <c r="BD37" s="724">
        <f t="shared" si="73"/>
        <v>1011750</v>
      </c>
      <c r="BE37" s="928"/>
      <c r="BF37" s="704"/>
      <c r="BG37" s="760">
        <f t="shared" si="10"/>
        <v>1011750</v>
      </c>
      <c r="BH37" s="226">
        <f t="shared" si="82"/>
        <v>0</v>
      </c>
      <c r="BI37" s="325" t="s">
        <v>223</v>
      </c>
      <c r="BJ37" s="673" t="s">
        <v>224</v>
      </c>
      <c r="BK37" s="326" t="s">
        <v>86</v>
      </c>
      <c r="BL37" s="327">
        <v>150</v>
      </c>
      <c r="BM37" s="328">
        <v>12200</v>
      </c>
      <c r="BN37" s="675">
        <f t="shared" si="74"/>
        <v>1830000</v>
      </c>
      <c r="BO37" s="928"/>
      <c r="BP37" s="704"/>
      <c r="BQ37" s="760">
        <f t="shared" si="12"/>
        <v>1830000</v>
      </c>
      <c r="BR37" s="226">
        <f t="shared" si="83"/>
        <v>0</v>
      </c>
      <c r="BS37" s="325" t="s">
        <v>223</v>
      </c>
      <c r="BT37" s="673" t="s">
        <v>224</v>
      </c>
      <c r="BU37" s="326" t="s">
        <v>86</v>
      </c>
      <c r="BV37" s="327">
        <v>150</v>
      </c>
      <c r="BW37" s="328">
        <v>13100</v>
      </c>
      <c r="BX37" s="675">
        <f t="shared" si="75"/>
        <v>1965000</v>
      </c>
      <c r="BY37" s="928"/>
      <c r="BZ37" s="704"/>
      <c r="CA37" s="760">
        <f t="shared" si="14"/>
        <v>1965000</v>
      </c>
      <c r="CB37" s="226">
        <f t="shared" si="84"/>
        <v>0</v>
      </c>
      <c r="CC37" s="325" t="s">
        <v>223</v>
      </c>
      <c r="CD37" s="673" t="s">
        <v>224</v>
      </c>
      <c r="CE37" s="326" t="s">
        <v>86</v>
      </c>
      <c r="CF37" s="1025">
        <v>150</v>
      </c>
      <c r="CG37" s="328">
        <v>12400</v>
      </c>
      <c r="CH37" s="675">
        <f t="shared" si="76"/>
        <v>1860000</v>
      </c>
      <c r="CI37" s="928"/>
      <c r="CJ37" s="704"/>
      <c r="CK37" s="760">
        <f t="shared" si="16"/>
        <v>1860000</v>
      </c>
      <c r="CL37" s="226">
        <f t="shared" si="85"/>
        <v>0</v>
      </c>
      <c r="CM37" s="325" t="s">
        <v>223</v>
      </c>
      <c r="CN37" s="356" t="s">
        <v>224</v>
      </c>
      <c r="CO37" s="326" t="s">
        <v>86</v>
      </c>
      <c r="CP37" s="327">
        <v>150</v>
      </c>
      <c r="CQ37" s="328">
        <v>12990</v>
      </c>
      <c r="CR37" s="465">
        <f t="shared" si="77"/>
        <v>1948500</v>
      </c>
      <c r="CS37" s="928"/>
      <c r="CT37" s="704"/>
      <c r="CU37" s="760">
        <f t="shared" si="18"/>
        <v>1948500</v>
      </c>
      <c r="CV37" s="226">
        <f t="shared" si="86"/>
        <v>0</v>
      </c>
    </row>
    <row r="38" spans="1:100" s="208" customFormat="1" ht="106.5" outlineLevel="2" thickTop="1" thickBot="1">
      <c r="A38" s="325" t="s">
        <v>225</v>
      </c>
      <c r="B38" s="433" t="s">
        <v>226</v>
      </c>
      <c r="C38" s="326" t="s">
        <v>86</v>
      </c>
      <c r="D38" s="327">
        <v>486.98</v>
      </c>
      <c r="E38" s="427">
        <v>12800</v>
      </c>
      <c r="F38" s="428">
        <f t="shared" si="68"/>
        <v>6233344</v>
      </c>
      <c r="G38" s="928"/>
      <c r="H38" s="704"/>
      <c r="I38" s="760">
        <f t="shared" si="0"/>
        <v>6233344</v>
      </c>
      <c r="J38" s="226">
        <f t="shared" si="58"/>
        <v>0</v>
      </c>
      <c r="K38" s="325" t="s">
        <v>225</v>
      </c>
      <c r="L38" s="333" t="s">
        <v>226</v>
      </c>
      <c r="M38" s="326" t="s">
        <v>86</v>
      </c>
      <c r="N38" s="327">
        <v>486.98</v>
      </c>
      <c r="O38" s="458">
        <v>18000</v>
      </c>
      <c r="P38" s="465">
        <f t="shared" si="69"/>
        <v>8765640</v>
      </c>
      <c r="Q38" s="928"/>
      <c r="R38" s="704"/>
      <c r="S38" s="760">
        <f t="shared" si="2"/>
        <v>8765640</v>
      </c>
      <c r="T38" s="226">
        <f>+IF(O38=0,1,0)</f>
        <v>0</v>
      </c>
      <c r="U38" s="513" t="s">
        <v>225</v>
      </c>
      <c r="V38" s="1032" t="s">
        <v>441</v>
      </c>
      <c r="W38" s="1027" t="s">
        <v>86</v>
      </c>
      <c r="X38" s="1028">
        <v>486.98</v>
      </c>
      <c r="Y38" s="514">
        <v>18000</v>
      </c>
      <c r="Z38" s="515">
        <f t="shared" si="70"/>
        <v>8765640</v>
      </c>
      <c r="AA38" s="502"/>
      <c r="AB38" s="704"/>
      <c r="AC38" s="760">
        <f t="shared" si="4"/>
        <v>8765640</v>
      </c>
      <c r="AD38" s="226">
        <f>+IF(Y38=0,1,0)</f>
        <v>0</v>
      </c>
      <c r="AE38" s="614" t="s">
        <v>225</v>
      </c>
      <c r="AF38" s="623" t="s">
        <v>494</v>
      </c>
      <c r="AG38" s="615" t="s">
        <v>86</v>
      </c>
      <c r="AH38" s="616">
        <v>486.98</v>
      </c>
      <c r="AI38" s="617">
        <v>38000</v>
      </c>
      <c r="AJ38" s="618">
        <f t="shared" si="71"/>
        <v>18505240</v>
      </c>
      <c r="AK38" s="928"/>
      <c r="AL38" s="704"/>
      <c r="AM38" s="760">
        <f t="shared" si="6"/>
        <v>18505240</v>
      </c>
      <c r="AN38" s="226">
        <f>+IF(AI38=0,1,0)</f>
        <v>0</v>
      </c>
      <c r="AO38" s="325" t="s">
        <v>225</v>
      </c>
      <c r="AP38" s="678" t="s">
        <v>226</v>
      </c>
      <c r="AQ38" s="326" t="s">
        <v>86</v>
      </c>
      <c r="AR38" s="327">
        <v>486.98</v>
      </c>
      <c r="AS38" s="328">
        <v>16100</v>
      </c>
      <c r="AT38" s="675">
        <f t="shared" si="72"/>
        <v>7840378</v>
      </c>
      <c r="AU38" s="956"/>
      <c r="AV38" s="704"/>
      <c r="AW38" s="760">
        <f t="shared" si="8"/>
        <v>7840378</v>
      </c>
      <c r="AX38" s="226">
        <f>+IF(AS38=0,1,0)</f>
        <v>0</v>
      </c>
      <c r="AY38" s="325" t="s">
        <v>225</v>
      </c>
      <c r="AZ38" s="333" t="s">
        <v>226</v>
      </c>
      <c r="BA38" s="326" t="s">
        <v>86</v>
      </c>
      <c r="BB38" s="327">
        <v>486.98</v>
      </c>
      <c r="BC38" s="723">
        <v>24850</v>
      </c>
      <c r="BD38" s="724">
        <f t="shared" si="73"/>
        <v>12101453</v>
      </c>
      <c r="BE38" s="928"/>
      <c r="BF38" s="704"/>
      <c r="BG38" s="760">
        <f t="shared" si="10"/>
        <v>12101453</v>
      </c>
      <c r="BH38" s="226">
        <f>+IF(BC38=0,1,0)</f>
        <v>0</v>
      </c>
      <c r="BI38" s="325" t="s">
        <v>225</v>
      </c>
      <c r="BJ38" s="678" t="s">
        <v>226</v>
      </c>
      <c r="BK38" s="326" t="s">
        <v>86</v>
      </c>
      <c r="BL38" s="327">
        <v>486.98</v>
      </c>
      <c r="BM38" s="328">
        <v>15300</v>
      </c>
      <c r="BN38" s="675">
        <f t="shared" si="74"/>
        <v>7450794</v>
      </c>
      <c r="BO38" s="928"/>
      <c r="BP38" s="704"/>
      <c r="BQ38" s="760">
        <f t="shared" si="12"/>
        <v>7450794</v>
      </c>
      <c r="BR38" s="226">
        <f>+IF(BM38=0,1,0)</f>
        <v>0</v>
      </c>
      <c r="BS38" s="325" t="s">
        <v>225</v>
      </c>
      <c r="BT38" s="678" t="s">
        <v>226</v>
      </c>
      <c r="BU38" s="326" t="s">
        <v>86</v>
      </c>
      <c r="BV38" s="327">
        <v>486.98</v>
      </c>
      <c r="BW38" s="328">
        <v>15900</v>
      </c>
      <c r="BX38" s="675">
        <f t="shared" si="75"/>
        <v>7742982</v>
      </c>
      <c r="BY38" s="928"/>
      <c r="BZ38" s="704"/>
      <c r="CA38" s="760">
        <f t="shared" si="14"/>
        <v>7742982</v>
      </c>
      <c r="CB38" s="226">
        <f>+IF(BW38=0,1,0)</f>
        <v>0</v>
      </c>
      <c r="CC38" s="325" t="s">
        <v>225</v>
      </c>
      <c r="CD38" s="678" t="s">
        <v>226</v>
      </c>
      <c r="CE38" s="326" t="s">
        <v>86</v>
      </c>
      <c r="CF38" s="1025">
        <v>486.98</v>
      </c>
      <c r="CG38" s="328">
        <v>15500</v>
      </c>
      <c r="CH38" s="675">
        <f t="shared" si="76"/>
        <v>7548190</v>
      </c>
      <c r="CI38" s="928"/>
      <c r="CJ38" s="704"/>
      <c r="CK38" s="760">
        <f t="shared" si="16"/>
        <v>7548190</v>
      </c>
      <c r="CL38" s="226">
        <f>+IF(CG38=0,1,0)</f>
        <v>0</v>
      </c>
      <c r="CM38" s="325" t="s">
        <v>225</v>
      </c>
      <c r="CN38" s="333" t="s">
        <v>226</v>
      </c>
      <c r="CO38" s="326" t="s">
        <v>86</v>
      </c>
      <c r="CP38" s="327">
        <v>486.98</v>
      </c>
      <c r="CQ38" s="328">
        <v>21680</v>
      </c>
      <c r="CR38" s="465">
        <f t="shared" si="77"/>
        <v>10557726</v>
      </c>
      <c r="CS38" s="928"/>
      <c r="CT38" s="704"/>
      <c r="CU38" s="760">
        <f t="shared" si="18"/>
        <v>10557726</v>
      </c>
      <c r="CV38" s="226">
        <f>+IF(CQ38=0,1,0)</f>
        <v>0</v>
      </c>
    </row>
    <row r="39" spans="1:100" s="208" customFormat="1" ht="76.5" outlineLevel="2" thickTop="1" thickBot="1">
      <c r="A39" s="325" t="s">
        <v>227</v>
      </c>
      <c r="B39" s="434" t="s">
        <v>228</v>
      </c>
      <c r="C39" s="326" t="s">
        <v>86</v>
      </c>
      <c r="D39" s="327">
        <v>120.87</v>
      </c>
      <c r="E39" s="427">
        <v>56100</v>
      </c>
      <c r="F39" s="428">
        <f t="shared" si="68"/>
        <v>6780807</v>
      </c>
      <c r="G39" s="929"/>
      <c r="H39" s="704"/>
      <c r="I39" s="760">
        <f t="shared" si="0"/>
        <v>6780807</v>
      </c>
      <c r="J39" s="226">
        <f t="shared" si="58"/>
        <v>0</v>
      </c>
      <c r="K39" s="325" t="s">
        <v>227</v>
      </c>
      <c r="L39" s="334" t="s">
        <v>228</v>
      </c>
      <c r="M39" s="326" t="s">
        <v>86</v>
      </c>
      <c r="N39" s="327">
        <v>120.87</v>
      </c>
      <c r="O39" s="458">
        <v>51000</v>
      </c>
      <c r="P39" s="465">
        <f t="shared" si="69"/>
        <v>6164370</v>
      </c>
      <c r="Q39" s="929"/>
      <c r="R39" s="704"/>
      <c r="S39" s="760">
        <f t="shared" si="2"/>
        <v>6164370</v>
      </c>
      <c r="T39" s="226">
        <f>+IF(O39=0,1,0)</f>
        <v>0</v>
      </c>
      <c r="U39" s="513" t="s">
        <v>227</v>
      </c>
      <c r="V39" s="1032" t="s">
        <v>442</v>
      </c>
      <c r="W39" s="1027" t="s">
        <v>86</v>
      </c>
      <c r="X39" s="1028">
        <v>120.87</v>
      </c>
      <c r="Y39" s="514">
        <v>38000</v>
      </c>
      <c r="Z39" s="515">
        <f t="shared" si="70"/>
        <v>4593060</v>
      </c>
      <c r="AA39" s="509"/>
      <c r="AB39" s="704"/>
      <c r="AC39" s="760">
        <f t="shared" si="4"/>
        <v>4593060</v>
      </c>
      <c r="AD39" s="226">
        <f>+IF(Y39=0,1,0)</f>
        <v>0</v>
      </c>
      <c r="AE39" s="614" t="s">
        <v>227</v>
      </c>
      <c r="AF39" s="624" t="s">
        <v>495</v>
      </c>
      <c r="AG39" s="615" t="s">
        <v>86</v>
      </c>
      <c r="AH39" s="616">
        <v>120.87</v>
      </c>
      <c r="AI39" s="617">
        <v>35000</v>
      </c>
      <c r="AJ39" s="618">
        <f t="shared" si="71"/>
        <v>4230450</v>
      </c>
      <c r="AK39" s="929"/>
      <c r="AL39" s="704"/>
      <c r="AM39" s="760">
        <f t="shared" si="6"/>
        <v>4230450</v>
      </c>
      <c r="AN39" s="226">
        <f>+IF(AI39=0,1,0)</f>
        <v>0</v>
      </c>
      <c r="AO39" s="325" t="s">
        <v>227</v>
      </c>
      <c r="AP39" s="334" t="s">
        <v>228</v>
      </c>
      <c r="AQ39" s="326" t="s">
        <v>86</v>
      </c>
      <c r="AR39" s="327">
        <v>120.87</v>
      </c>
      <c r="AS39" s="328">
        <v>55000</v>
      </c>
      <c r="AT39" s="675">
        <f t="shared" si="72"/>
        <v>6647850</v>
      </c>
      <c r="AU39" s="957"/>
      <c r="AV39" s="704"/>
      <c r="AW39" s="760">
        <f t="shared" si="8"/>
        <v>6647850</v>
      </c>
      <c r="AX39" s="226">
        <f>+IF(AS39=0,1,0)</f>
        <v>0</v>
      </c>
      <c r="AY39" s="325" t="s">
        <v>227</v>
      </c>
      <c r="AZ39" s="334" t="s">
        <v>228</v>
      </c>
      <c r="BA39" s="326" t="s">
        <v>86</v>
      </c>
      <c r="BB39" s="327">
        <v>120.87</v>
      </c>
      <c r="BC39" s="723">
        <v>60350</v>
      </c>
      <c r="BD39" s="724">
        <f t="shared" si="73"/>
        <v>7294505</v>
      </c>
      <c r="BE39" s="929"/>
      <c r="BF39" s="704"/>
      <c r="BG39" s="760">
        <f t="shared" si="10"/>
        <v>7294505</v>
      </c>
      <c r="BH39" s="226">
        <f>+IF(BC39=0,1,0)</f>
        <v>0</v>
      </c>
      <c r="BI39" s="325" t="s">
        <v>227</v>
      </c>
      <c r="BJ39" s="334" t="s">
        <v>228</v>
      </c>
      <c r="BK39" s="326" t="s">
        <v>86</v>
      </c>
      <c r="BL39" s="327">
        <v>120.87</v>
      </c>
      <c r="BM39" s="328">
        <v>54980</v>
      </c>
      <c r="BN39" s="675">
        <f t="shared" si="74"/>
        <v>6645433</v>
      </c>
      <c r="BO39" s="929"/>
      <c r="BP39" s="704"/>
      <c r="BQ39" s="760">
        <f t="shared" si="12"/>
        <v>6645433</v>
      </c>
      <c r="BR39" s="226">
        <f>+IF(BM39=0,1,0)</f>
        <v>0</v>
      </c>
      <c r="BS39" s="325" t="s">
        <v>227</v>
      </c>
      <c r="BT39" s="334" t="s">
        <v>228</v>
      </c>
      <c r="BU39" s="326" t="s">
        <v>86</v>
      </c>
      <c r="BV39" s="327">
        <v>120.87</v>
      </c>
      <c r="BW39" s="328">
        <v>56800</v>
      </c>
      <c r="BX39" s="675">
        <f t="shared" si="75"/>
        <v>6865416</v>
      </c>
      <c r="BY39" s="929"/>
      <c r="BZ39" s="704"/>
      <c r="CA39" s="760">
        <f t="shared" si="14"/>
        <v>6865416</v>
      </c>
      <c r="CB39" s="226">
        <f>+IF(BW39=0,1,0)</f>
        <v>0</v>
      </c>
      <c r="CC39" s="325" t="s">
        <v>227</v>
      </c>
      <c r="CD39" s="334" t="s">
        <v>228</v>
      </c>
      <c r="CE39" s="326" t="s">
        <v>86</v>
      </c>
      <c r="CF39" s="1025">
        <v>120.87</v>
      </c>
      <c r="CG39" s="328">
        <v>55900</v>
      </c>
      <c r="CH39" s="675">
        <f t="shared" si="76"/>
        <v>6756633</v>
      </c>
      <c r="CI39" s="929"/>
      <c r="CJ39" s="704"/>
      <c r="CK39" s="760">
        <f t="shared" si="16"/>
        <v>6756633</v>
      </c>
      <c r="CL39" s="226">
        <f>+IF(CG39=0,1,0)</f>
        <v>0</v>
      </c>
      <c r="CM39" s="325" t="s">
        <v>227</v>
      </c>
      <c r="CN39" s="749" t="s">
        <v>228</v>
      </c>
      <c r="CO39" s="326" t="s">
        <v>86</v>
      </c>
      <c r="CP39" s="327">
        <v>120.87</v>
      </c>
      <c r="CQ39" s="328">
        <v>48780</v>
      </c>
      <c r="CR39" s="465">
        <f t="shared" si="77"/>
        <v>5896039</v>
      </c>
      <c r="CS39" s="929"/>
      <c r="CT39" s="704"/>
      <c r="CU39" s="760">
        <f t="shared" si="18"/>
        <v>5896039</v>
      </c>
      <c r="CV39" s="226">
        <f>+IF(CQ39=0,1,0)</f>
        <v>0</v>
      </c>
    </row>
    <row r="40" spans="1:100" s="208" customFormat="1" ht="24.75" outlineLevel="2" thickTop="1" thickBot="1">
      <c r="A40" s="295" t="s">
        <v>8</v>
      </c>
      <c r="B40" s="421" t="s">
        <v>229</v>
      </c>
      <c r="C40" s="297"/>
      <c r="D40" s="298"/>
      <c r="E40" s="422"/>
      <c r="F40" s="423"/>
      <c r="G40" s="335">
        <f>SUM(F41:F43)</f>
        <v>123023578</v>
      </c>
      <c r="H40" s="703"/>
      <c r="I40" s="760">
        <f t="shared" si="0"/>
        <v>0</v>
      </c>
      <c r="J40" s="226"/>
      <c r="K40" s="295" t="s">
        <v>8</v>
      </c>
      <c r="L40" s="316" t="s">
        <v>229</v>
      </c>
      <c r="M40" s="297"/>
      <c r="N40" s="298"/>
      <c r="O40" s="299"/>
      <c r="P40" s="464"/>
      <c r="Q40" s="335">
        <f>SUM(P41:P43)</f>
        <v>85135853</v>
      </c>
      <c r="R40" s="703"/>
      <c r="S40" s="760">
        <f t="shared" si="2"/>
        <v>0</v>
      </c>
      <c r="T40" s="226"/>
      <c r="U40" s="487" t="s">
        <v>8</v>
      </c>
      <c r="V40" s="510" t="s">
        <v>229</v>
      </c>
      <c r="W40" s="489"/>
      <c r="X40" s="490"/>
      <c r="Y40" s="491"/>
      <c r="Z40" s="492"/>
      <c r="AA40" s="521">
        <f>SUM(Z41:Z43)</f>
        <v>112528901</v>
      </c>
      <c r="AB40" s="703"/>
      <c r="AC40" s="760">
        <f t="shared" si="4"/>
        <v>0</v>
      </c>
      <c r="AD40" s="226"/>
      <c r="AE40" s="599" t="s">
        <v>8</v>
      </c>
      <c r="AF40" s="600" t="s">
        <v>229</v>
      </c>
      <c r="AG40" s="601"/>
      <c r="AH40" s="602"/>
      <c r="AI40" s="603"/>
      <c r="AJ40" s="604"/>
      <c r="AK40" s="335">
        <f>SUM(AJ41:AJ43)</f>
        <v>119845800</v>
      </c>
      <c r="AL40" s="703"/>
      <c r="AM40" s="760">
        <f t="shared" si="6"/>
        <v>0</v>
      </c>
      <c r="AN40" s="226"/>
      <c r="AO40" s="295" t="s">
        <v>8</v>
      </c>
      <c r="AP40" s="672" t="s">
        <v>229</v>
      </c>
      <c r="AQ40" s="297"/>
      <c r="AR40" s="298"/>
      <c r="AS40" s="299"/>
      <c r="AT40" s="664"/>
      <c r="AU40" s="700">
        <f>SUM(AT41:AT43)</f>
        <v>139907872</v>
      </c>
      <c r="AV40" s="703"/>
      <c r="AW40" s="760">
        <f t="shared" si="8"/>
        <v>0</v>
      </c>
      <c r="AX40" s="226"/>
      <c r="AY40" s="295" t="s">
        <v>8</v>
      </c>
      <c r="AZ40" s="316" t="s">
        <v>229</v>
      </c>
      <c r="BA40" s="297"/>
      <c r="BB40" s="298"/>
      <c r="BC40" s="720">
        <v>0</v>
      </c>
      <c r="BD40" s="721"/>
      <c r="BE40" s="335">
        <f>SUM(BD41:BD43)</f>
        <v>109105280</v>
      </c>
      <c r="BF40" s="703"/>
      <c r="BG40" s="760">
        <f t="shared" si="10"/>
        <v>0</v>
      </c>
      <c r="BH40" s="226"/>
      <c r="BI40" s="295" t="s">
        <v>8</v>
      </c>
      <c r="BJ40" s="672" t="s">
        <v>229</v>
      </c>
      <c r="BK40" s="297"/>
      <c r="BL40" s="298"/>
      <c r="BM40" s="299"/>
      <c r="BN40" s="664"/>
      <c r="BO40" s="335">
        <f>SUM(BN41:BN43)</f>
        <v>138439679</v>
      </c>
      <c r="BP40" s="703"/>
      <c r="BQ40" s="760">
        <f t="shared" si="12"/>
        <v>0</v>
      </c>
      <c r="BR40" s="226"/>
      <c r="BS40" s="295" t="s">
        <v>8</v>
      </c>
      <c r="BT40" s="672" t="s">
        <v>229</v>
      </c>
      <c r="BU40" s="297"/>
      <c r="BV40" s="298"/>
      <c r="BW40" s="299"/>
      <c r="BX40" s="664"/>
      <c r="BY40" s="335">
        <f>SUM(BX41:BX43)</f>
        <v>140473690</v>
      </c>
      <c r="BZ40" s="703"/>
      <c r="CA40" s="760">
        <f t="shared" si="14"/>
        <v>0</v>
      </c>
      <c r="CB40" s="226"/>
      <c r="CC40" s="295" t="s">
        <v>8</v>
      </c>
      <c r="CD40" s="672" t="s">
        <v>229</v>
      </c>
      <c r="CE40" s="297"/>
      <c r="CF40" s="298"/>
      <c r="CG40" s="299"/>
      <c r="CH40" s="664"/>
      <c r="CI40" s="335">
        <f>SUM(CH41:CH43)</f>
        <v>139194464</v>
      </c>
      <c r="CJ40" s="703"/>
      <c r="CK40" s="760">
        <f t="shared" si="16"/>
        <v>0</v>
      </c>
      <c r="CL40" s="226"/>
      <c r="CM40" s="295" t="s">
        <v>8</v>
      </c>
      <c r="CN40" s="316" t="s">
        <v>229</v>
      </c>
      <c r="CO40" s="297"/>
      <c r="CP40" s="298"/>
      <c r="CQ40" s="299"/>
      <c r="CR40" s="300"/>
      <c r="CS40" s="335">
        <f>SUM(CR41:CR43)</f>
        <v>94604490</v>
      </c>
      <c r="CT40" s="703"/>
      <c r="CU40" s="760">
        <f t="shared" si="18"/>
        <v>0</v>
      </c>
      <c r="CV40" s="226"/>
    </row>
    <row r="41" spans="1:100" s="208" customFormat="1" ht="286.5" outlineLevel="2" thickTop="1" thickBot="1">
      <c r="A41" s="325" t="s">
        <v>230</v>
      </c>
      <c r="B41" s="432" t="s">
        <v>231</v>
      </c>
      <c r="C41" s="326" t="s">
        <v>86</v>
      </c>
      <c r="D41" s="327">
        <v>294.27</v>
      </c>
      <c r="E41" s="435">
        <v>92800</v>
      </c>
      <c r="F41" s="428">
        <f>ROUND(D41*E41,0)</f>
        <v>27308256</v>
      </c>
      <c r="G41" s="927">
        <f>+G40/F81</f>
        <v>0.33739616583255055</v>
      </c>
      <c r="H41" s="704"/>
      <c r="I41" s="760">
        <f t="shared" si="0"/>
        <v>27308256</v>
      </c>
      <c r="J41" s="226">
        <f>+IF(E41=0,1,0)</f>
        <v>0</v>
      </c>
      <c r="K41" s="325" t="s">
        <v>230</v>
      </c>
      <c r="L41" s="332" t="s">
        <v>231</v>
      </c>
      <c r="M41" s="326" t="s">
        <v>86</v>
      </c>
      <c r="N41" s="327">
        <v>294.27</v>
      </c>
      <c r="O41" s="459">
        <v>72100</v>
      </c>
      <c r="P41" s="465">
        <f>ROUND(N41*O41,0)</f>
        <v>21216867</v>
      </c>
      <c r="Q41" s="927">
        <f>+Q40/P81</f>
        <v>0.23212267093605601</v>
      </c>
      <c r="R41" s="704"/>
      <c r="S41" s="760">
        <f t="shared" si="2"/>
        <v>21216867</v>
      </c>
      <c r="T41" s="226">
        <f>+IF(O41=0,1,0)</f>
        <v>0</v>
      </c>
      <c r="U41" s="513" t="s">
        <v>230</v>
      </c>
      <c r="V41" s="1033" t="s">
        <v>647</v>
      </c>
      <c r="W41" s="1027" t="s">
        <v>86</v>
      </c>
      <c r="X41" s="1028">
        <v>294.27</v>
      </c>
      <c r="Y41" s="522">
        <v>81720</v>
      </c>
      <c r="Z41" s="515">
        <f>ROUND(X41*Y41,0)</f>
        <v>24047744</v>
      </c>
      <c r="AA41" s="499">
        <f>+AA40/Z81</f>
        <v>0.31098708731472985</v>
      </c>
      <c r="AB41" s="704"/>
      <c r="AC41" s="760">
        <f t="shared" si="4"/>
        <v>24047744</v>
      </c>
      <c r="AD41" s="226">
        <f>+IF(Y41=0,1,0)</f>
        <v>0</v>
      </c>
      <c r="AE41" s="614" t="s">
        <v>230</v>
      </c>
      <c r="AF41" s="622" t="s">
        <v>496</v>
      </c>
      <c r="AG41" s="615" t="s">
        <v>86</v>
      </c>
      <c r="AH41" s="616">
        <v>294.27</v>
      </c>
      <c r="AI41" s="625">
        <v>90000</v>
      </c>
      <c r="AJ41" s="618">
        <f>ROUND(AH41*AI41,0)</f>
        <v>26484300</v>
      </c>
      <c r="AK41" s="927">
        <f>+AK40/AJ81</f>
        <v>0.32828175874927024</v>
      </c>
      <c r="AL41" s="704"/>
      <c r="AM41" s="760">
        <f t="shared" si="6"/>
        <v>26484300</v>
      </c>
      <c r="AN41" s="226">
        <f>+IF(AI41=0,1,0)</f>
        <v>0</v>
      </c>
      <c r="AO41" s="325" t="s">
        <v>230</v>
      </c>
      <c r="AP41" s="332" t="s">
        <v>231</v>
      </c>
      <c r="AQ41" s="326" t="s">
        <v>86</v>
      </c>
      <c r="AR41" s="327">
        <v>294.27</v>
      </c>
      <c r="AS41" s="336">
        <v>90700</v>
      </c>
      <c r="AT41" s="675">
        <f>ROUND(AR41*AS41,0)</f>
        <v>26690289</v>
      </c>
      <c r="AU41" s="955">
        <f>+AU40/AT81</f>
        <v>0.37662978141317083</v>
      </c>
      <c r="AV41" s="704"/>
      <c r="AW41" s="760">
        <f t="shared" si="8"/>
        <v>26690289</v>
      </c>
      <c r="AX41" s="226">
        <f>+IF(AS41=0,1,0)</f>
        <v>0</v>
      </c>
      <c r="AY41" s="325" t="s">
        <v>230</v>
      </c>
      <c r="AZ41" s="332" t="s">
        <v>231</v>
      </c>
      <c r="BA41" s="326" t="s">
        <v>86</v>
      </c>
      <c r="BB41" s="327">
        <v>294.27</v>
      </c>
      <c r="BC41" s="725">
        <v>90000</v>
      </c>
      <c r="BD41" s="724">
        <f>ROUND(BB41*BC41,0)</f>
        <v>26484300</v>
      </c>
      <c r="BE41" s="927">
        <f>+BE40/BD81</f>
        <v>0.30954659652780486</v>
      </c>
      <c r="BF41" s="704"/>
      <c r="BG41" s="760">
        <f t="shared" si="10"/>
        <v>26484300</v>
      </c>
      <c r="BH41" s="226">
        <f>+IF(BC41=0,1,0)</f>
        <v>0</v>
      </c>
      <c r="BI41" s="325" t="s">
        <v>230</v>
      </c>
      <c r="BJ41" s="332" t="s">
        <v>231</v>
      </c>
      <c r="BK41" s="326" t="s">
        <v>86</v>
      </c>
      <c r="BL41" s="327">
        <v>294.27</v>
      </c>
      <c r="BM41" s="336">
        <v>90000</v>
      </c>
      <c r="BN41" s="675">
        <f>ROUND(BL41*BM41,0)</f>
        <v>26484300</v>
      </c>
      <c r="BO41" s="927">
        <f>+BO40/BN81</f>
        <v>0.3728682801123589</v>
      </c>
      <c r="BP41" s="704"/>
      <c r="BQ41" s="760">
        <f t="shared" si="12"/>
        <v>26484300</v>
      </c>
      <c r="BR41" s="226">
        <f>+IF(BM41=0,1,0)</f>
        <v>0</v>
      </c>
      <c r="BS41" s="325" t="s">
        <v>230</v>
      </c>
      <c r="BT41" s="332" t="s">
        <v>231</v>
      </c>
      <c r="BU41" s="326" t="s">
        <v>86</v>
      </c>
      <c r="BV41" s="327">
        <v>294.27</v>
      </c>
      <c r="BW41" s="336">
        <v>91200</v>
      </c>
      <c r="BX41" s="675">
        <f>ROUND(BV41*BW41,0)</f>
        <v>26837424</v>
      </c>
      <c r="BY41" s="927">
        <f>+BY40/BX81</f>
        <v>0.37496397235948287</v>
      </c>
      <c r="BZ41" s="704"/>
      <c r="CA41" s="760">
        <f t="shared" si="14"/>
        <v>26837424</v>
      </c>
      <c r="CB41" s="226">
        <f>+IF(BW41=0,1,0)</f>
        <v>0</v>
      </c>
      <c r="CC41" s="325" t="s">
        <v>230</v>
      </c>
      <c r="CD41" s="332" t="s">
        <v>231</v>
      </c>
      <c r="CE41" s="326" t="s">
        <v>86</v>
      </c>
      <c r="CF41" s="1025">
        <v>294.27</v>
      </c>
      <c r="CG41" s="336">
        <v>90800</v>
      </c>
      <c r="CH41" s="675">
        <f>ROUND(CF41*CG41,0)</f>
        <v>26719716</v>
      </c>
      <c r="CI41" s="927">
        <f>+CI40/CH81</f>
        <v>0.37354244395456221</v>
      </c>
      <c r="CJ41" s="704"/>
      <c r="CK41" s="760">
        <f t="shared" si="16"/>
        <v>26719716</v>
      </c>
      <c r="CL41" s="226">
        <f>+IF(CG41=0,1,0)</f>
        <v>0</v>
      </c>
      <c r="CM41" s="325" t="s">
        <v>230</v>
      </c>
      <c r="CN41" s="332" t="s">
        <v>231</v>
      </c>
      <c r="CO41" s="326" t="s">
        <v>86</v>
      </c>
      <c r="CP41" s="327">
        <v>294.27</v>
      </c>
      <c r="CQ41" s="336">
        <v>65000</v>
      </c>
      <c r="CR41" s="465">
        <f>ROUND(CP41*CQ41,0)</f>
        <v>19127550</v>
      </c>
      <c r="CS41" s="927">
        <f>+CS40/CR81</f>
        <v>0.2617510344098069</v>
      </c>
      <c r="CT41" s="704"/>
      <c r="CU41" s="760">
        <f t="shared" si="18"/>
        <v>19127550</v>
      </c>
      <c r="CV41" s="226">
        <f>+IF(CQ41=0,1,0)</f>
        <v>0</v>
      </c>
    </row>
    <row r="42" spans="1:100" s="208" customFormat="1" ht="226.5" outlineLevel="2" thickTop="1" thickBot="1">
      <c r="A42" s="325" t="s">
        <v>232</v>
      </c>
      <c r="B42" s="424" t="s">
        <v>233</v>
      </c>
      <c r="C42" s="326" t="s">
        <v>86</v>
      </c>
      <c r="D42" s="327">
        <v>854.75</v>
      </c>
      <c r="E42" s="435">
        <v>92600</v>
      </c>
      <c r="F42" s="428">
        <f t="shared" ref="F42:F43" si="87">ROUND(D42*E42,0)</f>
        <v>79149850</v>
      </c>
      <c r="G42" s="928"/>
      <c r="H42" s="704"/>
      <c r="I42" s="760">
        <f t="shared" si="0"/>
        <v>79149850</v>
      </c>
      <c r="J42" s="226">
        <f>+IF(E42=0,1,0)</f>
        <v>0</v>
      </c>
      <c r="K42" s="325" t="s">
        <v>232</v>
      </c>
      <c r="L42" s="318" t="s">
        <v>233</v>
      </c>
      <c r="M42" s="326" t="s">
        <v>86</v>
      </c>
      <c r="N42" s="327">
        <v>854.75</v>
      </c>
      <c r="O42" s="459">
        <v>57400</v>
      </c>
      <c r="P42" s="465">
        <f t="shared" ref="P42:P43" si="88">ROUND(N42*O42,0)</f>
        <v>49062650</v>
      </c>
      <c r="Q42" s="928"/>
      <c r="R42" s="704"/>
      <c r="S42" s="760">
        <f t="shared" si="2"/>
        <v>49062650</v>
      </c>
      <c r="T42" s="226">
        <f>+IF(O42=0,1,0)</f>
        <v>0</v>
      </c>
      <c r="U42" s="513" t="s">
        <v>232</v>
      </c>
      <c r="V42" s="537" t="s">
        <v>648</v>
      </c>
      <c r="W42" s="1027" t="s">
        <v>86</v>
      </c>
      <c r="X42" s="1028">
        <v>854.75</v>
      </c>
      <c r="Y42" s="522">
        <v>72580</v>
      </c>
      <c r="Z42" s="515">
        <f t="shared" ref="Z42:Z43" si="89">ROUND(X42*Y42,0)</f>
        <v>62037755</v>
      </c>
      <c r="AA42" s="502"/>
      <c r="AB42" s="704"/>
      <c r="AC42" s="760">
        <f t="shared" si="4"/>
        <v>62037755</v>
      </c>
      <c r="AD42" s="226">
        <f>+IF(Y42=0,1,0)</f>
        <v>0</v>
      </c>
      <c r="AE42" s="614" t="s">
        <v>232</v>
      </c>
      <c r="AF42" s="606" t="s">
        <v>497</v>
      </c>
      <c r="AG42" s="615" t="s">
        <v>86</v>
      </c>
      <c r="AH42" s="616">
        <v>854.75</v>
      </c>
      <c r="AI42" s="625">
        <v>90000</v>
      </c>
      <c r="AJ42" s="618">
        <f t="shared" ref="AJ42:AJ43" si="90">ROUND(AH42*AI42,0)</f>
        <v>76927500</v>
      </c>
      <c r="AK42" s="928"/>
      <c r="AL42" s="704"/>
      <c r="AM42" s="760">
        <f t="shared" si="6"/>
        <v>76927500</v>
      </c>
      <c r="AN42" s="226">
        <f>+IF(AI42=0,1,0)</f>
        <v>0</v>
      </c>
      <c r="AO42" s="325" t="s">
        <v>232</v>
      </c>
      <c r="AP42" s="673" t="s">
        <v>233</v>
      </c>
      <c r="AQ42" s="326" t="s">
        <v>86</v>
      </c>
      <c r="AR42" s="327">
        <v>854.75</v>
      </c>
      <c r="AS42" s="336">
        <v>98900</v>
      </c>
      <c r="AT42" s="675">
        <f t="shared" ref="AT42:AT43" si="91">ROUND(AR42*AS42,0)</f>
        <v>84534775</v>
      </c>
      <c r="AU42" s="956"/>
      <c r="AV42" s="704"/>
      <c r="AW42" s="760">
        <f t="shared" si="8"/>
        <v>84534775</v>
      </c>
      <c r="AX42" s="226">
        <f>+IF(AS42=0,1,0)</f>
        <v>0</v>
      </c>
      <c r="AY42" s="325" t="s">
        <v>232</v>
      </c>
      <c r="AZ42" s="318" t="s">
        <v>233</v>
      </c>
      <c r="BA42" s="326" t="s">
        <v>86</v>
      </c>
      <c r="BB42" s="327">
        <v>854.75</v>
      </c>
      <c r="BC42" s="725">
        <v>70000</v>
      </c>
      <c r="BD42" s="724">
        <f t="shared" ref="BD42:BD43" si="92">ROUND(BB42*BC42,0)</f>
        <v>59832500</v>
      </c>
      <c r="BE42" s="928"/>
      <c r="BF42" s="704"/>
      <c r="BG42" s="760">
        <f t="shared" si="10"/>
        <v>59832500</v>
      </c>
      <c r="BH42" s="226">
        <f>+IF(BC42=0,1,0)</f>
        <v>0</v>
      </c>
      <c r="BI42" s="325" t="s">
        <v>232</v>
      </c>
      <c r="BJ42" s="673" t="s">
        <v>233</v>
      </c>
      <c r="BK42" s="326" t="s">
        <v>86</v>
      </c>
      <c r="BL42" s="327">
        <v>854.75</v>
      </c>
      <c r="BM42" s="336">
        <v>98500</v>
      </c>
      <c r="BN42" s="675">
        <f t="shared" ref="BN42:BN43" si="93">ROUND(BL42*BM42,0)</f>
        <v>84192875</v>
      </c>
      <c r="BO42" s="928"/>
      <c r="BP42" s="704"/>
      <c r="BQ42" s="760">
        <f t="shared" si="12"/>
        <v>84192875</v>
      </c>
      <c r="BR42" s="226">
        <f>+IF(BM42=0,1,0)</f>
        <v>0</v>
      </c>
      <c r="BS42" s="325" t="s">
        <v>232</v>
      </c>
      <c r="BT42" s="673" t="s">
        <v>233</v>
      </c>
      <c r="BU42" s="326" t="s">
        <v>86</v>
      </c>
      <c r="BV42" s="327">
        <v>854.75</v>
      </c>
      <c r="BW42" s="336">
        <v>99800</v>
      </c>
      <c r="BX42" s="675">
        <f t="shared" ref="BX42:BX43" si="94">ROUND(BV42*BW42,0)</f>
        <v>85304050</v>
      </c>
      <c r="BY42" s="928"/>
      <c r="BZ42" s="704"/>
      <c r="CA42" s="760">
        <f t="shared" si="14"/>
        <v>85304050</v>
      </c>
      <c r="CB42" s="226">
        <f>+IF(BW42=0,1,0)</f>
        <v>0</v>
      </c>
      <c r="CC42" s="325" t="s">
        <v>232</v>
      </c>
      <c r="CD42" s="673" t="s">
        <v>233</v>
      </c>
      <c r="CE42" s="326" t="s">
        <v>86</v>
      </c>
      <c r="CF42" s="1025">
        <v>854.75</v>
      </c>
      <c r="CG42" s="336">
        <v>98800</v>
      </c>
      <c r="CH42" s="675">
        <f t="shared" ref="CH42:CH43" si="95">ROUND(CF42*CG42,0)</f>
        <v>84449300</v>
      </c>
      <c r="CI42" s="928"/>
      <c r="CJ42" s="704"/>
      <c r="CK42" s="760">
        <f t="shared" si="16"/>
        <v>84449300</v>
      </c>
      <c r="CL42" s="226">
        <f>+IF(CG42=0,1,0)</f>
        <v>0</v>
      </c>
      <c r="CM42" s="325" t="s">
        <v>232</v>
      </c>
      <c r="CN42" s="356" t="s">
        <v>233</v>
      </c>
      <c r="CO42" s="326" t="s">
        <v>86</v>
      </c>
      <c r="CP42" s="327">
        <v>854.75</v>
      </c>
      <c r="CQ42" s="336">
        <v>66000</v>
      </c>
      <c r="CR42" s="465">
        <f t="shared" ref="CR42:CR43" si="96">ROUND(CP42*CQ42,0)</f>
        <v>56413500</v>
      </c>
      <c r="CS42" s="928"/>
      <c r="CT42" s="704"/>
      <c r="CU42" s="760">
        <f t="shared" si="18"/>
        <v>56413500</v>
      </c>
      <c r="CV42" s="226">
        <f>+IF(CQ42=0,1,0)</f>
        <v>0</v>
      </c>
    </row>
    <row r="43" spans="1:100" s="208" customFormat="1" ht="106.5" outlineLevel="2" thickTop="1" thickBot="1">
      <c r="A43" s="325" t="s">
        <v>234</v>
      </c>
      <c r="B43" s="436" t="s">
        <v>235</v>
      </c>
      <c r="C43" s="326" t="s">
        <v>86</v>
      </c>
      <c r="D43" s="327">
        <v>219.12</v>
      </c>
      <c r="E43" s="435">
        <v>75600</v>
      </c>
      <c r="F43" s="428">
        <f t="shared" si="87"/>
        <v>16565472</v>
      </c>
      <c r="G43" s="929"/>
      <c r="H43" s="704"/>
      <c r="I43" s="760">
        <f t="shared" si="0"/>
        <v>16565472</v>
      </c>
      <c r="J43" s="226">
        <f>+IF(E43=0,1,0)</f>
        <v>0</v>
      </c>
      <c r="K43" s="325" t="s">
        <v>234</v>
      </c>
      <c r="L43" s="337" t="s">
        <v>235</v>
      </c>
      <c r="M43" s="326" t="s">
        <v>86</v>
      </c>
      <c r="N43" s="327">
        <v>219.12</v>
      </c>
      <c r="O43" s="459">
        <v>67800</v>
      </c>
      <c r="P43" s="465">
        <f t="shared" si="88"/>
        <v>14856336</v>
      </c>
      <c r="Q43" s="929"/>
      <c r="R43" s="704"/>
      <c r="S43" s="760">
        <f t="shared" si="2"/>
        <v>14856336</v>
      </c>
      <c r="T43" s="226">
        <f t="shared" ref="T43" si="97">+IF(O43=0,1,0)</f>
        <v>0</v>
      </c>
      <c r="U43" s="513" t="s">
        <v>234</v>
      </c>
      <c r="V43" s="537" t="s">
        <v>649</v>
      </c>
      <c r="W43" s="1027" t="s">
        <v>86</v>
      </c>
      <c r="X43" s="1028">
        <v>219.12</v>
      </c>
      <c r="Y43" s="522">
        <v>120680</v>
      </c>
      <c r="Z43" s="515">
        <f t="shared" si="89"/>
        <v>26443402</v>
      </c>
      <c r="AA43" s="509"/>
      <c r="AB43" s="704"/>
      <c r="AC43" s="760">
        <f t="shared" si="4"/>
        <v>26443402</v>
      </c>
      <c r="AD43" s="226">
        <f t="shared" ref="AD43" si="98">+IF(Y43=0,1,0)</f>
        <v>0</v>
      </c>
      <c r="AE43" s="614" t="s">
        <v>234</v>
      </c>
      <c r="AF43" s="626" t="s">
        <v>498</v>
      </c>
      <c r="AG43" s="615" t="s">
        <v>86</v>
      </c>
      <c r="AH43" s="616">
        <v>219.12</v>
      </c>
      <c r="AI43" s="625">
        <v>75000</v>
      </c>
      <c r="AJ43" s="618">
        <f t="shared" si="90"/>
        <v>16434000</v>
      </c>
      <c r="AK43" s="929"/>
      <c r="AL43" s="704"/>
      <c r="AM43" s="760">
        <f t="shared" si="6"/>
        <v>16434000</v>
      </c>
      <c r="AN43" s="226">
        <f t="shared" ref="AN43" si="99">+IF(AI43=0,1,0)</f>
        <v>0</v>
      </c>
      <c r="AO43" s="325" t="s">
        <v>234</v>
      </c>
      <c r="AP43" s="337" t="s">
        <v>235</v>
      </c>
      <c r="AQ43" s="326" t="s">
        <v>86</v>
      </c>
      <c r="AR43" s="327">
        <v>219.12</v>
      </c>
      <c r="AS43" s="336">
        <v>130900</v>
      </c>
      <c r="AT43" s="675">
        <f t="shared" si="91"/>
        <v>28682808</v>
      </c>
      <c r="AU43" s="957"/>
      <c r="AV43" s="704"/>
      <c r="AW43" s="760">
        <f t="shared" si="8"/>
        <v>28682808</v>
      </c>
      <c r="AX43" s="226">
        <f t="shared" ref="AX43" si="100">+IF(AS43=0,1,0)</f>
        <v>0</v>
      </c>
      <c r="AY43" s="325" t="s">
        <v>234</v>
      </c>
      <c r="AZ43" s="337" t="s">
        <v>235</v>
      </c>
      <c r="BA43" s="326" t="s">
        <v>86</v>
      </c>
      <c r="BB43" s="327">
        <v>219.12</v>
      </c>
      <c r="BC43" s="725">
        <v>104000</v>
      </c>
      <c r="BD43" s="724">
        <f t="shared" si="92"/>
        <v>22788480</v>
      </c>
      <c r="BE43" s="929"/>
      <c r="BF43" s="704"/>
      <c r="BG43" s="760">
        <f t="shared" si="10"/>
        <v>22788480</v>
      </c>
      <c r="BH43" s="226">
        <f t="shared" ref="BH43" si="101">+IF(BC43=0,1,0)</f>
        <v>0</v>
      </c>
      <c r="BI43" s="325" t="s">
        <v>234</v>
      </c>
      <c r="BJ43" s="337" t="s">
        <v>235</v>
      </c>
      <c r="BK43" s="326" t="s">
        <v>86</v>
      </c>
      <c r="BL43" s="327">
        <v>219.12</v>
      </c>
      <c r="BM43" s="336">
        <v>126700</v>
      </c>
      <c r="BN43" s="675">
        <f t="shared" si="93"/>
        <v>27762504</v>
      </c>
      <c r="BO43" s="929"/>
      <c r="BP43" s="704"/>
      <c r="BQ43" s="760">
        <f t="shared" si="12"/>
        <v>27762504</v>
      </c>
      <c r="BR43" s="226">
        <f t="shared" ref="BR43" si="102">+IF(BM43=0,1,0)</f>
        <v>0</v>
      </c>
      <c r="BS43" s="325" t="s">
        <v>234</v>
      </c>
      <c r="BT43" s="337" t="s">
        <v>235</v>
      </c>
      <c r="BU43" s="326" t="s">
        <v>86</v>
      </c>
      <c r="BV43" s="327">
        <v>219.12</v>
      </c>
      <c r="BW43" s="336">
        <v>129300</v>
      </c>
      <c r="BX43" s="675">
        <f t="shared" si="94"/>
        <v>28332216</v>
      </c>
      <c r="BY43" s="929"/>
      <c r="BZ43" s="704"/>
      <c r="CA43" s="760">
        <f t="shared" si="14"/>
        <v>28332216</v>
      </c>
      <c r="CB43" s="226">
        <f t="shared" ref="CB43" si="103">+IF(BW43=0,1,0)</f>
        <v>0</v>
      </c>
      <c r="CC43" s="325" t="s">
        <v>234</v>
      </c>
      <c r="CD43" s="337" t="s">
        <v>235</v>
      </c>
      <c r="CE43" s="326" t="s">
        <v>86</v>
      </c>
      <c r="CF43" s="1025">
        <v>219.12</v>
      </c>
      <c r="CG43" s="336">
        <v>127900</v>
      </c>
      <c r="CH43" s="675">
        <f t="shared" si="95"/>
        <v>28025448</v>
      </c>
      <c r="CI43" s="929"/>
      <c r="CJ43" s="704"/>
      <c r="CK43" s="760">
        <f t="shared" si="16"/>
        <v>28025448</v>
      </c>
      <c r="CL43" s="226">
        <f t="shared" ref="CL43" si="104">+IF(CG43=0,1,0)</f>
        <v>0</v>
      </c>
      <c r="CM43" s="325" t="s">
        <v>234</v>
      </c>
      <c r="CN43" s="750" t="s">
        <v>235</v>
      </c>
      <c r="CO43" s="326" t="s">
        <v>86</v>
      </c>
      <c r="CP43" s="327">
        <v>219.12</v>
      </c>
      <c r="CQ43" s="336">
        <v>87000</v>
      </c>
      <c r="CR43" s="465">
        <f t="shared" si="96"/>
        <v>19063440</v>
      </c>
      <c r="CS43" s="929"/>
      <c r="CT43" s="704"/>
      <c r="CU43" s="760">
        <f t="shared" si="18"/>
        <v>19063440</v>
      </c>
      <c r="CV43" s="226">
        <f t="shared" ref="CV43" si="105">+IF(CQ43=0,1,0)</f>
        <v>0</v>
      </c>
    </row>
    <row r="44" spans="1:100" s="208" customFormat="1" ht="24.75" outlineLevel="2" thickTop="1" thickBot="1">
      <c r="A44" s="295" t="s">
        <v>30</v>
      </c>
      <c r="B44" s="421" t="s">
        <v>236</v>
      </c>
      <c r="C44" s="297"/>
      <c r="D44" s="298"/>
      <c r="E44" s="422"/>
      <c r="F44" s="423"/>
      <c r="G44" s="338">
        <f>SUM(F45:F48)</f>
        <v>15150682</v>
      </c>
      <c r="H44" s="703"/>
      <c r="I44" s="760">
        <f t="shared" ref="I44:I80" si="106">ROUND(D44*E44,0)</f>
        <v>0</v>
      </c>
      <c r="J44" s="226"/>
      <c r="K44" s="295" t="s">
        <v>30</v>
      </c>
      <c r="L44" s="316" t="s">
        <v>236</v>
      </c>
      <c r="M44" s="297"/>
      <c r="N44" s="298"/>
      <c r="O44" s="299"/>
      <c r="P44" s="464"/>
      <c r="Q44" s="338">
        <f>SUM(P45:P48)</f>
        <v>14431000</v>
      </c>
      <c r="R44" s="703"/>
      <c r="S44" s="760">
        <f t="shared" ref="S44:S80" si="107">ROUND(N44*O44,0)</f>
        <v>0</v>
      </c>
      <c r="T44" s="226"/>
      <c r="U44" s="487" t="s">
        <v>30</v>
      </c>
      <c r="V44" s="510" t="s">
        <v>236</v>
      </c>
      <c r="W44" s="489"/>
      <c r="X44" s="490"/>
      <c r="Y44" s="491"/>
      <c r="Z44" s="492"/>
      <c r="AA44" s="523">
        <f>SUM(Z45:Z48)</f>
        <v>20812211</v>
      </c>
      <c r="AB44" s="703"/>
      <c r="AC44" s="760">
        <f t="shared" ref="AC44:AC80" si="108">ROUND(X44*Y44,0)</f>
        <v>0</v>
      </c>
      <c r="AD44" s="226"/>
      <c r="AE44" s="599" t="s">
        <v>30</v>
      </c>
      <c r="AF44" s="600" t="s">
        <v>236</v>
      </c>
      <c r="AG44" s="601"/>
      <c r="AH44" s="602"/>
      <c r="AI44" s="603"/>
      <c r="AJ44" s="604"/>
      <c r="AK44" s="338">
        <f>SUM(AJ45:AJ48)</f>
        <v>15279584</v>
      </c>
      <c r="AL44" s="703"/>
      <c r="AM44" s="760">
        <f t="shared" ref="AM44:AM80" si="109">ROUND(AH44*AI44,0)</f>
        <v>0</v>
      </c>
      <c r="AN44" s="226"/>
      <c r="AO44" s="295" t="s">
        <v>30</v>
      </c>
      <c r="AP44" s="672" t="s">
        <v>236</v>
      </c>
      <c r="AQ44" s="297"/>
      <c r="AR44" s="298"/>
      <c r="AS44" s="299"/>
      <c r="AT44" s="664"/>
      <c r="AU44" s="701">
        <f>SUM(AT45:AT48)</f>
        <v>21322303</v>
      </c>
      <c r="AV44" s="703"/>
      <c r="AW44" s="760">
        <f t="shared" ref="AW44:AW80" si="110">ROUND(AR44*AS44,0)</f>
        <v>0</v>
      </c>
      <c r="AX44" s="226"/>
      <c r="AY44" s="295" t="s">
        <v>30</v>
      </c>
      <c r="AZ44" s="316" t="s">
        <v>236</v>
      </c>
      <c r="BA44" s="297"/>
      <c r="BB44" s="298"/>
      <c r="BC44" s="720">
        <v>0</v>
      </c>
      <c r="BD44" s="721"/>
      <c r="BE44" s="338">
        <f>SUM(BD45:BD48)</f>
        <v>19691424</v>
      </c>
      <c r="BF44" s="703"/>
      <c r="BG44" s="760">
        <f t="shared" ref="BG44:BG80" si="111">ROUND(BB44*BC44,0)</f>
        <v>0</v>
      </c>
      <c r="BH44" s="226"/>
      <c r="BI44" s="295" t="s">
        <v>30</v>
      </c>
      <c r="BJ44" s="672" t="s">
        <v>236</v>
      </c>
      <c r="BK44" s="297"/>
      <c r="BL44" s="298"/>
      <c r="BM44" s="299"/>
      <c r="BN44" s="664"/>
      <c r="BO44" s="338">
        <f>SUM(BN45:BN48)</f>
        <v>21163121</v>
      </c>
      <c r="BP44" s="703"/>
      <c r="BQ44" s="760">
        <f t="shared" ref="BQ44:BQ80" si="112">ROUND(BL44*BM44,0)</f>
        <v>0</v>
      </c>
      <c r="BR44" s="226"/>
      <c r="BS44" s="295" t="s">
        <v>30</v>
      </c>
      <c r="BT44" s="672" t="s">
        <v>236</v>
      </c>
      <c r="BU44" s="297"/>
      <c r="BV44" s="298"/>
      <c r="BW44" s="299"/>
      <c r="BX44" s="664"/>
      <c r="BY44" s="338">
        <f>SUM(BX45:BX48)</f>
        <v>21167830</v>
      </c>
      <c r="BZ44" s="703"/>
      <c r="CA44" s="760">
        <f t="shared" ref="CA44:CA80" si="113">ROUND(BV44*BW44,0)</f>
        <v>0</v>
      </c>
      <c r="CB44" s="226"/>
      <c r="CC44" s="295" t="s">
        <v>30</v>
      </c>
      <c r="CD44" s="672" t="s">
        <v>236</v>
      </c>
      <c r="CE44" s="297"/>
      <c r="CF44" s="298"/>
      <c r="CG44" s="299"/>
      <c r="CH44" s="664"/>
      <c r="CI44" s="338">
        <f>SUM(CH45:CH48)</f>
        <v>20944469</v>
      </c>
      <c r="CJ44" s="703"/>
      <c r="CK44" s="760">
        <f t="shared" ref="CK44:CK80" si="114">ROUND(CF44*CG44,0)</f>
        <v>0</v>
      </c>
      <c r="CL44" s="226"/>
      <c r="CM44" s="295" t="s">
        <v>30</v>
      </c>
      <c r="CN44" s="316" t="s">
        <v>236</v>
      </c>
      <c r="CO44" s="297"/>
      <c r="CP44" s="298"/>
      <c r="CQ44" s="299"/>
      <c r="CR44" s="300"/>
      <c r="CS44" s="338">
        <f>SUM(CR45:CR48)</f>
        <v>23337446</v>
      </c>
      <c r="CT44" s="703"/>
      <c r="CU44" s="760">
        <f t="shared" ref="CU44:CU80" si="115">ROUND(CP44*CQ44,0)</f>
        <v>0</v>
      </c>
      <c r="CV44" s="226"/>
    </row>
    <row r="45" spans="1:100" s="208" customFormat="1" ht="91.5" outlineLevel="2" thickTop="1" thickBot="1">
      <c r="A45" s="339" t="s">
        <v>237</v>
      </c>
      <c r="B45" s="437" t="s">
        <v>238</v>
      </c>
      <c r="C45" s="326" t="s">
        <v>86</v>
      </c>
      <c r="D45" s="315">
        <v>155.69999999999999</v>
      </c>
      <c r="E45" s="435">
        <v>43500</v>
      </c>
      <c r="F45" s="438">
        <f>ROUND(D45*E45,0)</f>
        <v>6772950</v>
      </c>
      <c r="G45" s="927">
        <f>+G44/F81</f>
        <v>4.1551238385768935E-2</v>
      </c>
      <c r="H45" s="704"/>
      <c r="I45" s="760">
        <f t="shared" si="106"/>
        <v>6772950</v>
      </c>
      <c r="J45" s="226">
        <f>+IF(E45=0,1,0)</f>
        <v>0</v>
      </c>
      <c r="K45" s="339" t="s">
        <v>237</v>
      </c>
      <c r="L45" s="340" t="s">
        <v>238</v>
      </c>
      <c r="M45" s="326" t="s">
        <v>86</v>
      </c>
      <c r="N45" s="315">
        <v>155.69999999999999</v>
      </c>
      <c r="O45" s="459">
        <v>52000</v>
      </c>
      <c r="P45" s="466">
        <f>ROUND(N45*O45,0)</f>
        <v>8096400</v>
      </c>
      <c r="Q45" s="927">
        <f>+Q44/P81</f>
        <v>3.934608212920853E-2</v>
      </c>
      <c r="R45" s="704"/>
      <c r="S45" s="760">
        <f t="shared" si="107"/>
        <v>8096400</v>
      </c>
      <c r="T45" s="226">
        <f t="shared" ref="T45:T48" si="116">+IF(O45=0,1,0)</f>
        <v>0</v>
      </c>
      <c r="U45" s="524" t="s">
        <v>237</v>
      </c>
      <c r="V45" s="1034" t="s">
        <v>443</v>
      </c>
      <c r="W45" s="1027" t="s">
        <v>86</v>
      </c>
      <c r="X45" s="1035">
        <v>155.69999999999999</v>
      </c>
      <c r="Y45" s="522">
        <v>68823</v>
      </c>
      <c r="Z45" s="508">
        <f>ROUND(X45*Y45,0)</f>
        <v>10715741</v>
      </c>
      <c r="AA45" s="499">
        <f>+AA44/Z81</f>
        <v>5.7517036263151466E-2</v>
      </c>
      <c r="AB45" s="704"/>
      <c r="AC45" s="760">
        <f t="shared" si="108"/>
        <v>10715741</v>
      </c>
      <c r="AD45" s="226">
        <f t="shared" ref="AD45:AD48" si="117">+IF(Y45=0,1,0)</f>
        <v>0</v>
      </c>
      <c r="AE45" s="627" t="s">
        <v>237</v>
      </c>
      <c r="AF45" s="628" t="s">
        <v>499</v>
      </c>
      <c r="AG45" s="615" t="s">
        <v>86</v>
      </c>
      <c r="AH45" s="598">
        <v>155.69999999999999</v>
      </c>
      <c r="AI45" s="625">
        <v>45000</v>
      </c>
      <c r="AJ45" s="629">
        <f>ROUND(AH45*AI45,0)</f>
        <v>7006500</v>
      </c>
      <c r="AK45" s="927">
        <f>+AK44/AJ81</f>
        <v>4.1853854774028039E-2</v>
      </c>
      <c r="AL45" s="704"/>
      <c r="AM45" s="760">
        <f t="shared" si="109"/>
        <v>7006500</v>
      </c>
      <c r="AN45" s="226">
        <f t="shared" ref="AN45:AN48" si="118">+IF(AI45=0,1,0)</f>
        <v>0</v>
      </c>
      <c r="AO45" s="339" t="s">
        <v>237</v>
      </c>
      <c r="AP45" s="679" t="s">
        <v>238</v>
      </c>
      <c r="AQ45" s="326" t="s">
        <v>86</v>
      </c>
      <c r="AR45" s="315">
        <v>155.69999999999999</v>
      </c>
      <c r="AS45" s="336">
        <v>90800</v>
      </c>
      <c r="AT45" s="680">
        <f>ROUND(AR45*AS45,0)</f>
        <v>14137560</v>
      </c>
      <c r="AU45" s="955">
        <f>+AU44/AT81</f>
        <v>5.7399302864926692E-2</v>
      </c>
      <c r="AV45" s="704"/>
      <c r="AW45" s="760">
        <f t="shared" si="110"/>
        <v>14137560</v>
      </c>
      <c r="AX45" s="226">
        <f t="shared" ref="AX45:AX48" si="119">+IF(AS45=0,1,0)</f>
        <v>0</v>
      </c>
      <c r="AY45" s="339" t="s">
        <v>237</v>
      </c>
      <c r="AZ45" s="340" t="s">
        <v>238</v>
      </c>
      <c r="BA45" s="326" t="s">
        <v>86</v>
      </c>
      <c r="BB45" s="315">
        <v>155.69999999999999</v>
      </c>
      <c r="BC45" s="725">
        <v>85200</v>
      </c>
      <c r="BD45" s="726">
        <f>ROUND(BB45*BC45,0)</f>
        <v>13265640</v>
      </c>
      <c r="BE45" s="927">
        <f>+BE44/BD81</f>
        <v>5.5867262152536824E-2</v>
      </c>
      <c r="BF45" s="704"/>
      <c r="BG45" s="760">
        <f t="shared" si="111"/>
        <v>13265640</v>
      </c>
      <c r="BH45" s="226">
        <f t="shared" ref="BH45:BH48" si="120">+IF(BC45=0,1,0)</f>
        <v>0</v>
      </c>
      <c r="BI45" s="339" t="s">
        <v>237</v>
      </c>
      <c r="BJ45" s="679" t="s">
        <v>238</v>
      </c>
      <c r="BK45" s="326" t="s">
        <v>86</v>
      </c>
      <c r="BL45" s="315">
        <v>155.69999999999999</v>
      </c>
      <c r="BM45" s="336">
        <v>90000</v>
      </c>
      <c r="BN45" s="680">
        <f>ROUND(BL45*BM45,0)</f>
        <v>14013000</v>
      </c>
      <c r="BO45" s="927">
        <f>+BO44/BN81</f>
        <v>5.6999962626897924E-2</v>
      </c>
      <c r="BP45" s="704"/>
      <c r="BQ45" s="760">
        <f t="shared" si="112"/>
        <v>14013000</v>
      </c>
      <c r="BR45" s="226">
        <f t="shared" ref="BR45:BR48" si="121">+IF(BM45=0,1,0)</f>
        <v>0</v>
      </c>
      <c r="BS45" s="339" t="s">
        <v>237</v>
      </c>
      <c r="BT45" s="679" t="s">
        <v>238</v>
      </c>
      <c r="BU45" s="326" t="s">
        <v>86</v>
      </c>
      <c r="BV45" s="315">
        <v>155.69999999999999</v>
      </c>
      <c r="BW45" s="336">
        <v>89900</v>
      </c>
      <c r="BX45" s="680">
        <f>ROUND(BV45*BW45,0)</f>
        <v>13997430</v>
      </c>
      <c r="BY45" s="927">
        <f>+BY44/BX81</f>
        <v>5.6502919678626175E-2</v>
      </c>
      <c r="BZ45" s="704"/>
      <c r="CA45" s="760">
        <f t="shared" si="113"/>
        <v>13997430</v>
      </c>
      <c r="CB45" s="226">
        <f t="shared" ref="CB45:CB48" si="122">+IF(BW45=0,1,0)</f>
        <v>0</v>
      </c>
      <c r="CC45" s="339" t="s">
        <v>237</v>
      </c>
      <c r="CD45" s="679" t="s">
        <v>238</v>
      </c>
      <c r="CE45" s="326" t="s">
        <v>86</v>
      </c>
      <c r="CF45" s="1026">
        <v>155.69999999999999</v>
      </c>
      <c r="CG45" s="336">
        <v>88430</v>
      </c>
      <c r="CH45" s="680">
        <f>ROUND(CF45*CG45,0)</f>
        <v>13768551</v>
      </c>
      <c r="CI45" s="927">
        <f>+CI44/CH81</f>
        <v>5.6206604147637403E-2</v>
      </c>
      <c r="CJ45" s="704"/>
      <c r="CK45" s="760">
        <f t="shared" si="114"/>
        <v>13768551</v>
      </c>
      <c r="CL45" s="226">
        <f t="shared" ref="CL45:CL48" si="123">+IF(CG45=0,1,0)</f>
        <v>0</v>
      </c>
      <c r="CM45" s="339" t="s">
        <v>237</v>
      </c>
      <c r="CN45" s="751" t="s">
        <v>238</v>
      </c>
      <c r="CO45" s="326" t="s">
        <v>86</v>
      </c>
      <c r="CP45" s="315">
        <v>155.69999999999999</v>
      </c>
      <c r="CQ45" s="336">
        <v>92200</v>
      </c>
      <c r="CR45" s="466">
        <f>ROUND(CP45*CQ45,0)</f>
        <v>14355540</v>
      </c>
      <c r="CS45" s="927">
        <f>+CS44/CR81</f>
        <v>6.4569880678845268E-2</v>
      </c>
      <c r="CT45" s="704"/>
      <c r="CU45" s="760">
        <f t="shared" si="115"/>
        <v>14355540</v>
      </c>
      <c r="CV45" s="226">
        <f t="shared" ref="CV45:CV48" si="124">+IF(CQ45=0,1,0)</f>
        <v>0</v>
      </c>
    </row>
    <row r="46" spans="1:100" s="208" customFormat="1" ht="91.5" outlineLevel="2" thickTop="1" thickBot="1">
      <c r="A46" s="339" t="s">
        <v>239</v>
      </c>
      <c r="B46" s="437" t="s">
        <v>240</v>
      </c>
      <c r="C46" s="326" t="s">
        <v>92</v>
      </c>
      <c r="D46" s="315">
        <v>58</v>
      </c>
      <c r="E46" s="435">
        <v>56200</v>
      </c>
      <c r="F46" s="438">
        <f t="shared" ref="F46:F48" si="125">ROUND(D46*E46,0)</f>
        <v>3259600</v>
      </c>
      <c r="G46" s="928"/>
      <c r="H46" s="704"/>
      <c r="I46" s="760">
        <f t="shared" si="106"/>
        <v>3259600</v>
      </c>
      <c r="J46" s="226">
        <f>+IF(E46=0,1,0)</f>
        <v>0</v>
      </c>
      <c r="K46" s="339" t="s">
        <v>239</v>
      </c>
      <c r="L46" s="340" t="s">
        <v>240</v>
      </c>
      <c r="M46" s="326" t="s">
        <v>92</v>
      </c>
      <c r="N46" s="315">
        <v>58</v>
      </c>
      <c r="O46" s="459">
        <v>37800</v>
      </c>
      <c r="P46" s="466">
        <f t="shared" ref="P46:P48" si="126">ROUND(N46*O46,0)</f>
        <v>2192400</v>
      </c>
      <c r="Q46" s="928"/>
      <c r="R46" s="704"/>
      <c r="S46" s="760">
        <f t="shared" si="107"/>
        <v>2192400</v>
      </c>
      <c r="T46" s="226">
        <f t="shared" si="116"/>
        <v>0</v>
      </c>
      <c r="U46" s="524" t="s">
        <v>239</v>
      </c>
      <c r="V46" s="1034" t="s">
        <v>444</v>
      </c>
      <c r="W46" s="1027" t="s">
        <v>92</v>
      </c>
      <c r="X46" s="1035">
        <v>58</v>
      </c>
      <c r="Y46" s="522">
        <v>85000</v>
      </c>
      <c r="Z46" s="508">
        <f t="shared" ref="Z46:Z48" si="127">ROUND(X46*Y46,0)</f>
        <v>4930000</v>
      </c>
      <c r="AA46" s="502"/>
      <c r="AB46" s="704"/>
      <c r="AC46" s="760">
        <f t="shared" si="108"/>
        <v>4930000</v>
      </c>
      <c r="AD46" s="226">
        <f t="shared" si="117"/>
        <v>0</v>
      </c>
      <c r="AE46" s="627" t="s">
        <v>239</v>
      </c>
      <c r="AF46" s="628" t="s">
        <v>500</v>
      </c>
      <c r="AG46" s="615" t="s">
        <v>92</v>
      </c>
      <c r="AH46" s="598">
        <v>58</v>
      </c>
      <c r="AI46" s="625">
        <v>45000</v>
      </c>
      <c r="AJ46" s="629">
        <f t="shared" ref="AJ46:AJ48" si="128">ROUND(AH46*AI46,0)</f>
        <v>2610000</v>
      </c>
      <c r="AK46" s="928"/>
      <c r="AL46" s="704"/>
      <c r="AM46" s="760">
        <f t="shared" si="109"/>
        <v>2610000</v>
      </c>
      <c r="AN46" s="226">
        <f t="shared" si="118"/>
        <v>0</v>
      </c>
      <c r="AO46" s="339" t="s">
        <v>239</v>
      </c>
      <c r="AP46" s="679" t="s">
        <v>240</v>
      </c>
      <c r="AQ46" s="326" t="s">
        <v>92</v>
      </c>
      <c r="AR46" s="315">
        <v>58</v>
      </c>
      <c r="AS46" s="336">
        <v>46200</v>
      </c>
      <c r="AT46" s="680">
        <f t="shared" ref="AT46:AT48" si="129">ROUND(AR46*AS46,0)</f>
        <v>2679600</v>
      </c>
      <c r="AU46" s="956"/>
      <c r="AV46" s="704"/>
      <c r="AW46" s="760">
        <f t="shared" si="110"/>
        <v>2679600</v>
      </c>
      <c r="AX46" s="226">
        <f t="shared" si="119"/>
        <v>0</v>
      </c>
      <c r="AY46" s="339" t="s">
        <v>239</v>
      </c>
      <c r="AZ46" s="340" t="s">
        <v>240</v>
      </c>
      <c r="BA46" s="326" t="s">
        <v>92</v>
      </c>
      <c r="BB46" s="315">
        <v>58</v>
      </c>
      <c r="BC46" s="725">
        <v>31950</v>
      </c>
      <c r="BD46" s="726">
        <f t="shared" ref="BD46:BD48" si="130">ROUND(BB46*BC46,0)</f>
        <v>1853100</v>
      </c>
      <c r="BE46" s="928"/>
      <c r="BF46" s="704"/>
      <c r="BG46" s="760">
        <f t="shared" si="111"/>
        <v>1853100</v>
      </c>
      <c r="BH46" s="226">
        <f t="shared" si="120"/>
        <v>0</v>
      </c>
      <c r="BI46" s="339" t="s">
        <v>239</v>
      </c>
      <c r="BJ46" s="679" t="s">
        <v>240</v>
      </c>
      <c r="BK46" s="326" t="s">
        <v>92</v>
      </c>
      <c r="BL46" s="315">
        <v>58</v>
      </c>
      <c r="BM46" s="336">
        <v>47980</v>
      </c>
      <c r="BN46" s="680">
        <f t="shared" ref="BN46:BN48" si="131">ROUND(BL46*BM46,0)</f>
        <v>2782840</v>
      </c>
      <c r="BO46" s="928"/>
      <c r="BP46" s="704"/>
      <c r="BQ46" s="760">
        <f t="shared" si="112"/>
        <v>2782840</v>
      </c>
      <c r="BR46" s="226">
        <f t="shared" si="121"/>
        <v>0</v>
      </c>
      <c r="BS46" s="339" t="s">
        <v>239</v>
      </c>
      <c r="BT46" s="679" t="s">
        <v>240</v>
      </c>
      <c r="BU46" s="326" t="s">
        <v>92</v>
      </c>
      <c r="BV46" s="315">
        <v>58</v>
      </c>
      <c r="BW46" s="336">
        <v>47100</v>
      </c>
      <c r="BX46" s="680">
        <f t="shared" ref="BX46:BX48" si="132">ROUND(BV46*BW46,0)</f>
        <v>2731800</v>
      </c>
      <c r="BY46" s="928"/>
      <c r="BZ46" s="704"/>
      <c r="CA46" s="760">
        <f t="shared" si="113"/>
        <v>2731800</v>
      </c>
      <c r="CB46" s="226">
        <f t="shared" si="122"/>
        <v>0</v>
      </c>
      <c r="CC46" s="339" t="s">
        <v>239</v>
      </c>
      <c r="CD46" s="679" t="s">
        <v>240</v>
      </c>
      <c r="CE46" s="326" t="s">
        <v>92</v>
      </c>
      <c r="CF46" s="315">
        <v>58</v>
      </c>
      <c r="CG46" s="336">
        <v>48120</v>
      </c>
      <c r="CH46" s="680">
        <f t="shared" ref="CH46:CH48" si="133">ROUND(CF46*CG46,0)</f>
        <v>2790960</v>
      </c>
      <c r="CI46" s="928"/>
      <c r="CJ46" s="704"/>
      <c r="CK46" s="760">
        <f t="shared" si="114"/>
        <v>2790960</v>
      </c>
      <c r="CL46" s="226">
        <f t="shared" si="123"/>
        <v>0</v>
      </c>
      <c r="CM46" s="339" t="s">
        <v>239</v>
      </c>
      <c r="CN46" s="340" t="s">
        <v>240</v>
      </c>
      <c r="CO46" s="326" t="s">
        <v>92</v>
      </c>
      <c r="CP46" s="315">
        <v>58</v>
      </c>
      <c r="CQ46" s="336">
        <v>60400</v>
      </c>
      <c r="CR46" s="466">
        <f t="shared" ref="CR46:CR48" si="134">ROUND(CP46*CQ46,0)</f>
        <v>3503200</v>
      </c>
      <c r="CS46" s="928"/>
      <c r="CT46" s="704"/>
      <c r="CU46" s="760">
        <f t="shared" si="115"/>
        <v>3503200</v>
      </c>
      <c r="CV46" s="226">
        <f t="shared" si="124"/>
        <v>0</v>
      </c>
    </row>
    <row r="47" spans="1:100" s="208" customFormat="1" ht="61.5" outlineLevel="2" thickTop="1" thickBot="1">
      <c r="A47" s="339" t="s">
        <v>241</v>
      </c>
      <c r="B47" s="437" t="s">
        <v>242</v>
      </c>
      <c r="C47" s="326" t="s">
        <v>86</v>
      </c>
      <c r="D47" s="315">
        <v>78.28</v>
      </c>
      <c r="E47" s="435">
        <v>37500</v>
      </c>
      <c r="F47" s="438">
        <f t="shared" si="125"/>
        <v>2935500</v>
      </c>
      <c r="G47" s="928"/>
      <c r="H47" s="704"/>
      <c r="I47" s="760">
        <f t="shared" si="106"/>
        <v>2935500</v>
      </c>
      <c r="J47" s="226">
        <f>+IF(E47=0,1,0)</f>
        <v>0</v>
      </c>
      <c r="K47" s="339" t="s">
        <v>241</v>
      </c>
      <c r="L47" s="340" t="s">
        <v>242</v>
      </c>
      <c r="M47" s="326" t="s">
        <v>86</v>
      </c>
      <c r="N47" s="315">
        <v>78.28</v>
      </c>
      <c r="O47" s="459">
        <v>34000</v>
      </c>
      <c r="P47" s="466">
        <f t="shared" si="126"/>
        <v>2661520</v>
      </c>
      <c r="Q47" s="928"/>
      <c r="R47" s="704"/>
      <c r="S47" s="760">
        <f t="shared" si="107"/>
        <v>2661520</v>
      </c>
      <c r="T47" s="226">
        <f t="shared" si="116"/>
        <v>0</v>
      </c>
      <c r="U47" s="524" t="s">
        <v>241</v>
      </c>
      <c r="V47" s="1034" t="s">
        <v>445</v>
      </c>
      <c r="W47" s="1027" t="s">
        <v>86</v>
      </c>
      <c r="X47" s="1035">
        <v>78.28</v>
      </c>
      <c r="Y47" s="522">
        <v>35000</v>
      </c>
      <c r="Z47" s="508">
        <f t="shared" si="127"/>
        <v>2739800</v>
      </c>
      <c r="AA47" s="502"/>
      <c r="AB47" s="704"/>
      <c r="AC47" s="760">
        <f t="shared" si="108"/>
        <v>2739800</v>
      </c>
      <c r="AD47" s="226">
        <f t="shared" si="117"/>
        <v>0</v>
      </c>
      <c r="AE47" s="627" t="s">
        <v>241</v>
      </c>
      <c r="AF47" s="628" t="s">
        <v>501</v>
      </c>
      <c r="AG47" s="615" t="s">
        <v>86</v>
      </c>
      <c r="AH47" s="598">
        <v>78.28</v>
      </c>
      <c r="AI47" s="625">
        <v>42500</v>
      </c>
      <c r="AJ47" s="629">
        <f t="shared" si="128"/>
        <v>3326900</v>
      </c>
      <c r="AK47" s="928"/>
      <c r="AL47" s="704"/>
      <c r="AM47" s="760">
        <f t="shared" si="109"/>
        <v>3326900</v>
      </c>
      <c r="AN47" s="226">
        <f t="shared" si="118"/>
        <v>0</v>
      </c>
      <c r="AO47" s="339" t="s">
        <v>241</v>
      </c>
      <c r="AP47" s="679" t="s">
        <v>242</v>
      </c>
      <c r="AQ47" s="326" t="s">
        <v>86</v>
      </c>
      <c r="AR47" s="315">
        <v>78.28</v>
      </c>
      <c r="AS47" s="336">
        <v>31200</v>
      </c>
      <c r="AT47" s="680">
        <f t="shared" si="129"/>
        <v>2442336</v>
      </c>
      <c r="AU47" s="956"/>
      <c r="AV47" s="704"/>
      <c r="AW47" s="760">
        <f t="shared" si="110"/>
        <v>2442336</v>
      </c>
      <c r="AX47" s="226">
        <f t="shared" si="119"/>
        <v>0</v>
      </c>
      <c r="AY47" s="339" t="s">
        <v>241</v>
      </c>
      <c r="AZ47" s="340" t="s">
        <v>242</v>
      </c>
      <c r="BA47" s="326" t="s">
        <v>86</v>
      </c>
      <c r="BB47" s="315">
        <v>78.28</v>
      </c>
      <c r="BC47" s="725">
        <v>37275</v>
      </c>
      <c r="BD47" s="726">
        <f t="shared" si="130"/>
        <v>2917887</v>
      </c>
      <c r="BE47" s="928"/>
      <c r="BF47" s="704"/>
      <c r="BG47" s="760">
        <f t="shared" si="111"/>
        <v>2917887</v>
      </c>
      <c r="BH47" s="226">
        <f t="shared" si="120"/>
        <v>0</v>
      </c>
      <c r="BI47" s="339" t="s">
        <v>241</v>
      </c>
      <c r="BJ47" s="679" t="s">
        <v>242</v>
      </c>
      <c r="BK47" s="326" t="s">
        <v>86</v>
      </c>
      <c r="BL47" s="315">
        <v>78.28</v>
      </c>
      <c r="BM47" s="336">
        <v>28980</v>
      </c>
      <c r="BN47" s="680">
        <f t="shared" si="131"/>
        <v>2268554</v>
      </c>
      <c r="BO47" s="928"/>
      <c r="BP47" s="704"/>
      <c r="BQ47" s="760">
        <f t="shared" si="112"/>
        <v>2268554</v>
      </c>
      <c r="BR47" s="226">
        <f t="shared" si="121"/>
        <v>0</v>
      </c>
      <c r="BS47" s="339" t="s">
        <v>241</v>
      </c>
      <c r="BT47" s="679" t="s">
        <v>242</v>
      </c>
      <c r="BU47" s="326" t="s">
        <v>86</v>
      </c>
      <c r="BV47" s="315">
        <v>78.28</v>
      </c>
      <c r="BW47" s="336">
        <v>29800</v>
      </c>
      <c r="BX47" s="680">
        <f t="shared" si="132"/>
        <v>2332744</v>
      </c>
      <c r="BY47" s="928"/>
      <c r="BZ47" s="704"/>
      <c r="CA47" s="760">
        <f t="shared" si="113"/>
        <v>2332744</v>
      </c>
      <c r="CB47" s="226">
        <f t="shared" si="122"/>
        <v>0</v>
      </c>
      <c r="CC47" s="339" t="s">
        <v>241</v>
      </c>
      <c r="CD47" s="679" t="s">
        <v>242</v>
      </c>
      <c r="CE47" s="326" t="s">
        <v>86</v>
      </c>
      <c r="CF47" s="315">
        <v>78.28</v>
      </c>
      <c r="CG47" s="336">
        <v>29430</v>
      </c>
      <c r="CH47" s="680">
        <f t="shared" si="133"/>
        <v>2303780</v>
      </c>
      <c r="CI47" s="928"/>
      <c r="CJ47" s="704"/>
      <c r="CK47" s="760">
        <f t="shared" si="114"/>
        <v>2303780</v>
      </c>
      <c r="CL47" s="226">
        <f t="shared" si="123"/>
        <v>0</v>
      </c>
      <c r="CM47" s="339" t="s">
        <v>241</v>
      </c>
      <c r="CN47" s="340" t="s">
        <v>242</v>
      </c>
      <c r="CO47" s="326" t="s">
        <v>86</v>
      </c>
      <c r="CP47" s="315">
        <v>78.28</v>
      </c>
      <c r="CQ47" s="336">
        <v>40600</v>
      </c>
      <c r="CR47" s="466">
        <f t="shared" si="134"/>
        <v>3178168</v>
      </c>
      <c r="CS47" s="928"/>
      <c r="CT47" s="704"/>
      <c r="CU47" s="760">
        <f t="shared" si="115"/>
        <v>3178168</v>
      </c>
      <c r="CV47" s="226">
        <f t="shared" si="124"/>
        <v>0</v>
      </c>
    </row>
    <row r="48" spans="1:100" s="208" customFormat="1" ht="91.5" outlineLevel="2" thickTop="1" thickBot="1">
      <c r="A48" s="339" t="s">
        <v>243</v>
      </c>
      <c r="B48" s="437" t="s">
        <v>244</v>
      </c>
      <c r="C48" s="326" t="s">
        <v>86</v>
      </c>
      <c r="D48" s="315">
        <v>27.42</v>
      </c>
      <c r="E48" s="435">
        <v>79600</v>
      </c>
      <c r="F48" s="438">
        <f t="shared" si="125"/>
        <v>2182632</v>
      </c>
      <c r="G48" s="929"/>
      <c r="H48" s="704"/>
      <c r="I48" s="760">
        <f t="shared" si="106"/>
        <v>2182632</v>
      </c>
      <c r="J48" s="226">
        <f>+IF(E48=0,1,0)</f>
        <v>0</v>
      </c>
      <c r="K48" s="339" t="s">
        <v>243</v>
      </c>
      <c r="L48" s="340" t="s">
        <v>244</v>
      </c>
      <c r="M48" s="326" t="s">
        <v>86</v>
      </c>
      <c r="N48" s="315">
        <v>27.42</v>
      </c>
      <c r="O48" s="459">
        <v>54000</v>
      </c>
      <c r="P48" s="466">
        <f t="shared" si="126"/>
        <v>1480680</v>
      </c>
      <c r="Q48" s="929"/>
      <c r="R48" s="704"/>
      <c r="S48" s="760">
        <f t="shared" si="107"/>
        <v>1480680</v>
      </c>
      <c r="T48" s="226">
        <f t="shared" si="116"/>
        <v>0</v>
      </c>
      <c r="U48" s="524" t="s">
        <v>243</v>
      </c>
      <c r="V48" s="1034" t="s">
        <v>446</v>
      </c>
      <c r="W48" s="1027" t="s">
        <v>86</v>
      </c>
      <c r="X48" s="1035">
        <v>27.42</v>
      </c>
      <c r="Y48" s="522">
        <v>88500</v>
      </c>
      <c r="Z48" s="508">
        <f t="shared" si="127"/>
        <v>2426670</v>
      </c>
      <c r="AA48" s="509"/>
      <c r="AB48" s="704"/>
      <c r="AC48" s="760">
        <f t="shared" si="108"/>
        <v>2426670</v>
      </c>
      <c r="AD48" s="226">
        <f t="shared" si="117"/>
        <v>0</v>
      </c>
      <c r="AE48" s="627" t="s">
        <v>243</v>
      </c>
      <c r="AF48" s="628" t="s">
        <v>502</v>
      </c>
      <c r="AG48" s="615" t="s">
        <v>86</v>
      </c>
      <c r="AH48" s="598">
        <v>27.42</v>
      </c>
      <c r="AI48" s="625">
        <v>85200</v>
      </c>
      <c r="AJ48" s="629">
        <f t="shared" si="128"/>
        <v>2336184</v>
      </c>
      <c r="AK48" s="929"/>
      <c r="AL48" s="704"/>
      <c r="AM48" s="760">
        <f t="shared" si="109"/>
        <v>2336184</v>
      </c>
      <c r="AN48" s="226">
        <f t="shared" si="118"/>
        <v>0</v>
      </c>
      <c r="AO48" s="339" t="s">
        <v>243</v>
      </c>
      <c r="AP48" s="679" t="s">
        <v>244</v>
      </c>
      <c r="AQ48" s="326" t="s">
        <v>86</v>
      </c>
      <c r="AR48" s="315">
        <v>27.42</v>
      </c>
      <c r="AS48" s="336">
        <v>75230</v>
      </c>
      <c r="AT48" s="680">
        <f t="shared" si="129"/>
        <v>2062807</v>
      </c>
      <c r="AU48" s="957"/>
      <c r="AV48" s="704"/>
      <c r="AW48" s="760">
        <f t="shared" si="110"/>
        <v>2062807</v>
      </c>
      <c r="AX48" s="226">
        <f t="shared" si="119"/>
        <v>0</v>
      </c>
      <c r="AY48" s="339" t="s">
        <v>243</v>
      </c>
      <c r="AZ48" s="340" t="s">
        <v>244</v>
      </c>
      <c r="BA48" s="326" t="s">
        <v>86</v>
      </c>
      <c r="BB48" s="315">
        <v>27.42</v>
      </c>
      <c r="BC48" s="725">
        <v>60350</v>
      </c>
      <c r="BD48" s="726">
        <f t="shared" si="130"/>
        <v>1654797</v>
      </c>
      <c r="BE48" s="929"/>
      <c r="BF48" s="704"/>
      <c r="BG48" s="760">
        <f t="shared" si="111"/>
        <v>1654797</v>
      </c>
      <c r="BH48" s="226">
        <f t="shared" si="120"/>
        <v>0</v>
      </c>
      <c r="BI48" s="339" t="s">
        <v>243</v>
      </c>
      <c r="BJ48" s="679" t="s">
        <v>244</v>
      </c>
      <c r="BK48" s="326" t="s">
        <v>86</v>
      </c>
      <c r="BL48" s="315">
        <v>27.42</v>
      </c>
      <c r="BM48" s="336">
        <v>76540</v>
      </c>
      <c r="BN48" s="680">
        <f t="shared" si="131"/>
        <v>2098727</v>
      </c>
      <c r="BO48" s="929"/>
      <c r="BP48" s="704"/>
      <c r="BQ48" s="760">
        <f t="shared" si="112"/>
        <v>2098727</v>
      </c>
      <c r="BR48" s="226">
        <f t="shared" si="121"/>
        <v>0</v>
      </c>
      <c r="BS48" s="339" t="s">
        <v>243</v>
      </c>
      <c r="BT48" s="679" t="s">
        <v>244</v>
      </c>
      <c r="BU48" s="326" t="s">
        <v>86</v>
      </c>
      <c r="BV48" s="315">
        <v>27.42</v>
      </c>
      <c r="BW48" s="336">
        <v>76800</v>
      </c>
      <c r="BX48" s="680">
        <f t="shared" si="132"/>
        <v>2105856</v>
      </c>
      <c r="BY48" s="929"/>
      <c r="BZ48" s="704"/>
      <c r="CA48" s="760">
        <f t="shared" si="113"/>
        <v>2105856</v>
      </c>
      <c r="CB48" s="226">
        <f t="shared" si="122"/>
        <v>0</v>
      </c>
      <c r="CC48" s="339" t="s">
        <v>243</v>
      </c>
      <c r="CD48" s="679" t="s">
        <v>244</v>
      </c>
      <c r="CE48" s="326" t="s">
        <v>86</v>
      </c>
      <c r="CF48" s="315">
        <v>27.42</v>
      </c>
      <c r="CG48" s="336">
        <v>75900</v>
      </c>
      <c r="CH48" s="680">
        <f t="shared" si="133"/>
        <v>2081178</v>
      </c>
      <c r="CI48" s="929"/>
      <c r="CJ48" s="704"/>
      <c r="CK48" s="760">
        <f t="shared" si="114"/>
        <v>2081178</v>
      </c>
      <c r="CL48" s="226">
        <f t="shared" si="123"/>
        <v>0</v>
      </c>
      <c r="CM48" s="339" t="s">
        <v>243</v>
      </c>
      <c r="CN48" s="340" t="s">
        <v>244</v>
      </c>
      <c r="CO48" s="326" t="s">
        <v>86</v>
      </c>
      <c r="CP48" s="315">
        <v>27.42</v>
      </c>
      <c r="CQ48" s="336">
        <v>83900</v>
      </c>
      <c r="CR48" s="466">
        <f t="shared" si="134"/>
        <v>2300538</v>
      </c>
      <c r="CS48" s="929"/>
      <c r="CT48" s="704"/>
      <c r="CU48" s="760">
        <f t="shared" si="115"/>
        <v>2300538</v>
      </c>
      <c r="CV48" s="226">
        <f t="shared" si="124"/>
        <v>0</v>
      </c>
    </row>
    <row r="49" spans="1:100" s="208" customFormat="1" ht="24.75" outlineLevel="2" thickTop="1" thickBot="1">
      <c r="A49" s="295">
        <v>7</v>
      </c>
      <c r="B49" s="411" t="s">
        <v>245</v>
      </c>
      <c r="C49" s="341"/>
      <c r="D49" s="342"/>
      <c r="E49" s="439"/>
      <c r="F49" s="440"/>
      <c r="G49" s="338">
        <f>SUM(F50:F52)</f>
        <v>17605240</v>
      </c>
      <c r="H49" s="703"/>
      <c r="I49" s="760">
        <f t="shared" si="106"/>
        <v>0</v>
      </c>
      <c r="J49" s="226"/>
      <c r="K49" s="295">
        <v>7</v>
      </c>
      <c r="L49" s="296" t="s">
        <v>245</v>
      </c>
      <c r="M49" s="341"/>
      <c r="N49" s="342"/>
      <c r="O49" s="343"/>
      <c r="P49" s="467"/>
      <c r="Q49" s="338">
        <f>SUM(P50:P52)</f>
        <v>18349920</v>
      </c>
      <c r="R49" s="703"/>
      <c r="S49" s="760">
        <f t="shared" si="107"/>
        <v>0</v>
      </c>
      <c r="T49" s="226"/>
      <c r="U49" s="487">
        <v>7</v>
      </c>
      <c r="V49" s="488" t="s">
        <v>245</v>
      </c>
      <c r="W49" s="525"/>
      <c r="X49" s="526"/>
      <c r="Y49" s="527"/>
      <c r="Z49" s="528"/>
      <c r="AA49" s="523">
        <f>SUM(Z50:Z52)</f>
        <v>19555200</v>
      </c>
      <c r="AB49" s="703"/>
      <c r="AC49" s="760">
        <f t="shared" si="108"/>
        <v>0</v>
      </c>
      <c r="AD49" s="226"/>
      <c r="AE49" s="599">
        <v>7</v>
      </c>
      <c r="AF49" s="607" t="s">
        <v>245</v>
      </c>
      <c r="AG49" s="630"/>
      <c r="AH49" s="631"/>
      <c r="AI49" s="632"/>
      <c r="AJ49" s="633"/>
      <c r="AK49" s="338">
        <f>SUM(AJ50:AJ52)</f>
        <v>19141000</v>
      </c>
      <c r="AL49" s="703"/>
      <c r="AM49" s="760">
        <f t="shared" si="109"/>
        <v>0</v>
      </c>
      <c r="AN49" s="226"/>
      <c r="AO49" s="295">
        <v>7</v>
      </c>
      <c r="AP49" s="663" t="s">
        <v>245</v>
      </c>
      <c r="AQ49" s="341"/>
      <c r="AR49" s="342"/>
      <c r="AS49" s="343"/>
      <c r="AT49" s="681"/>
      <c r="AU49" s="701">
        <f>SUM(AT50:AT52)</f>
        <v>14281440</v>
      </c>
      <c r="AV49" s="703"/>
      <c r="AW49" s="760">
        <f t="shared" si="110"/>
        <v>0</v>
      </c>
      <c r="AX49" s="226"/>
      <c r="AY49" s="295">
        <v>7</v>
      </c>
      <c r="AZ49" s="296" t="s">
        <v>245</v>
      </c>
      <c r="BA49" s="341"/>
      <c r="BB49" s="342"/>
      <c r="BC49" s="727">
        <v>0</v>
      </c>
      <c r="BD49" s="728"/>
      <c r="BE49" s="338">
        <f>SUM(BD50:BD52)</f>
        <v>14751900</v>
      </c>
      <c r="BF49" s="703"/>
      <c r="BG49" s="760">
        <f t="shared" si="111"/>
        <v>0</v>
      </c>
      <c r="BH49" s="226"/>
      <c r="BI49" s="295">
        <v>7</v>
      </c>
      <c r="BJ49" s="663" t="s">
        <v>245</v>
      </c>
      <c r="BK49" s="341"/>
      <c r="BL49" s="342"/>
      <c r="BM49" s="343"/>
      <c r="BN49" s="681"/>
      <c r="BO49" s="338">
        <f>SUM(BN50:BN52)</f>
        <v>14693700</v>
      </c>
      <c r="BP49" s="703"/>
      <c r="BQ49" s="760">
        <f t="shared" si="112"/>
        <v>0</v>
      </c>
      <c r="BR49" s="226"/>
      <c r="BS49" s="295">
        <v>7</v>
      </c>
      <c r="BT49" s="663" t="s">
        <v>245</v>
      </c>
      <c r="BU49" s="341"/>
      <c r="BV49" s="342"/>
      <c r="BW49" s="343"/>
      <c r="BX49" s="681"/>
      <c r="BY49" s="338">
        <f>SUM(BX50:BX52)</f>
        <v>14420560</v>
      </c>
      <c r="BZ49" s="703"/>
      <c r="CA49" s="760">
        <f t="shared" si="113"/>
        <v>0</v>
      </c>
      <c r="CB49" s="226"/>
      <c r="CC49" s="295">
        <v>7</v>
      </c>
      <c r="CD49" s="663" t="s">
        <v>245</v>
      </c>
      <c r="CE49" s="341"/>
      <c r="CF49" s="342"/>
      <c r="CG49" s="343"/>
      <c r="CH49" s="681"/>
      <c r="CI49" s="338">
        <f>SUM(CH50:CH52)</f>
        <v>14672478</v>
      </c>
      <c r="CJ49" s="703"/>
      <c r="CK49" s="760">
        <f t="shared" si="114"/>
        <v>0</v>
      </c>
      <c r="CL49" s="226"/>
      <c r="CM49" s="295">
        <v>7</v>
      </c>
      <c r="CN49" s="296" t="s">
        <v>245</v>
      </c>
      <c r="CO49" s="341"/>
      <c r="CP49" s="342"/>
      <c r="CQ49" s="343"/>
      <c r="CR49" s="344"/>
      <c r="CS49" s="338">
        <f>SUM(CR50:CR52)</f>
        <v>22760860</v>
      </c>
      <c r="CT49" s="703"/>
      <c r="CU49" s="760">
        <f t="shared" si="115"/>
        <v>0</v>
      </c>
      <c r="CV49" s="226"/>
    </row>
    <row r="50" spans="1:100" s="208" customFormat="1" ht="91.5" outlineLevel="2" thickTop="1" thickBot="1">
      <c r="A50" s="339" t="s">
        <v>246</v>
      </c>
      <c r="B50" s="441" t="s">
        <v>247</v>
      </c>
      <c r="C50" s="326" t="s">
        <v>86</v>
      </c>
      <c r="D50" s="327">
        <v>150</v>
      </c>
      <c r="E50" s="442">
        <v>32500</v>
      </c>
      <c r="F50" s="428">
        <f>ROUND(D50*E50,0)</f>
        <v>4875000</v>
      </c>
      <c r="G50" s="927">
        <f>+G49/F81</f>
        <v>4.8282943571693646E-2</v>
      </c>
      <c r="H50" s="704"/>
      <c r="I50" s="760">
        <f t="shared" si="106"/>
        <v>4875000</v>
      </c>
      <c r="J50" s="226">
        <f>+IF(E50=0,1,0)</f>
        <v>0</v>
      </c>
      <c r="K50" s="339" t="s">
        <v>246</v>
      </c>
      <c r="L50" s="345" t="s">
        <v>247</v>
      </c>
      <c r="M50" s="326" t="s">
        <v>86</v>
      </c>
      <c r="N50" s="327">
        <v>150</v>
      </c>
      <c r="O50" s="460">
        <v>47500</v>
      </c>
      <c r="P50" s="465">
        <f>ROUND(N50*O50,0)</f>
        <v>7125000</v>
      </c>
      <c r="Q50" s="927">
        <f>+Q49/P81</f>
        <v>5.0031006817573713E-2</v>
      </c>
      <c r="R50" s="704"/>
      <c r="S50" s="760">
        <f t="shared" si="107"/>
        <v>7125000</v>
      </c>
      <c r="T50" s="226">
        <f t="shared" ref="T50:T52" si="135">+IF(O50=0,1,0)</f>
        <v>0</v>
      </c>
      <c r="U50" s="524" t="s">
        <v>246</v>
      </c>
      <c r="V50" s="1036" t="s">
        <v>447</v>
      </c>
      <c r="W50" s="1027" t="s">
        <v>86</v>
      </c>
      <c r="X50" s="1028">
        <v>150</v>
      </c>
      <c r="Y50" s="529">
        <v>35000</v>
      </c>
      <c r="Z50" s="515">
        <f>ROUND(X50*Y50,0)</f>
        <v>5250000</v>
      </c>
      <c r="AA50" s="499">
        <f>+AA49/Z81</f>
        <v>5.4043135903877756E-2</v>
      </c>
      <c r="AB50" s="704"/>
      <c r="AC50" s="760">
        <f t="shared" si="108"/>
        <v>5250000</v>
      </c>
      <c r="AD50" s="226">
        <f t="shared" ref="AD50:AD52" si="136">+IF(Y50=0,1,0)</f>
        <v>0</v>
      </c>
      <c r="AE50" s="627" t="s">
        <v>246</v>
      </c>
      <c r="AF50" s="634" t="s">
        <v>503</v>
      </c>
      <c r="AG50" s="615" t="s">
        <v>86</v>
      </c>
      <c r="AH50" s="616">
        <v>150</v>
      </c>
      <c r="AI50" s="635">
        <v>35000</v>
      </c>
      <c r="AJ50" s="618">
        <f>ROUND(AH50*AI50,0)</f>
        <v>5250000</v>
      </c>
      <c r="AK50" s="927">
        <f>+AK49/AJ81</f>
        <v>5.2431050101211567E-2</v>
      </c>
      <c r="AL50" s="704"/>
      <c r="AM50" s="760">
        <f t="shared" si="109"/>
        <v>5250000</v>
      </c>
      <c r="AN50" s="226">
        <f t="shared" ref="AN50:AN52" si="137">+IF(AI50=0,1,0)</f>
        <v>0</v>
      </c>
      <c r="AO50" s="339" t="s">
        <v>246</v>
      </c>
      <c r="AP50" s="682" t="s">
        <v>247</v>
      </c>
      <c r="AQ50" s="326" t="s">
        <v>86</v>
      </c>
      <c r="AR50" s="327">
        <v>150</v>
      </c>
      <c r="AS50" s="346">
        <v>26100</v>
      </c>
      <c r="AT50" s="675">
        <f>ROUND(AR50*AS50,0)</f>
        <v>3915000</v>
      </c>
      <c r="AU50" s="955">
        <f>+AU49/AT81</f>
        <v>3.8445410887711272E-2</v>
      </c>
      <c r="AV50" s="704"/>
      <c r="AW50" s="760">
        <f t="shared" si="110"/>
        <v>3915000</v>
      </c>
      <c r="AX50" s="226">
        <f t="shared" ref="AX50:AX52" si="138">+IF(AS50=0,1,0)</f>
        <v>0</v>
      </c>
      <c r="AY50" s="339" t="s">
        <v>246</v>
      </c>
      <c r="AZ50" s="345" t="s">
        <v>247</v>
      </c>
      <c r="BA50" s="326" t="s">
        <v>86</v>
      </c>
      <c r="BB50" s="327">
        <v>150</v>
      </c>
      <c r="BC50" s="729">
        <v>31950</v>
      </c>
      <c r="BD50" s="724">
        <f>ROUND(BB50*BC50,0)</f>
        <v>4792500</v>
      </c>
      <c r="BE50" s="927">
        <f>+BE49/BD81</f>
        <v>4.1853157219508753E-2</v>
      </c>
      <c r="BF50" s="704"/>
      <c r="BG50" s="760">
        <f t="shared" si="111"/>
        <v>4792500</v>
      </c>
      <c r="BH50" s="226">
        <f t="shared" ref="BH50:BH52" si="139">+IF(BC50=0,1,0)</f>
        <v>0</v>
      </c>
      <c r="BI50" s="339" t="s">
        <v>246</v>
      </c>
      <c r="BJ50" s="682" t="s">
        <v>247</v>
      </c>
      <c r="BK50" s="326" t="s">
        <v>86</v>
      </c>
      <c r="BL50" s="327">
        <v>150</v>
      </c>
      <c r="BM50" s="346">
        <v>25980</v>
      </c>
      <c r="BN50" s="675">
        <f>ROUND(BL50*BM50,0)</f>
        <v>3897000</v>
      </c>
      <c r="BO50" s="927">
        <f>+BO49/BN81</f>
        <v>3.9575464831054459E-2</v>
      </c>
      <c r="BP50" s="704"/>
      <c r="BQ50" s="760">
        <f t="shared" si="112"/>
        <v>3897000</v>
      </c>
      <c r="BR50" s="226">
        <f t="shared" ref="BR50:BR52" si="140">+IF(BM50=0,1,0)</f>
        <v>0</v>
      </c>
      <c r="BS50" s="339" t="s">
        <v>246</v>
      </c>
      <c r="BT50" s="682" t="s">
        <v>247</v>
      </c>
      <c r="BU50" s="326" t="s">
        <v>86</v>
      </c>
      <c r="BV50" s="327">
        <v>150</v>
      </c>
      <c r="BW50" s="346">
        <v>25900</v>
      </c>
      <c r="BX50" s="675">
        <f>ROUND(BV50*BW50,0)</f>
        <v>3885000</v>
      </c>
      <c r="BY50" s="927">
        <f>+BY49/BX81</f>
        <v>3.8492549467791903E-2</v>
      </c>
      <c r="BZ50" s="704"/>
      <c r="CA50" s="760">
        <f t="shared" si="113"/>
        <v>3885000</v>
      </c>
      <c r="CB50" s="226">
        <f t="shared" ref="CB50:CB52" si="141">+IF(BW50=0,1,0)</f>
        <v>0</v>
      </c>
      <c r="CC50" s="339" t="s">
        <v>246</v>
      </c>
      <c r="CD50" s="682" t="s">
        <v>247</v>
      </c>
      <c r="CE50" s="326" t="s">
        <v>86</v>
      </c>
      <c r="CF50" s="1025">
        <v>150</v>
      </c>
      <c r="CG50" s="346">
        <v>26045</v>
      </c>
      <c r="CH50" s="675">
        <f>ROUND(CF50*CG50,0)</f>
        <v>3906750</v>
      </c>
      <c r="CI50" s="927">
        <f>+CI49/CH81</f>
        <v>3.9375080972972792E-2</v>
      </c>
      <c r="CJ50" s="704"/>
      <c r="CK50" s="760">
        <f t="shared" si="114"/>
        <v>3906750</v>
      </c>
      <c r="CL50" s="226">
        <f t="shared" ref="CL50:CL52" si="142">+IF(CG50=0,1,0)</f>
        <v>0</v>
      </c>
      <c r="CM50" s="339" t="s">
        <v>246</v>
      </c>
      <c r="CN50" s="752" t="s">
        <v>247</v>
      </c>
      <c r="CO50" s="326" t="s">
        <v>86</v>
      </c>
      <c r="CP50" s="327">
        <v>150</v>
      </c>
      <c r="CQ50" s="346">
        <v>42980</v>
      </c>
      <c r="CR50" s="465">
        <f>ROUND(CP50*CQ50,0)</f>
        <v>6447000</v>
      </c>
      <c r="CS50" s="927">
        <f>+CS49/CR81</f>
        <v>6.2974586608487579E-2</v>
      </c>
      <c r="CT50" s="704"/>
      <c r="CU50" s="760">
        <f t="shared" si="115"/>
        <v>6447000</v>
      </c>
      <c r="CV50" s="226">
        <f t="shared" ref="CV50:CV52" si="143">+IF(CQ50=0,1,0)</f>
        <v>0</v>
      </c>
    </row>
    <row r="51" spans="1:100" s="208" customFormat="1" ht="151.5" outlineLevel="2" thickTop="1" thickBot="1">
      <c r="A51" s="339" t="s">
        <v>248</v>
      </c>
      <c r="B51" s="443" t="s">
        <v>249</v>
      </c>
      <c r="C51" s="326" t="s">
        <v>92</v>
      </c>
      <c r="D51" s="327">
        <v>175.4</v>
      </c>
      <c r="E51" s="442">
        <v>69600</v>
      </c>
      <c r="F51" s="428">
        <f t="shared" ref="F51:F52" si="144">ROUND(D51*E51,0)</f>
        <v>12207840</v>
      </c>
      <c r="G51" s="928"/>
      <c r="H51" s="704"/>
      <c r="I51" s="760">
        <f t="shared" si="106"/>
        <v>12207840</v>
      </c>
      <c r="J51" s="226">
        <f>+IF(E51=0,1,0)</f>
        <v>0</v>
      </c>
      <c r="K51" s="339" t="s">
        <v>248</v>
      </c>
      <c r="L51" s="347" t="s">
        <v>249</v>
      </c>
      <c r="M51" s="326" t="s">
        <v>92</v>
      </c>
      <c r="N51" s="327">
        <v>175.4</v>
      </c>
      <c r="O51" s="460">
        <v>59800</v>
      </c>
      <c r="P51" s="465">
        <f t="shared" ref="P51:P52" si="145">ROUND(N51*O51,0)</f>
        <v>10488920</v>
      </c>
      <c r="Q51" s="928"/>
      <c r="R51" s="704"/>
      <c r="S51" s="760">
        <f t="shared" si="107"/>
        <v>10488920</v>
      </c>
      <c r="T51" s="226">
        <f t="shared" si="135"/>
        <v>0</v>
      </c>
      <c r="U51" s="524" t="s">
        <v>248</v>
      </c>
      <c r="V51" s="1037" t="s">
        <v>448</v>
      </c>
      <c r="W51" s="1027" t="s">
        <v>92</v>
      </c>
      <c r="X51" s="1028">
        <v>175.4</v>
      </c>
      <c r="Y51" s="529">
        <v>78000</v>
      </c>
      <c r="Z51" s="515">
        <f t="shared" ref="Z51:Z52" si="146">ROUND(X51*Y51,0)</f>
        <v>13681200</v>
      </c>
      <c r="AA51" s="502"/>
      <c r="AB51" s="704"/>
      <c r="AC51" s="760">
        <f t="shared" si="108"/>
        <v>13681200</v>
      </c>
      <c r="AD51" s="226">
        <f t="shared" si="136"/>
        <v>0</v>
      </c>
      <c r="AE51" s="627" t="s">
        <v>248</v>
      </c>
      <c r="AF51" s="636" t="s">
        <v>504</v>
      </c>
      <c r="AG51" s="615" t="s">
        <v>92</v>
      </c>
      <c r="AH51" s="616">
        <v>175.4</v>
      </c>
      <c r="AI51" s="635">
        <v>75000</v>
      </c>
      <c r="AJ51" s="618">
        <f t="shared" ref="AJ51:AJ52" si="147">ROUND(AH51*AI51,0)</f>
        <v>13155000</v>
      </c>
      <c r="AK51" s="928"/>
      <c r="AL51" s="704"/>
      <c r="AM51" s="760">
        <f t="shared" si="109"/>
        <v>13155000</v>
      </c>
      <c r="AN51" s="226">
        <f t="shared" si="137"/>
        <v>0</v>
      </c>
      <c r="AO51" s="339" t="s">
        <v>248</v>
      </c>
      <c r="AP51" s="347" t="s">
        <v>249</v>
      </c>
      <c r="AQ51" s="326" t="s">
        <v>92</v>
      </c>
      <c r="AR51" s="327">
        <v>175.4</v>
      </c>
      <c r="AS51" s="346">
        <v>54600</v>
      </c>
      <c r="AT51" s="675">
        <f t="shared" ref="AT51:AT52" si="148">ROUND(AR51*AS51,0)</f>
        <v>9576840</v>
      </c>
      <c r="AU51" s="956"/>
      <c r="AV51" s="704"/>
      <c r="AW51" s="760">
        <f t="shared" si="110"/>
        <v>9576840</v>
      </c>
      <c r="AX51" s="226">
        <f t="shared" si="138"/>
        <v>0</v>
      </c>
      <c r="AY51" s="339" t="s">
        <v>248</v>
      </c>
      <c r="AZ51" s="347" t="s">
        <v>249</v>
      </c>
      <c r="BA51" s="326" t="s">
        <v>92</v>
      </c>
      <c r="BB51" s="327">
        <v>175.4</v>
      </c>
      <c r="BC51" s="729">
        <v>55000</v>
      </c>
      <c r="BD51" s="724">
        <f t="shared" ref="BD51:BD52" si="149">ROUND(BB51*BC51,0)</f>
        <v>9647000</v>
      </c>
      <c r="BE51" s="928"/>
      <c r="BF51" s="704"/>
      <c r="BG51" s="760">
        <f t="shared" si="111"/>
        <v>9647000</v>
      </c>
      <c r="BH51" s="226">
        <f t="shared" si="139"/>
        <v>0</v>
      </c>
      <c r="BI51" s="339" t="s">
        <v>248</v>
      </c>
      <c r="BJ51" s="347" t="s">
        <v>249</v>
      </c>
      <c r="BK51" s="326" t="s">
        <v>92</v>
      </c>
      <c r="BL51" s="327">
        <v>175.4</v>
      </c>
      <c r="BM51" s="346">
        <v>55900</v>
      </c>
      <c r="BN51" s="675">
        <f t="shared" ref="BN51:BN52" si="150">ROUND(BL51*BM51,0)</f>
        <v>9804860</v>
      </c>
      <c r="BO51" s="928"/>
      <c r="BP51" s="704"/>
      <c r="BQ51" s="760">
        <f t="shared" si="112"/>
        <v>9804860</v>
      </c>
      <c r="BR51" s="226">
        <f t="shared" si="140"/>
        <v>0</v>
      </c>
      <c r="BS51" s="339" t="s">
        <v>248</v>
      </c>
      <c r="BT51" s="347" t="s">
        <v>249</v>
      </c>
      <c r="BU51" s="326" t="s">
        <v>92</v>
      </c>
      <c r="BV51" s="327">
        <v>175.4</v>
      </c>
      <c r="BW51" s="346">
        <v>55400</v>
      </c>
      <c r="BX51" s="675">
        <f t="shared" ref="BX51:BX52" si="151">ROUND(BV51*BW51,0)</f>
        <v>9717160</v>
      </c>
      <c r="BY51" s="928"/>
      <c r="BZ51" s="704"/>
      <c r="CA51" s="760">
        <f t="shared" si="113"/>
        <v>9717160</v>
      </c>
      <c r="CB51" s="226">
        <f t="shared" si="141"/>
        <v>0</v>
      </c>
      <c r="CC51" s="339" t="s">
        <v>248</v>
      </c>
      <c r="CD51" s="347" t="s">
        <v>249</v>
      </c>
      <c r="CE51" s="326" t="s">
        <v>92</v>
      </c>
      <c r="CF51" s="1025">
        <v>175.4</v>
      </c>
      <c r="CG51" s="346">
        <v>56320</v>
      </c>
      <c r="CH51" s="675">
        <f t="shared" ref="CH51:CH52" si="152">ROUND(CF51*CG51,0)</f>
        <v>9878528</v>
      </c>
      <c r="CI51" s="928"/>
      <c r="CJ51" s="704"/>
      <c r="CK51" s="760">
        <f t="shared" si="114"/>
        <v>9878528</v>
      </c>
      <c r="CL51" s="226">
        <f t="shared" si="142"/>
        <v>0</v>
      </c>
      <c r="CM51" s="339" t="s">
        <v>248</v>
      </c>
      <c r="CN51" s="753" t="s">
        <v>249</v>
      </c>
      <c r="CO51" s="326" t="s">
        <v>92</v>
      </c>
      <c r="CP51" s="327">
        <v>175.4</v>
      </c>
      <c r="CQ51" s="346">
        <v>88900</v>
      </c>
      <c r="CR51" s="465">
        <f t="shared" ref="CR51:CR52" si="153">ROUND(CP51*CQ51,0)</f>
        <v>15593060</v>
      </c>
      <c r="CS51" s="928"/>
      <c r="CT51" s="704"/>
      <c r="CU51" s="760">
        <f t="shared" si="115"/>
        <v>15593060</v>
      </c>
      <c r="CV51" s="226">
        <f t="shared" si="143"/>
        <v>0</v>
      </c>
    </row>
    <row r="52" spans="1:100" s="208" customFormat="1" ht="151.5" outlineLevel="2" thickTop="1" thickBot="1">
      <c r="A52" s="339" t="s">
        <v>250</v>
      </c>
      <c r="B52" s="444" t="s">
        <v>251</v>
      </c>
      <c r="C52" s="326" t="s">
        <v>92</v>
      </c>
      <c r="D52" s="327">
        <v>8</v>
      </c>
      <c r="E52" s="442">
        <v>65300</v>
      </c>
      <c r="F52" s="428">
        <f t="shared" si="144"/>
        <v>522400</v>
      </c>
      <c r="G52" s="929"/>
      <c r="H52" s="704"/>
      <c r="I52" s="760">
        <f t="shared" si="106"/>
        <v>522400</v>
      </c>
      <c r="J52" s="226">
        <f>+IF(E52=0,1,0)</f>
        <v>0</v>
      </c>
      <c r="K52" s="339" t="s">
        <v>250</v>
      </c>
      <c r="L52" s="348" t="s">
        <v>251</v>
      </c>
      <c r="M52" s="326" t="s">
        <v>92</v>
      </c>
      <c r="N52" s="327">
        <v>8</v>
      </c>
      <c r="O52" s="460">
        <v>92000</v>
      </c>
      <c r="P52" s="465">
        <f t="shared" si="145"/>
        <v>736000</v>
      </c>
      <c r="Q52" s="929"/>
      <c r="R52" s="704"/>
      <c r="S52" s="760">
        <f t="shared" si="107"/>
        <v>736000</v>
      </c>
      <c r="T52" s="226">
        <f t="shared" si="135"/>
        <v>0</v>
      </c>
      <c r="U52" s="524" t="s">
        <v>250</v>
      </c>
      <c r="V52" s="530" t="s">
        <v>449</v>
      </c>
      <c r="W52" s="517" t="s">
        <v>92</v>
      </c>
      <c r="X52" s="515">
        <v>8</v>
      </c>
      <c r="Y52" s="529">
        <v>78000</v>
      </c>
      <c r="Z52" s="515">
        <f t="shared" si="146"/>
        <v>624000</v>
      </c>
      <c r="AA52" s="509"/>
      <c r="AB52" s="704"/>
      <c r="AC52" s="760">
        <f t="shared" si="108"/>
        <v>624000</v>
      </c>
      <c r="AD52" s="226">
        <f t="shared" si="136"/>
        <v>0</v>
      </c>
      <c r="AE52" s="627" t="s">
        <v>250</v>
      </c>
      <c r="AF52" s="637" t="s">
        <v>505</v>
      </c>
      <c r="AG52" s="615" t="s">
        <v>92</v>
      </c>
      <c r="AH52" s="616">
        <v>8</v>
      </c>
      <c r="AI52" s="635">
        <v>92000</v>
      </c>
      <c r="AJ52" s="618">
        <f t="shared" si="147"/>
        <v>736000</v>
      </c>
      <c r="AK52" s="929"/>
      <c r="AL52" s="704"/>
      <c r="AM52" s="760">
        <f t="shared" si="109"/>
        <v>736000</v>
      </c>
      <c r="AN52" s="226">
        <f t="shared" si="137"/>
        <v>0</v>
      </c>
      <c r="AO52" s="339" t="s">
        <v>250</v>
      </c>
      <c r="AP52" s="348" t="s">
        <v>251</v>
      </c>
      <c r="AQ52" s="326" t="s">
        <v>92</v>
      </c>
      <c r="AR52" s="327">
        <v>8</v>
      </c>
      <c r="AS52" s="346">
        <v>98700</v>
      </c>
      <c r="AT52" s="675">
        <f t="shared" si="148"/>
        <v>789600</v>
      </c>
      <c r="AU52" s="957"/>
      <c r="AV52" s="704"/>
      <c r="AW52" s="760">
        <f t="shared" si="110"/>
        <v>789600</v>
      </c>
      <c r="AX52" s="226">
        <f t="shared" si="138"/>
        <v>0</v>
      </c>
      <c r="AY52" s="339" t="s">
        <v>250</v>
      </c>
      <c r="AZ52" s="348" t="s">
        <v>251</v>
      </c>
      <c r="BA52" s="326" t="s">
        <v>92</v>
      </c>
      <c r="BB52" s="327">
        <v>8</v>
      </c>
      <c r="BC52" s="729">
        <v>39050</v>
      </c>
      <c r="BD52" s="724">
        <f t="shared" si="149"/>
        <v>312400</v>
      </c>
      <c r="BE52" s="929"/>
      <c r="BF52" s="704"/>
      <c r="BG52" s="760">
        <f t="shared" si="111"/>
        <v>312400</v>
      </c>
      <c r="BH52" s="226">
        <f t="shared" si="139"/>
        <v>0</v>
      </c>
      <c r="BI52" s="339" t="s">
        <v>250</v>
      </c>
      <c r="BJ52" s="348" t="s">
        <v>251</v>
      </c>
      <c r="BK52" s="326" t="s">
        <v>92</v>
      </c>
      <c r="BL52" s="327">
        <v>8</v>
      </c>
      <c r="BM52" s="346">
        <v>123980</v>
      </c>
      <c r="BN52" s="675">
        <f t="shared" si="150"/>
        <v>991840</v>
      </c>
      <c r="BO52" s="929"/>
      <c r="BP52" s="704"/>
      <c r="BQ52" s="760">
        <f t="shared" si="112"/>
        <v>991840</v>
      </c>
      <c r="BR52" s="226">
        <f t="shared" si="140"/>
        <v>0</v>
      </c>
      <c r="BS52" s="339" t="s">
        <v>250</v>
      </c>
      <c r="BT52" s="348" t="s">
        <v>251</v>
      </c>
      <c r="BU52" s="326" t="s">
        <v>92</v>
      </c>
      <c r="BV52" s="327">
        <v>8</v>
      </c>
      <c r="BW52" s="346">
        <v>102300</v>
      </c>
      <c r="BX52" s="675">
        <f t="shared" si="151"/>
        <v>818400</v>
      </c>
      <c r="BY52" s="929"/>
      <c r="BZ52" s="704"/>
      <c r="CA52" s="760">
        <f t="shared" si="113"/>
        <v>818400</v>
      </c>
      <c r="CB52" s="226">
        <f t="shared" si="141"/>
        <v>0</v>
      </c>
      <c r="CC52" s="339" t="s">
        <v>250</v>
      </c>
      <c r="CD52" s="348" t="s">
        <v>251</v>
      </c>
      <c r="CE52" s="326" t="s">
        <v>92</v>
      </c>
      <c r="CF52" s="327">
        <v>8</v>
      </c>
      <c r="CG52" s="346">
        <v>110900</v>
      </c>
      <c r="CH52" s="675">
        <f t="shared" si="152"/>
        <v>887200</v>
      </c>
      <c r="CI52" s="929"/>
      <c r="CJ52" s="704"/>
      <c r="CK52" s="760">
        <f t="shared" si="114"/>
        <v>887200</v>
      </c>
      <c r="CL52" s="226">
        <f t="shared" si="142"/>
        <v>0</v>
      </c>
      <c r="CM52" s="339" t="s">
        <v>250</v>
      </c>
      <c r="CN52" s="754" t="s">
        <v>251</v>
      </c>
      <c r="CO52" s="326" t="s">
        <v>92</v>
      </c>
      <c r="CP52" s="327">
        <v>8</v>
      </c>
      <c r="CQ52" s="346">
        <v>90100</v>
      </c>
      <c r="CR52" s="465">
        <f t="shared" si="153"/>
        <v>720800</v>
      </c>
      <c r="CS52" s="929"/>
      <c r="CT52" s="704"/>
      <c r="CU52" s="760">
        <f t="shared" si="115"/>
        <v>720800</v>
      </c>
      <c r="CV52" s="226">
        <f t="shared" si="143"/>
        <v>0</v>
      </c>
    </row>
    <row r="53" spans="1:100" s="208" customFormat="1" ht="24.75" outlineLevel="2" thickTop="1" thickBot="1">
      <c r="A53" s="295" t="s">
        <v>147</v>
      </c>
      <c r="B53" s="411" t="s">
        <v>252</v>
      </c>
      <c r="C53" s="349"/>
      <c r="D53" s="350"/>
      <c r="E53" s="445"/>
      <c r="F53" s="446"/>
      <c r="G53" s="301">
        <f>SUM(F54:F66)</f>
        <v>20367980</v>
      </c>
      <c r="H53" s="703"/>
      <c r="I53" s="760">
        <f t="shared" si="106"/>
        <v>0</v>
      </c>
      <c r="J53" s="226"/>
      <c r="K53" s="295" t="s">
        <v>147</v>
      </c>
      <c r="L53" s="296" t="s">
        <v>252</v>
      </c>
      <c r="M53" s="349"/>
      <c r="N53" s="350"/>
      <c r="O53" s="351"/>
      <c r="P53" s="468"/>
      <c r="Q53" s="301">
        <f>SUM(P54:P66)</f>
        <v>17617600</v>
      </c>
      <c r="R53" s="703"/>
      <c r="S53" s="760">
        <f t="shared" si="107"/>
        <v>0</v>
      </c>
      <c r="T53" s="226"/>
      <c r="U53" s="487" t="s">
        <v>147</v>
      </c>
      <c r="V53" s="488" t="s">
        <v>252</v>
      </c>
      <c r="W53" s="531"/>
      <c r="X53" s="532"/>
      <c r="Y53" s="533"/>
      <c r="Z53" s="534"/>
      <c r="AA53" s="493">
        <f>SUM(Z54:Z66)</f>
        <v>22291957</v>
      </c>
      <c r="AB53" s="703"/>
      <c r="AC53" s="760">
        <f t="shared" si="108"/>
        <v>0</v>
      </c>
      <c r="AD53" s="226"/>
      <c r="AE53" s="599" t="s">
        <v>147</v>
      </c>
      <c r="AF53" s="607" t="s">
        <v>252</v>
      </c>
      <c r="AG53" s="638"/>
      <c r="AH53" s="639"/>
      <c r="AI53" s="640"/>
      <c r="AJ53" s="641"/>
      <c r="AK53" s="301">
        <f>SUM(AJ54:AJ66)</f>
        <v>20754000</v>
      </c>
      <c r="AL53" s="703"/>
      <c r="AM53" s="760">
        <f t="shared" si="109"/>
        <v>0</v>
      </c>
      <c r="AN53" s="226"/>
      <c r="AO53" s="295" t="s">
        <v>147</v>
      </c>
      <c r="AP53" s="663" t="s">
        <v>252</v>
      </c>
      <c r="AQ53" s="349"/>
      <c r="AR53" s="350"/>
      <c r="AS53" s="351"/>
      <c r="AT53" s="683"/>
      <c r="AU53" s="699">
        <f>SUM(AT54:AT66)</f>
        <v>23661658</v>
      </c>
      <c r="AV53" s="703"/>
      <c r="AW53" s="760">
        <f t="shared" si="110"/>
        <v>0</v>
      </c>
      <c r="AX53" s="226"/>
      <c r="AY53" s="295" t="s">
        <v>147</v>
      </c>
      <c r="AZ53" s="296" t="s">
        <v>252</v>
      </c>
      <c r="BA53" s="349"/>
      <c r="BB53" s="350"/>
      <c r="BC53" s="730">
        <v>0</v>
      </c>
      <c r="BD53" s="731"/>
      <c r="BE53" s="301">
        <f>SUM(BD54:BD66)</f>
        <v>12969300</v>
      </c>
      <c r="BF53" s="703"/>
      <c r="BG53" s="760">
        <f t="shared" si="111"/>
        <v>0</v>
      </c>
      <c r="BH53" s="226"/>
      <c r="BI53" s="295" t="s">
        <v>147</v>
      </c>
      <c r="BJ53" s="663" t="s">
        <v>252</v>
      </c>
      <c r="BK53" s="349"/>
      <c r="BL53" s="350"/>
      <c r="BM53" s="351"/>
      <c r="BN53" s="683"/>
      <c r="BO53" s="301">
        <f>SUM(BN54:BN66)</f>
        <v>23436936</v>
      </c>
      <c r="BP53" s="703"/>
      <c r="BQ53" s="760">
        <f t="shared" si="112"/>
        <v>0</v>
      </c>
      <c r="BR53" s="226"/>
      <c r="BS53" s="295" t="s">
        <v>147</v>
      </c>
      <c r="BT53" s="663" t="s">
        <v>252</v>
      </c>
      <c r="BU53" s="349"/>
      <c r="BV53" s="350"/>
      <c r="BW53" s="351"/>
      <c r="BX53" s="683"/>
      <c r="BY53" s="301">
        <f>SUM(BX54:BX66)</f>
        <v>23696776</v>
      </c>
      <c r="BZ53" s="703"/>
      <c r="CA53" s="760">
        <f t="shared" si="113"/>
        <v>0</v>
      </c>
      <c r="CB53" s="226"/>
      <c r="CC53" s="295" t="s">
        <v>147</v>
      </c>
      <c r="CD53" s="663" t="s">
        <v>252</v>
      </c>
      <c r="CE53" s="349"/>
      <c r="CF53" s="350"/>
      <c r="CG53" s="351"/>
      <c r="CH53" s="683"/>
      <c r="CI53" s="301">
        <f>SUM(CH54:CH66)</f>
        <v>23560526</v>
      </c>
      <c r="CJ53" s="703"/>
      <c r="CK53" s="760">
        <f t="shared" si="114"/>
        <v>0</v>
      </c>
      <c r="CL53" s="226"/>
      <c r="CM53" s="295" t="s">
        <v>147</v>
      </c>
      <c r="CN53" s="296" t="s">
        <v>252</v>
      </c>
      <c r="CO53" s="349"/>
      <c r="CP53" s="350"/>
      <c r="CQ53" s="351"/>
      <c r="CR53" s="352"/>
      <c r="CS53" s="301">
        <f>SUM(CR54:CR66)</f>
        <v>19762400</v>
      </c>
      <c r="CT53" s="703"/>
      <c r="CU53" s="760">
        <f t="shared" si="115"/>
        <v>0</v>
      </c>
      <c r="CV53" s="226"/>
    </row>
    <row r="54" spans="1:100" s="208" customFormat="1" ht="76.5" outlineLevel="2" thickTop="1" thickBot="1">
      <c r="A54" s="325" t="s">
        <v>253</v>
      </c>
      <c r="B54" s="447" t="s">
        <v>254</v>
      </c>
      <c r="C54" s="326" t="s">
        <v>92</v>
      </c>
      <c r="D54" s="327">
        <v>85</v>
      </c>
      <c r="E54" s="435">
        <v>61100</v>
      </c>
      <c r="F54" s="428">
        <f>ROUND(D54*E54,0)</f>
        <v>5193500</v>
      </c>
      <c r="G54" s="927">
        <f>+G53/F81</f>
        <v>5.5859847920811348E-2</v>
      </c>
      <c r="H54" s="704"/>
      <c r="I54" s="760">
        <f t="shared" si="106"/>
        <v>5193500</v>
      </c>
      <c r="J54" s="226">
        <f t="shared" ref="J54:J66" si="154">+IF(E54=0,1,0)</f>
        <v>0</v>
      </c>
      <c r="K54" s="325" t="s">
        <v>253</v>
      </c>
      <c r="L54" s="353" t="s">
        <v>254</v>
      </c>
      <c r="M54" s="326" t="s">
        <v>92</v>
      </c>
      <c r="N54" s="327">
        <v>85</v>
      </c>
      <c r="O54" s="459">
        <v>39000</v>
      </c>
      <c r="P54" s="465">
        <f>ROUND(N54*O54,0)</f>
        <v>3315000</v>
      </c>
      <c r="Q54" s="927">
        <f>+Q53/P81</f>
        <v>4.8034338335496099E-2</v>
      </c>
      <c r="R54" s="704"/>
      <c r="S54" s="760">
        <f t="shared" si="107"/>
        <v>3315000</v>
      </c>
      <c r="T54" s="226">
        <f t="shared" ref="T54:T66" si="155">+IF(O54=0,1,0)</f>
        <v>0</v>
      </c>
      <c r="U54" s="513" t="s">
        <v>253</v>
      </c>
      <c r="V54" s="535" t="s">
        <v>450</v>
      </c>
      <c r="W54" s="517" t="s">
        <v>92</v>
      </c>
      <c r="X54" s="515">
        <v>85</v>
      </c>
      <c r="Y54" s="522">
        <v>33520</v>
      </c>
      <c r="Z54" s="515">
        <f>ROUND(X54*Y54,0)</f>
        <v>2849200</v>
      </c>
      <c r="AA54" s="499">
        <f>+AA53/Z81</f>
        <v>6.1606491455694599E-2</v>
      </c>
      <c r="AB54" s="704"/>
      <c r="AC54" s="760">
        <f t="shared" si="108"/>
        <v>2849200</v>
      </c>
      <c r="AD54" s="226">
        <f t="shared" ref="AD54:AD66" si="156">+IF(Y54=0,1,0)</f>
        <v>0</v>
      </c>
      <c r="AE54" s="614" t="s">
        <v>253</v>
      </c>
      <c r="AF54" s="642" t="s">
        <v>506</v>
      </c>
      <c r="AG54" s="615" t="s">
        <v>92</v>
      </c>
      <c r="AH54" s="616">
        <v>85</v>
      </c>
      <c r="AI54" s="625">
        <v>25000</v>
      </c>
      <c r="AJ54" s="618">
        <f>ROUND(AH54*AI54,0)</f>
        <v>2125000</v>
      </c>
      <c r="AK54" s="927">
        <f>+AK53/AJ81</f>
        <v>5.6849381631082226E-2</v>
      </c>
      <c r="AL54" s="704"/>
      <c r="AM54" s="760">
        <f t="shared" si="109"/>
        <v>2125000</v>
      </c>
      <c r="AN54" s="226">
        <f t="shared" ref="AN54:AN66" si="157">+IF(AI54=0,1,0)</f>
        <v>0</v>
      </c>
      <c r="AO54" s="325" t="s">
        <v>253</v>
      </c>
      <c r="AP54" s="353" t="s">
        <v>254</v>
      </c>
      <c r="AQ54" s="326" t="s">
        <v>92</v>
      </c>
      <c r="AR54" s="327">
        <v>85</v>
      </c>
      <c r="AS54" s="336">
        <v>34200</v>
      </c>
      <c r="AT54" s="675">
        <f>ROUND(AR54*AS54,0)</f>
        <v>2907000</v>
      </c>
      <c r="AU54" s="955">
        <f>+AU53/AT81</f>
        <v>6.3696809572038979E-2</v>
      </c>
      <c r="AV54" s="704"/>
      <c r="AW54" s="760">
        <f t="shared" si="110"/>
        <v>2907000</v>
      </c>
      <c r="AX54" s="226">
        <f t="shared" ref="AX54:AX66" si="158">+IF(AS54=0,1,0)</f>
        <v>0</v>
      </c>
      <c r="AY54" s="325" t="s">
        <v>253</v>
      </c>
      <c r="AZ54" s="353" t="s">
        <v>254</v>
      </c>
      <c r="BA54" s="326" t="s">
        <v>92</v>
      </c>
      <c r="BB54" s="327">
        <v>85</v>
      </c>
      <c r="BC54" s="725">
        <v>24850</v>
      </c>
      <c r="BD54" s="724">
        <f>ROUND(BB54*BC54,0)</f>
        <v>2112250</v>
      </c>
      <c r="BE54" s="927">
        <f>+BE53/BD81</f>
        <v>3.6795677297634534E-2</v>
      </c>
      <c r="BF54" s="704"/>
      <c r="BG54" s="760">
        <f t="shared" si="111"/>
        <v>2112250</v>
      </c>
      <c r="BH54" s="226">
        <f t="shared" ref="BH54:BH66" si="159">+IF(BC54=0,1,0)</f>
        <v>0</v>
      </c>
      <c r="BI54" s="325" t="s">
        <v>253</v>
      </c>
      <c r="BJ54" s="353" t="s">
        <v>254</v>
      </c>
      <c r="BK54" s="326" t="s">
        <v>92</v>
      </c>
      <c r="BL54" s="327">
        <v>85</v>
      </c>
      <c r="BM54" s="336">
        <v>33980</v>
      </c>
      <c r="BN54" s="675">
        <f>ROUND(BL54*BM54,0)</f>
        <v>2888300</v>
      </c>
      <c r="BO54" s="927">
        <f>+BO53/BN81</f>
        <v>6.3124171339803734E-2</v>
      </c>
      <c r="BP54" s="704"/>
      <c r="BQ54" s="760">
        <f t="shared" si="112"/>
        <v>2888300</v>
      </c>
      <c r="BR54" s="226">
        <f t="shared" ref="BR54:BR66" si="160">+IF(BM54=0,1,0)</f>
        <v>0</v>
      </c>
      <c r="BS54" s="325" t="s">
        <v>253</v>
      </c>
      <c r="BT54" s="353" t="s">
        <v>254</v>
      </c>
      <c r="BU54" s="326" t="s">
        <v>92</v>
      </c>
      <c r="BV54" s="327">
        <v>85</v>
      </c>
      <c r="BW54" s="336">
        <v>35100</v>
      </c>
      <c r="BX54" s="675">
        <f>ROUND(BV54*BW54,0)</f>
        <v>2983500</v>
      </c>
      <c r="BY54" s="927">
        <f>+BY53/BX81</f>
        <v>6.3253391158677882E-2</v>
      </c>
      <c r="BZ54" s="704"/>
      <c r="CA54" s="760">
        <f t="shared" si="113"/>
        <v>2983500</v>
      </c>
      <c r="CB54" s="226">
        <f t="shared" ref="CB54:CB66" si="161">+IF(BW54=0,1,0)</f>
        <v>0</v>
      </c>
      <c r="CC54" s="325" t="s">
        <v>253</v>
      </c>
      <c r="CD54" s="353" t="s">
        <v>254</v>
      </c>
      <c r="CE54" s="326" t="s">
        <v>92</v>
      </c>
      <c r="CF54" s="327">
        <v>85</v>
      </c>
      <c r="CG54" s="336">
        <v>34900</v>
      </c>
      <c r="CH54" s="675">
        <f>ROUND(CF54*CG54,0)</f>
        <v>2966500</v>
      </c>
      <c r="CI54" s="927">
        <f>+CI53/CH81</f>
        <v>6.3227058102648434E-2</v>
      </c>
      <c r="CJ54" s="704"/>
      <c r="CK54" s="760">
        <f t="shared" si="114"/>
        <v>2966500</v>
      </c>
      <c r="CL54" s="226">
        <f t="shared" ref="CL54:CL66" si="162">+IF(CG54=0,1,0)</f>
        <v>0</v>
      </c>
      <c r="CM54" s="325" t="s">
        <v>253</v>
      </c>
      <c r="CN54" s="353" t="s">
        <v>254</v>
      </c>
      <c r="CO54" s="326" t="s">
        <v>92</v>
      </c>
      <c r="CP54" s="327">
        <v>85</v>
      </c>
      <c r="CQ54" s="336">
        <v>27400</v>
      </c>
      <c r="CR54" s="465">
        <f>ROUND(CP54*CQ54,0)</f>
        <v>2329000</v>
      </c>
      <c r="CS54" s="927">
        <f>+CS53/CR81</f>
        <v>5.4678468669091367E-2</v>
      </c>
      <c r="CT54" s="704"/>
      <c r="CU54" s="760">
        <f t="shared" si="115"/>
        <v>2329000</v>
      </c>
      <c r="CV54" s="226">
        <f t="shared" ref="CV54:CV66" si="163">+IF(CQ54=0,1,0)</f>
        <v>0</v>
      </c>
    </row>
    <row r="55" spans="1:100" s="208" customFormat="1" ht="76.5" outlineLevel="2" thickTop="1" thickBot="1">
      <c r="A55" s="325" t="s">
        <v>255</v>
      </c>
      <c r="B55" s="430" t="s">
        <v>256</v>
      </c>
      <c r="C55" s="326" t="s">
        <v>92</v>
      </c>
      <c r="D55" s="327">
        <v>42</v>
      </c>
      <c r="E55" s="435">
        <v>38400</v>
      </c>
      <c r="F55" s="428">
        <f t="shared" ref="F55:F80" si="164">ROUND(D55*E55,0)</f>
        <v>1612800</v>
      </c>
      <c r="G55" s="928"/>
      <c r="H55" s="704"/>
      <c r="I55" s="760">
        <f t="shared" si="106"/>
        <v>1612800</v>
      </c>
      <c r="J55" s="226">
        <f t="shared" si="154"/>
        <v>0</v>
      </c>
      <c r="K55" s="325" t="s">
        <v>255</v>
      </c>
      <c r="L55" s="330" t="s">
        <v>256</v>
      </c>
      <c r="M55" s="326" t="s">
        <v>92</v>
      </c>
      <c r="N55" s="327">
        <v>42</v>
      </c>
      <c r="O55" s="459">
        <v>34500</v>
      </c>
      <c r="P55" s="465">
        <f t="shared" ref="P55:P66" si="165">ROUND(N55*O55,0)</f>
        <v>1449000</v>
      </c>
      <c r="Q55" s="928"/>
      <c r="R55" s="704"/>
      <c r="S55" s="760">
        <f t="shared" si="107"/>
        <v>1449000</v>
      </c>
      <c r="T55" s="226">
        <f t="shared" si="155"/>
        <v>0</v>
      </c>
      <c r="U55" s="513" t="s">
        <v>255</v>
      </c>
      <c r="V55" s="518" t="s">
        <v>451</v>
      </c>
      <c r="W55" s="517" t="s">
        <v>92</v>
      </c>
      <c r="X55" s="515">
        <v>42</v>
      </c>
      <c r="Y55" s="522">
        <v>26461</v>
      </c>
      <c r="Z55" s="515">
        <f t="shared" ref="Z55:Z66" si="166">ROUND(X55*Y55,0)</f>
        <v>1111362</v>
      </c>
      <c r="AA55" s="502"/>
      <c r="AB55" s="704"/>
      <c r="AC55" s="760">
        <f t="shared" si="108"/>
        <v>1111362</v>
      </c>
      <c r="AD55" s="226">
        <f t="shared" si="156"/>
        <v>0</v>
      </c>
      <c r="AE55" s="614" t="s">
        <v>255</v>
      </c>
      <c r="AF55" s="620" t="s">
        <v>507</v>
      </c>
      <c r="AG55" s="615" t="s">
        <v>92</v>
      </c>
      <c r="AH55" s="616">
        <v>42</v>
      </c>
      <c r="AI55" s="625">
        <v>22500</v>
      </c>
      <c r="AJ55" s="618">
        <f t="shared" ref="AJ55:AJ66" si="167">ROUND(AH55*AI55,0)</f>
        <v>945000</v>
      </c>
      <c r="AK55" s="928"/>
      <c r="AL55" s="704"/>
      <c r="AM55" s="760">
        <f t="shared" si="109"/>
        <v>945000</v>
      </c>
      <c r="AN55" s="226">
        <f t="shared" si="157"/>
        <v>0</v>
      </c>
      <c r="AO55" s="325" t="s">
        <v>255</v>
      </c>
      <c r="AP55" s="330" t="s">
        <v>256</v>
      </c>
      <c r="AQ55" s="326" t="s">
        <v>92</v>
      </c>
      <c r="AR55" s="327">
        <v>42</v>
      </c>
      <c r="AS55" s="336">
        <v>28700</v>
      </c>
      <c r="AT55" s="675">
        <f t="shared" ref="AT55:AT66" si="168">ROUND(AR55*AS55,0)</f>
        <v>1205400</v>
      </c>
      <c r="AU55" s="956"/>
      <c r="AV55" s="704"/>
      <c r="AW55" s="760">
        <f t="shared" si="110"/>
        <v>1205400</v>
      </c>
      <c r="AX55" s="226">
        <f t="shared" si="158"/>
        <v>0</v>
      </c>
      <c r="AY55" s="325" t="s">
        <v>255</v>
      </c>
      <c r="AZ55" s="330" t="s">
        <v>256</v>
      </c>
      <c r="BA55" s="326" t="s">
        <v>92</v>
      </c>
      <c r="BB55" s="327">
        <v>42</v>
      </c>
      <c r="BC55" s="725">
        <v>20235</v>
      </c>
      <c r="BD55" s="724">
        <f t="shared" ref="BD55:BD66" si="169">ROUND(BB55*BC55,0)</f>
        <v>849870</v>
      </c>
      <c r="BE55" s="928"/>
      <c r="BF55" s="704"/>
      <c r="BG55" s="760">
        <f t="shared" si="111"/>
        <v>849870</v>
      </c>
      <c r="BH55" s="226">
        <f t="shared" si="159"/>
        <v>0</v>
      </c>
      <c r="BI55" s="325" t="s">
        <v>255</v>
      </c>
      <c r="BJ55" s="330" t="s">
        <v>256</v>
      </c>
      <c r="BK55" s="326" t="s">
        <v>92</v>
      </c>
      <c r="BL55" s="327">
        <v>42</v>
      </c>
      <c r="BM55" s="336">
        <v>27100</v>
      </c>
      <c r="BN55" s="675">
        <f t="shared" ref="BN55:BN66" si="170">ROUND(BL55*BM55,0)</f>
        <v>1138200</v>
      </c>
      <c r="BO55" s="928"/>
      <c r="BP55" s="704"/>
      <c r="BQ55" s="760">
        <f t="shared" si="112"/>
        <v>1138200</v>
      </c>
      <c r="BR55" s="226">
        <f t="shared" si="160"/>
        <v>0</v>
      </c>
      <c r="BS55" s="325" t="s">
        <v>255</v>
      </c>
      <c r="BT55" s="330" t="s">
        <v>256</v>
      </c>
      <c r="BU55" s="326" t="s">
        <v>92</v>
      </c>
      <c r="BV55" s="327">
        <v>42</v>
      </c>
      <c r="BW55" s="336">
        <v>27900</v>
      </c>
      <c r="BX55" s="675">
        <f t="shared" ref="BX55:BX66" si="171">ROUND(BV55*BW55,0)</f>
        <v>1171800</v>
      </c>
      <c r="BY55" s="928"/>
      <c r="BZ55" s="704"/>
      <c r="CA55" s="760">
        <f t="shared" si="113"/>
        <v>1171800</v>
      </c>
      <c r="CB55" s="226">
        <f t="shared" si="161"/>
        <v>0</v>
      </c>
      <c r="CC55" s="325" t="s">
        <v>255</v>
      </c>
      <c r="CD55" s="330" t="s">
        <v>256</v>
      </c>
      <c r="CE55" s="326" t="s">
        <v>92</v>
      </c>
      <c r="CF55" s="327">
        <v>42</v>
      </c>
      <c r="CG55" s="336">
        <v>26900</v>
      </c>
      <c r="CH55" s="675">
        <f t="shared" ref="CH55:CH66" si="172">ROUND(CF55*CG55,0)</f>
        <v>1129800</v>
      </c>
      <c r="CI55" s="928"/>
      <c r="CJ55" s="704"/>
      <c r="CK55" s="760">
        <f t="shared" si="114"/>
        <v>1129800</v>
      </c>
      <c r="CL55" s="226">
        <f t="shared" si="162"/>
        <v>0</v>
      </c>
      <c r="CM55" s="325" t="s">
        <v>255</v>
      </c>
      <c r="CN55" s="330" t="s">
        <v>256</v>
      </c>
      <c r="CO55" s="326" t="s">
        <v>92</v>
      </c>
      <c r="CP55" s="327">
        <v>42</v>
      </c>
      <c r="CQ55" s="336">
        <v>21200</v>
      </c>
      <c r="CR55" s="465">
        <f t="shared" ref="CR55:CR66" si="173">ROUND(CP55*CQ55,0)</f>
        <v>890400</v>
      </c>
      <c r="CS55" s="928"/>
      <c r="CT55" s="704"/>
      <c r="CU55" s="760">
        <f t="shared" si="115"/>
        <v>890400</v>
      </c>
      <c r="CV55" s="226">
        <f t="shared" si="163"/>
        <v>0</v>
      </c>
    </row>
    <row r="56" spans="1:100" s="208" customFormat="1" ht="46.5" outlineLevel="2" thickTop="1" thickBot="1">
      <c r="A56" s="325" t="s">
        <v>148</v>
      </c>
      <c r="B56" s="444" t="s">
        <v>257</v>
      </c>
      <c r="C56" s="326" t="s">
        <v>258</v>
      </c>
      <c r="D56" s="315">
        <v>1</v>
      </c>
      <c r="E56" s="435">
        <v>153500</v>
      </c>
      <c r="F56" s="428">
        <f t="shared" si="164"/>
        <v>153500</v>
      </c>
      <c r="G56" s="928"/>
      <c r="H56" s="704"/>
      <c r="I56" s="760">
        <f t="shared" si="106"/>
        <v>153500</v>
      </c>
      <c r="J56" s="226">
        <f t="shared" si="154"/>
        <v>0</v>
      </c>
      <c r="K56" s="325" t="s">
        <v>148</v>
      </c>
      <c r="L56" s="348" t="s">
        <v>257</v>
      </c>
      <c r="M56" s="326" t="s">
        <v>258</v>
      </c>
      <c r="N56" s="315">
        <v>1</v>
      </c>
      <c r="O56" s="459">
        <v>121000</v>
      </c>
      <c r="P56" s="465">
        <f t="shared" si="165"/>
        <v>121000</v>
      </c>
      <c r="Q56" s="928"/>
      <c r="R56" s="704"/>
      <c r="S56" s="760">
        <f t="shared" si="107"/>
        <v>121000</v>
      </c>
      <c r="T56" s="226">
        <f t="shared" si="155"/>
        <v>0</v>
      </c>
      <c r="U56" s="513" t="s">
        <v>148</v>
      </c>
      <c r="V56" s="530" t="s">
        <v>452</v>
      </c>
      <c r="W56" s="517" t="s">
        <v>258</v>
      </c>
      <c r="X56" s="508">
        <v>1</v>
      </c>
      <c r="Y56" s="522">
        <v>45000</v>
      </c>
      <c r="Z56" s="515">
        <f t="shared" si="166"/>
        <v>45000</v>
      </c>
      <c r="AA56" s="502"/>
      <c r="AB56" s="704"/>
      <c r="AC56" s="760">
        <f t="shared" si="108"/>
        <v>45000</v>
      </c>
      <c r="AD56" s="226">
        <f t="shared" si="156"/>
        <v>0</v>
      </c>
      <c r="AE56" s="614" t="s">
        <v>148</v>
      </c>
      <c r="AF56" s="637" t="s">
        <v>508</v>
      </c>
      <c r="AG56" s="615" t="s">
        <v>258</v>
      </c>
      <c r="AH56" s="598">
        <v>1</v>
      </c>
      <c r="AI56" s="625">
        <v>225000</v>
      </c>
      <c r="AJ56" s="618">
        <f t="shared" si="167"/>
        <v>225000</v>
      </c>
      <c r="AK56" s="928"/>
      <c r="AL56" s="704"/>
      <c r="AM56" s="760">
        <f t="shared" si="109"/>
        <v>225000</v>
      </c>
      <c r="AN56" s="226">
        <f t="shared" si="157"/>
        <v>0</v>
      </c>
      <c r="AO56" s="325" t="s">
        <v>148</v>
      </c>
      <c r="AP56" s="348" t="s">
        <v>257</v>
      </c>
      <c r="AQ56" s="326" t="s">
        <v>258</v>
      </c>
      <c r="AR56" s="315">
        <v>1</v>
      </c>
      <c r="AS56" s="336">
        <v>489430</v>
      </c>
      <c r="AT56" s="675">
        <f t="shared" si="168"/>
        <v>489430</v>
      </c>
      <c r="AU56" s="956"/>
      <c r="AV56" s="704"/>
      <c r="AW56" s="760">
        <f t="shared" si="110"/>
        <v>489430</v>
      </c>
      <c r="AX56" s="226">
        <f t="shared" si="158"/>
        <v>0</v>
      </c>
      <c r="AY56" s="325" t="s">
        <v>148</v>
      </c>
      <c r="AZ56" s="348" t="s">
        <v>257</v>
      </c>
      <c r="BA56" s="326" t="s">
        <v>258</v>
      </c>
      <c r="BB56" s="315">
        <v>1</v>
      </c>
      <c r="BC56" s="725">
        <v>60350</v>
      </c>
      <c r="BD56" s="724">
        <f t="shared" si="169"/>
        <v>60350</v>
      </c>
      <c r="BE56" s="928"/>
      <c r="BF56" s="704"/>
      <c r="BG56" s="760">
        <f t="shared" si="111"/>
        <v>60350</v>
      </c>
      <c r="BH56" s="226">
        <f t="shared" si="159"/>
        <v>0</v>
      </c>
      <c r="BI56" s="325" t="s">
        <v>148</v>
      </c>
      <c r="BJ56" s="348" t="s">
        <v>257</v>
      </c>
      <c r="BK56" s="326" t="s">
        <v>258</v>
      </c>
      <c r="BL56" s="315">
        <v>1</v>
      </c>
      <c r="BM56" s="336">
        <v>398900</v>
      </c>
      <c r="BN56" s="675">
        <f t="shared" si="170"/>
        <v>398900</v>
      </c>
      <c r="BO56" s="928"/>
      <c r="BP56" s="704"/>
      <c r="BQ56" s="760">
        <f t="shared" si="112"/>
        <v>398900</v>
      </c>
      <c r="BR56" s="226">
        <f t="shared" si="160"/>
        <v>0</v>
      </c>
      <c r="BS56" s="325" t="s">
        <v>148</v>
      </c>
      <c r="BT56" s="348" t="s">
        <v>257</v>
      </c>
      <c r="BU56" s="326" t="s">
        <v>258</v>
      </c>
      <c r="BV56" s="315">
        <v>1</v>
      </c>
      <c r="BW56" s="336">
        <v>453200</v>
      </c>
      <c r="BX56" s="675">
        <f t="shared" si="171"/>
        <v>453200</v>
      </c>
      <c r="BY56" s="928"/>
      <c r="BZ56" s="704"/>
      <c r="CA56" s="760">
        <f t="shared" si="113"/>
        <v>453200</v>
      </c>
      <c r="CB56" s="226">
        <f t="shared" si="161"/>
        <v>0</v>
      </c>
      <c r="CC56" s="325" t="s">
        <v>148</v>
      </c>
      <c r="CD56" s="348" t="s">
        <v>257</v>
      </c>
      <c r="CE56" s="326" t="s">
        <v>258</v>
      </c>
      <c r="CF56" s="315">
        <v>1</v>
      </c>
      <c r="CG56" s="336">
        <v>432900</v>
      </c>
      <c r="CH56" s="675">
        <f t="shared" si="172"/>
        <v>432900</v>
      </c>
      <c r="CI56" s="928"/>
      <c r="CJ56" s="704"/>
      <c r="CK56" s="760">
        <f t="shared" si="114"/>
        <v>432900</v>
      </c>
      <c r="CL56" s="226">
        <f t="shared" si="162"/>
        <v>0</v>
      </c>
      <c r="CM56" s="325" t="s">
        <v>148</v>
      </c>
      <c r="CN56" s="348" t="s">
        <v>257</v>
      </c>
      <c r="CO56" s="326" t="s">
        <v>258</v>
      </c>
      <c r="CP56" s="315">
        <v>1</v>
      </c>
      <c r="CQ56" s="336">
        <v>180000</v>
      </c>
      <c r="CR56" s="465">
        <f t="shared" si="173"/>
        <v>180000</v>
      </c>
      <c r="CS56" s="928"/>
      <c r="CT56" s="704"/>
      <c r="CU56" s="760">
        <f t="shared" si="115"/>
        <v>180000</v>
      </c>
      <c r="CV56" s="226">
        <f t="shared" si="163"/>
        <v>0</v>
      </c>
    </row>
    <row r="57" spans="1:100" s="208" customFormat="1" ht="61.5" outlineLevel="2" thickTop="1" thickBot="1">
      <c r="A57" s="325" t="s">
        <v>259</v>
      </c>
      <c r="B57" s="448" t="s">
        <v>260</v>
      </c>
      <c r="C57" s="326" t="s">
        <v>258</v>
      </c>
      <c r="D57" s="315">
        <v>1</v>
      </c>
      <c r="E57" s="435">
        <v>453600</v>
      </c>
      <c r="F57" s="428">
        <f t="shared" si="164"/>
        <v>453600</v>
      </c>
      <c r="G57" s="928"/>
      <c r="H57" s="704"/>
      <c r="I57" s="760">
        <f t="shared" si="106"/>
        <v>453600</v>
      </c>
      <c r="J57" s="226">
        <f t="shared" si="154"/>
        <v>0</v>
      </c>
      <c r="K57" s="325" t="s">
        <v>259</v>
      </c>
      <c r="L57" s="354" t="s">
        <v>260</v>
      </c>
      <c r="M57" s="326" t="s">
        <v>258</v>
      </c>
      <c r="N57" s="315">
        <v>1</v>
      </c>
      <c r="O57" s="459">
        <v>392000</v>
      </c>
      <c r="P57" s="465">
        <f t="shared" si="165"/>
        <v>392000</v>
      </c>
      <c r="Q57" s="928"/>
      <c r="R57" s="704"/>
      <c r="S57" s="760">
        <f t="shared" si="107"/>
        <v>392000</v>
      </c>
      <c r="T57" s="226">
        <f t="shared" si="155"/>
        <v>0</v>
      </c>
      <c r="U57" s="513" t="s">
        <v>259</v>
      </c>
      <c r="V57" s="536" t="s">
        <v>453</v>
      </c>
      <c r="W57" s="517" t="s">
        <v>258</v>
      </c>
      <c r="X57" s="508">
        <v>1</v>
      </c>
      <c r="Y57" s="522">
        <v>325000</v>
      </c>
      <c r="Z57" s="515">
        <f t="shared" si="166"/>
        <v>325000</v>
      </c>
      <c r="AA57" s="502"/>
      <c r="AB57" s="704"/>
      <c r="AC57" s="760">
        <f t="shared" si="108"/>
        <v>325000</v>
      </c>
      <c r="AD57" s="226">
        <f t="shared" si="156"/>
        <v>0</v>
      </c>
      <c r="AE57" s="614" t="s">
        <v>259</v>
      </c>
      <c r="AF57" s="643" t="s">
        <v>509</v>
      </c>
      <c r="AG57" s="615" t="s">
        <v>258</v>
      </c>
      <c r="AH57" s="598">
        <v>1</v>
      </c>
      <c r="AI57" s="625">
        <v>650000</v>
      </c>
      <c r="AJ57" s="618">
        <f t="shared" si="167"/>
        <v>650000</v>
      </c>
      <c r="AK57" s="928"/>
      <c r="AL57" s="704"/>
      <c r="AM57" s="760">
        <f t="shared" si="109"/>
        <v>650000</v>
      </c>
      <c r="AN57" s="226">
        <f t="shared" si="157"/>
        <v>0</v>
      </c>
      <c r="AO57" s="325" t="s">
        <v>259</v>
      </c>
      <c r="AP57" s="684" t="s">
        <v>260</v>
      </c>
      <c r="AQ57" s="326" t="s">
        <v>258</v>
      </c>
      <c r="AR57" s="315">
        <v>1</v>
      </c>
      <c r="AS57" s="336">
        <v>433900</v>
      </c>
      <c r="AT57" s="675">
        <f t="shared" si="168"/>
        <v>433900</v>
      </c>
      <c r="AU57" s="956"/>
      <c r="AV57" s="704"/>
      <c r="AW57" s="760">
        <f t="shared" si="110"/>
        <v>433900</v>
      </c>
      <c r="AX57" s="226">
        <f t="shared" si="158"/>
        <v>0</v>
      </c>
      <c r="AY57" s="325" t="s">
        <v>259</v>
      </c>
      <c r="AZ57" s="354" t="s">
        <v>260</v>
      </c>
      <c r="BA57" s="326" t="s">
        <v>258</v>
      </c>
      <c r="BB57" s="315">
        <v>1</v>
      </c>
      <c r="BC57" s="725">
        <v>248500</v>
      </c>
      <c r="BD57" s="724">
        <f t="shared" si="169"/>
        <v>248500</v>
      </c>
      <c r="BE57" s="928"/>
      <c r="BF57" s="704"/>
      <c r="BG57" s="760">
        <f t="shared" si="111"/>
        <v>248500</v>
      </c>
      <c r="BH57" s="226">
        <f t="shared" si="159"/>
        <v>0</v>
      </c>
      <c r="BI57" s="325" t="s">
        <v>259</v>
      </c>
      <c r="BJ57" s="684" t="s">
        <v>260</v>
      </c>
      <c r="BK57" s="326" t="s">
        <v>258</v>
      </c>
      <c r="BL57" s="315">
        <v>1</v>
      </c>
      <c r="BM57" s="336">
        <v>432100</v>
      </c>
      <c r="BN57" s="675">
        <f t="shared" si="170"/>
        <v>432100</v>
      </c>
      <c r="BO57" s="928"/>
      <c r="BP57" s="704"/>
      <c r="BQ57" s="760">
        <f t="shared" si="112"/>
        <v>432100</v>
      </c>
      <c r="BR57" s="226">
        <f t="shared" si="160"/>
        <v>0</v>
      </c>
      <c r="BS57" s="325" t="s">
        <v>259</v>
      </c>
      <c r="BT57" s="684" t="s">
        <v>260</v>
      </c>
      <c r="BU57" s="326" t="s">
        <v>258</v>
      </c>
      <c r="BV57" s="315">
        <v>1</v>
      </c>
      <c r="BW57" s="336">
        <v>421876</v>
      </c>
      <c r="BX57" s="675">
        <f t="shared" si="171"/>
        <v>421876</v>
      </c>
      <c r="BY57" s="928"/>
      <c r="BZ57" s="704"/>
      <c r="CA57" s="760">
        <f t="shared" si="113"/>
        <v>421876</v>
      </c>
      <c r="CB57" s="226">
        <f t="shared" si="161"/>
        <v>0</v>
      </c>
      <c r="CC57" s="325" t="s">
        <v>259</v>
      </c>
      <c r="CD57" s="684" t="s">
        <v>260</v>
      </c>
      <c r="CE57" s="326" t="s">
        <v>258</v>
      </c>
      <c r="CF57" s="315">
        <v>1</v>
      </c>
      <c r="CG57" s="336">
        <v>418900</v>
      </c>
      <c r="CH57" s="675">
        <f t="shared" si="172"/>
        <v>418900</v>
      </c>
      <c r="CI57" s="928"/>
      <c r="CJ57" s="704"/>
      <c r="CK57" s="760">
        <f t="shared" si="114"/>
        <v>418900</v>
      </c>
      <c r="CL57" s="226">
        <f t="shared" si="162"/>
        <v>0</v>
      </c>
      <c r="CM57" s="325" t="s">
        <v>259</v>
      </c>
      <c r="CN57" s="354" t="s">
        <v>260</v>
      </c>
      <c r="CO57" s="326" t="s">
        <v>258</v>
      </c>
      <c r="CP57" s="315">
        <v>1</v>
      </c>
      <c r="CQ57" s="336">
        <v>590000</v>
      </c>
      <c r="CR57" s="465">
        <f t="shared" si="173"/>
        <v>590000</v>
      </c>
      <c r="CS57" s="928"/>
      <c r="CT57" s="704"/>
      <c r="CU57" s="760">
        <f t="shared" si="115"/>
        <v>590000</v>
      </c>
      <c r="CV57" s="226">
        <f t="shared" si="163"/>
        <v>0</v>
      </c>
    </row>
    <row r="58" spans="1:100" s="208" customFormat="1" ht="76.5" outlineLevel="2" thickTop="1" thickBot="1">
      <c r="A58" s="325" t="s">
        <v>261</v>
      </c>
      <c r="B58" s="448" t="s">
        <v>262</v>
      </c>
      <c r="C58" s="326" t="s">
        <v>258</v>
      </c>
      <c r="D58" s="315">
        <v>1</v>
      </c>
      <c r="E58" s="435">
        <v>4538600</v>
      </c>
      <c r="F58" s="428">
        <f t="shared" si="164"/>
        <v>4538600</v>
      </c>
      <c r="G58" s="928"/>
      <c r="H58" s="704"/>
      <c r="I58" s="760">
        <f t="shared" si="106"/>
        <v>4538600</v>
      </c>
      <c r="J58" s="226">
        <f t="shared" si="154"/>
        <v>0</v>
      </c>
      <c r="K58" s="325" t="s">
        <v>261</v>
      </c>
      <c r="L58" s="354" t="s">
        <v>262</v>
      </c>
      <c r="M58" s="326" t="s">
        <v>258</v>
      </c>
      <c r="N58" s="315">
        <v>1</v>
      </c>
      <c r="O58" s="459">
        <v>2450000</v>
      </c>
      <c r="P58" s="465">
        <f t="shared" si="165"/>
        <v>2450000</v>
      </c>
      <c r="Q58" s="928"/>
      <c r="R58" s="704"/>
      <c r="S58" s="760">
        <f t="shared" si="107"/>
        <v>2450000</v>
      </c>
      <c r="T58" s="226">
        <f t="shared" si="155"/>
        <v>0</v>
      </c>
      <c r="U58" s="513" t="s">
        <v>261</v>
      </c>
      <c r="V58" s="536" t="s">
        <v>454</v>
      </c>
      <c r="W58" s="517" t="s">
        <v>258</v>
      </c>
      <c r="X58" s="508">
        <v>1</v>
      </c>
      <c r="Y58" s="522">
        <v>5190000</v>
      </c>
      <c r="Z58" s="515">
        <f t="shared" si="166"/>
        <v>5190000</v>
      </c>
      <c r="AA58" s="502"/>
      <c r="AB58" s="704"/>
      <c r="AC58" s="760">
        <f t="shared" si="108"/>
        <v>5190000</v>
      </c>
      <c r="AD58" s="226">
        <f t="shared" si="156"/>
        <v>0</v>
      </c>
      <c r="AE58" s="614" t="s">
        <v>261</v>
      </c>
      <c r="AF58" s="643" t="s">
        <v>510</v>
      </c>
      <c r="AG58" s="615" t="s">
        <v>258</v>
      </c>
      <c r="AH58" s="598">
        <v>1</v>
      </c>
      <c r="AI58" s="625">
        <v>4000000</v>
      </c>
      <c r="AJ58" s="618">
        <f t="shared" si="167"/>
        <v>4000000</v>
      </c>
      <c r="AK58" s="928"/>
      <c r="AL58" s="704"/>
      <c r="AM58" s="760">
        <f t="shared" si="109"/>
        <v>4000000</v>
      </c>
      <c r="AN58" s="226">
        <f t="shared" si="157"/>
        <v>0</v>
      </c>
      <c r="AO58" s="325" t="s">
        <v>261</v>
      </c>
      <c r="AP58" s="684" t="s">
        <v>262</v>
      </c>
      <c r="AQ58" s="326" t="s">
        <v>258</v>
      </c>
      <c r="AR58" s="315">
        <v>1</v>
      </c>
      <c r="AS58" s="336">
        <v>3980000</v>
      </c>
      <c r="AT58" s="675">
        <f t="shared" si="168"/>
        <v>3980000</v>
      </c>
      <c r="AU58" s="956"/>
      <c r="AV58" s="704"/>
      <c r="AW58" s="760">
        <f t="shared" si="110"/>
        <v>3980000</v>
      </c>
      <c r="AX58" s="226">
        <f t="shared" si="158"/>
        <v>0</v>
      </c>
      <c r="AY58" s="325" t="s">
        <v>261</v>
      </c>
      <c r="AZ58" s="354" t="s">
        <v>262</v>
      </c>
      <c r="BA58" s="326" t="s">
        <v>258</v>
      </c>
      <c r="BB58" s="315">
        <v>1</v>
      </c>
      <c r="BC58" s="725">
        <v>1313500</v>
      </c>
      <c r="BD58" s="724">
        <f t="shared" si="169"/>
        <v>1313500</v>
      </c>
      <c r="BE58" s="928"/>
      <c r="BF58" s="704"/>
      <c r="BG58" s="760">
        <f t="shared" si="111"/>
        <v>1313500</v>
      </c>
      <c r="BH58" s="226">
        <f t="shared" si="159"/>
        <v>0</v>
      </c>
      <c r="BI58" s="325" t="s">
        <v>261</v>
      </c>
      <c r="BJ58" s="684" t="s">
        <v>262</v>
      </c>
      <c r="BK58" s="326" t="s">
        <v>258</v>
      </c>
      <c r="BL58" s="315">
        <v>1</v>
      </c>
      <c r="BM58" s="336">
        <v>4007890</v>
      </c>
      <c r="BN58" s="675">
        <f t="shared" si="170"/>
        <v>4007890</v>
      </c>
      <c r="BO58" s="928"/>
      <c r="BP58" s="704"/>
      <c r="BQ58" s="760">
        <f t="shared" si="112"/>
        <v>4007890</v>
      </c>
      <c r="BR58" s="226">
        <f t="shared" si="160"/>
        <v>0</v>
      </c>
      <c r="BS58" s="325" t="s">
        <v>261</v>
      </c>
      <c r="BT58" s="684" t="s">
        <v>262</v>
      </c>
      <c r="BU58" s="326" t="s">
        <v>258</v>
      </c>
      <c r="BV58" s="315">
        <v>1</v>
      </c>
      <c r="BW58" s="336">
        <v>4101000</v>
      </c>
      <c r="BX58" s="675">
        <f t="shared" si="171"/>
        <v>4101000</v>
      </c>
      <c r="BY58" s="928"/>
      <c r="BZ58" s="704"/>
      <c r="CA58" s="760">
        <f t="shared" si="113"/>
        <v>4101000</v>
      </c>
      <c r="CB58" s="226">
        <f t="shared" si="161"/>
        <v>0</v>
      </c>
      <c r="CC58" s="325" t="s">
        <v>261</v>
      </c>
      <c r="CD58" s="684" t="s">
        <v>262</v>
      </c>
      <c r="CE58" s="326" t="s">
        <v>258</v>
      </c>
      <c r="CF58" s="315">
        <v>1</v>
      </c>
      <c r="CG58" s="336">
        <v>3980780</v>
      </c>
      <c r="CH58" s="675">
        <f t="shared" si="172"/>
        <v>3980780</v>
      </c>
      <c r="CI58" s="928"/>
      <c r="CJ58" s="704"/>
      <c r="CK58" s="760">
        <f t="shared" si="114"/>
        <v>3980780</v>
      </c>
      <c r="CL58" s="226">
        <f t="shared" si="162"/>
        <v>0</v>
      </c>
      <c r="CM58" s="325" t="s">
        <v>261</v>
      </c>
      <c r="CN58" s="755" t="s">
        <v>262</v>
      </c>
      <c r="CO58" s="326" t="s">
        <v>258</v>
      </c>
      <c r="CP58" s="315">
        <v>1</v>
      </c>
      <c r="CQ58" s="336">
        <v>4350000</v>
      </c>
      <c r="CR58" s="465">
        <f t="shared" si="173"/>
        <v>4350000</v>
      </c>
      <c r="CS58" s="928"/>
      <c r="CT58" s="704"/>
      <c r="CU58" s="760">
        <f t="shared" si="115"/>
        <v>4350000</v>
      </c>
      <c r="CV58" s="226">
        <f t="shared" si="163"/>
        <v>0</v>
      </c>
    </row>
    <row r="59" spans="1:100" s="208" customFormat="1" ht="76.5" outlineLevel="2" thickTop="1" thickBot="1">
      <c r="A59" s="325" t="s">
        <v>263</v>
      </c>
      <c r="B59" s="448" t="s">
        <v>264</v>
      </c>
      <c r="C59" s="326" t="s">
        <v>191</v>
      </c>
      <c r="D59" s="315">
        <v>20</v>
      </c>
      <c r="E59" s="435">
        <v>91700</v>
      </c>
      <c r="F59" s="428">
        <f t="shared" si="164"/>
        <v>1834000</v>
      </c>
      <c r="G59" s="928"/>
      <c r="H59" s="704"/>
      <c r="I59" s="760">
        <f t="shared" si="106"/>
        <v>1834000</v>
      </c>
      <c r="J59" s="226">
        <f t="shared" si="154"/>
        <v>0</v>
      </c>
      <c r="K59" s="325" t="s">
        <v>263</v>
      </c>
      <c r="L59" s="354" t="s">
        <v>264</v>
      </c>
      <c r="M59" s="326" t="s">
        <v>191</v>
      </c>
      <c r="N59" s="315">
        <v>20</v>
      </c>
      <c r="O59" s="459">
        <v>68500</v>
      </c>
      <c r="P59" s="465">
        <f t="shared" si="165"/>
        <v>1370000</v>
      </c>
      <c r="Q59" s="928"/>
      <c r="R59" s="704"/>
      <c r="S59" s="760">
        <f t="shared" si="107"/>
        <v>1370000</v>
      </c>
      <c r="T59" s="226">
        <f t="shared" si="155"/>
        <v>0</v>
      </c>
      <c r="U59" s="513" t="s">
        <v>263</v>
      </c>
      <c r="V59" s="536" t="s">
        <v>455</v>
      </c>
      <c r="W59" s="517" t="s">
        <v>191</v>
      </c>
      <c r="X59" s="508">
        <v>20</v>
      </c>
      <c r="Y59" s="522">
        <v>89500</v>
      </c>
      <c r="Z59" s="515">
        <f t="shared" si="166"/>
        <v>1790000</v>
      </c>
      <c r="AA59" s="502"/>
      <c r="AB59" s="704"/>
      <c r="AC59" s="760">
        <f t="shared" si="108"/>
        <v>1790000</v>
      </c>
      <c r="AD59" s="226">
        <f t="shared" si="156"/>
        <v>0</v>
      </c>
      <c r="AE59" s="614" t="s">
        <v>263</v>
      </c>
      <c r="AF59" s="643" t="s">
        <v>511</v>
      </c>
      <c r="AG59" s="615" t="s">
        <v>191</v>
      </c>
      <c r="AH59" s="598">
        <v>20</v>
      </c>
      <c r="AI59" s="625">
        <v>95000</v>
      </c>
      <c r="AJ59" s="618">
        <f t="shared" si="167"/>
        <v>1900000</v>
      </c>
      <c r="AK59" s="928"/>
      <c r="AL59" s="704"/>
      <c r="AM59" s="760">
        <f t="shared" si="109"/>
        <v>1900000</v>
      </c>
      <c r="AN59" s="226">
        <f t="shared" si="157"/>
        <v>0</v>
      </c>
      <c r="AO59" s="325" t="s">
        <v>263</v>
      </c>
      <c r="AP59" s="684" t="s">
        <v>264</v>
      </c>
      <c r="AQ59" s="326" t="s">
        <v>191</v>
      </c>
      <c r="AR59" s="315">
        <v>20</v>
      </c>
      <c r="AS59" s="336">
        <v>98500</v>
      </c>
      <c r="AT59" s="675">
        <f t="shared" si="168"/>
        <v>1970000</v>
      </c>
      <c r="AU59" s="956"/>
      <c r="AV59" s="704"/>
      <c r="AW59" s="760">
        <f t="shared" si="110"/>
        <v>1970000</v>
      </c>
      <c r="AX59" s="226">
        <f t="shared" si="158"/>
        <v>0</v>
      </c>
      <c r="AY59" s="325" t="s">
        <v>263</v>
      </c>
      <c r="AZ59" s="354" t="s">
        <v>264</v>
      </c>
      <c r="BA59" s="326" t="s">
        <v>191</v>
      </c>
      <c r="BB59" s="315">
        <v>20</v>
      </c>
      <c r="BC59" s="725">
        <v>131350</v>
      </c>
      <c r="BD59" s="724">
        <f t="shared" si="169"/>
        <v>2627000</v>
      </c>
      <c r="BE59" s="928"/>
      <c r="BF59" s="704"/>
      <c r="BG59" s="760">
        <f t="shared" si="111"/>
        <v>2627000</v>
      </c>
      <c r="BH59" s="226">
        <f t="shared" si="159"/>
        <v>0</v>
      </c>
      <c r="BI59" s="325" t="s">
        <v>263</v>
      </c>
      <c r="BJ59" s="684" t="s">
        <v>264</v>
      </c>
      <c r="BK59" s="326" t="s">
        <v>191</v>
      </c>
      <c r="BL59" s="315">
        <v>20</v>
      </c>
      <c r="BM59" s="336">
        <v>97300</v>
      </c>
      <c r="BN59" s="675">
        <f t="shared" si="170"/>
        <v>1946000</v>
      </c>
      <c r="BO59" s="928"/>
      <c r="BP59" s="704"/>
      <c r="BQ59" s="760">
        <f t="shared" si="112"/>
        <v>1946000</v>
      </c>
      <c r="BR59" s="226">
        <f t="shared" si="160"/>
        <v>0</v>
      </c>
      <c r="BS59" s="325" t="s">
        <v>263</v>
      </c>
      <c r="BT59" s="684" t="s">
        <v>264</v>
      </c>
      <c r="BU59" s="326" t="s">
        <v>191</v>
      </c>
      <c r="BV59" s="315">
        <v>20</v>
      </c>
      <c r="BW59" s="336">
        <v>97100</v>
      </c>
      <c r="BX59" s="675">
        <f t="shared" si="171"/>
        <v>1942000</v>
      </c>
      <c r="BY59" s="928"/>
      <c r="BZ59" s="704"/>
      <c r="CA59" s="760">
        <f t="shared" si="113"/>
        <v>1942000</v>
      </c>
      <c r="CB59" s="226">
        <f t="shared" si="161"/>
        <v>0</v>
      </c>
      <c r="CC59" s="325" t="s">
        <v>263</v>
      </c>
      <c r="CD59" s="684" t="s">
        <v>264</v>
      </c>
      <c r="CE59" s="326" t="s">
        <v>191</v>
      </c>
      <c r="CF59" s="315">
        <v>20</v>
      </c>
      <c r="CG59" s="336">
        <v>96390</v>
      </c>
      <c r="CH59" s="675">
        <f t="shared" si="172"/>
        <v>1927800</v>
      </c>
      <c r="CI59" s="928"/>
      <c r="CJ59" s="704"/>
      <c r="CK59" s="760">
        <f t="shared" si="114"/>
        <v>1927800</v>
      </c>
      <c r="CL59" s="226">
        <f t="shared" si="162"/>
        <v>0</v>
      </c>
      <c r="CM59" s="325" t="s">
        <v>263</v>
      </c>
      <c r="CN59" s="354" t="s">
        <v>264</v>
      </c>
      <c r="CO59" s="326" t="s">
        <v>191</v>
      </c>
      <c r="CP59" s="315">
        <v>20</v>
      </c>
      <c r="CQ59" s="336">
        <v>105900</v>
      </c>
      <c r="CR59" s="465">
        <f t="shared" si="173"/>
        <v>2118000</v>
      </c>
      <c r="CS59" s="928"/>
      <c r="CT59" s="704"/>
      <c r="CU59" s="760">
        <f t="shared" si="115"/>
        <v>2118000</v>
      </c>
      <c r="CV59" s="226">
        <f t="shared" si="163"/>
        <v>0</v>
      </c>
    </row>
    <row r="60" spans="1:100" s="208" customFormat="1" ht="61.5" outlineLevel="2" thickTop="1" thickBot="1">
      <c r="A60" s="325" t="s">
        <v>265</v>
      </c>
      <c r="B60" s="449" t="s">
        <v>266</v>
      </c>
      <c r="C60" s="326" t="s">
        <v>92</v>
      </c>
      <c r="D60" s="315">
        <v>144</v>
      </c>
      <c r="E60" s="435">
        <v>15345</v>
      </c>
      <c r="F60" s="428">
        <f t="shared" si="164"/>
        <v>2209680</v>
      </c>
      <c r="G60" s="928"/>
      <c r="H60" s="704"/>
      <c r="I60" s="760">
        <f t="shared" si="106"/>
        <v>2209680</v>
      </c>
      <c r="J60" s="226">
        <f t="shared" si="154"/>
        <v>0</v>
      </c>
      <c r="K60" s="325" t="s">
        <v>265</v>
      </c>
      <c r="L60" s="355" t="s">
        <v>266</v>
      </c>
      <c r="M60" s="326" t="s">
        <v>92</v>
      </c>
      <c r="N60" s="315">
        <v>144</v>
      </c>
      <c r="O60" s="459">
        <v>27500</v>
      </c>
      <c r="P60" s="465">
        <f t="shared" si="165"/>
        <v>3960000</v>
      </c>
      <c r="Q60" s="928"/>
      <c r="R60" s="704"/>
      <c r="S60" s="760">
        <f t="shared" si="107"/>
        <v>3960000</v>
      </c>
      <c r="T60" s="226">
        <f t="shared" si="155"/>
        <v>0</v>
      </c>
      <c r="U60" s="513" t="s">
        <v>265</v>
      </c>
      <c r="V60" s="1038" t="s">
        <v>456</v>
      </c>
      <c r="W60" s="1027" t="s">
        <v>92</v>
      </c>
      <c r="X60" s="1035">
        <v>144</v>
      </c>
      <c r="Y60" s="522">
        <v>22000</v>
      </c>
      <c r="Z60" s="515">
        <f t="shared" si="166"/>
        <v>3168000</v>
      </c>
      <c r="AA60" s="502"/>
      <c r="AB60" s="704"/>
      <c r="AC60" s="760">
        <f t="shared" si="108"/>
        <v>3168000</v>
      </c>
      <c r="AD60" s="226">
        <f t="shared" si="156"/>
        <v>0</v>
      </c>
      <c r="AE60" s="614" t="s">
        <v>265</v>
      </c>
      <c r="AF60" s="644" t="s">
        <v>512</v>
      </c>
      <c r="AG60" s="615" t="s">
        <v>92</v>
      </c>
      <c r="AH60" s="598">
        <v>144</v>
      </c>
      <c r="AI60" s="625">
        <v>12000</v>
      </c>
      <c r="AJ60" s="618">
        <f t="shared" si="167"/>
        <v>1728000</v>
      </c>
      <c r="AK60" s="928"/>
      <c r="AL60" s="704"/>
      <c r="AM60" s="760">
        <f t="shared" si="109"/>
        <v>1728000</v>
      </c>
      <c r="AN60" s="226">
        <f t="shared" si="157"/>
        <v>0</v>
      </c>
      <c r="AO60" s="325" t="s">
        <v>265</v>
      </c>
      <c r="AP60" s="685" t="s">
        <v>266</v>
      </c>
      <c r="AQ60" s="326" t="s">
        <v>92</v>
      </c>
      <c r="AR60" s="315">
        <v>144</v>
      </c>
      <c r="AS60" s="336">
        <v>48900</v>
      </c>
      <c r="AT60" s="675">
        <f t="shared" si="168"/>
        <v>7041600</v>
      </c>
      <c r="AU60" s="956"/>
      <c r="AV60" s="704"/>
      <c r="AW60" s="760">
        <f t="shared" si="110"/>
        <v>7041600</v>
      </c>
      <c r="AX60" s="226">
        <f t="shared" si="158"/>
        <v>0</v>
      </c>
      <c r="AY60" s="325" t="s">
        <v>265</v>
      </c>
      <c r="AZ60" s="355" t="s">
        <v>266</v>
      </c>
      <c r="BA60" s="326" t="s">
        <v>92</v>
      </c>
      <c r="BB60" s="315">
        <v>144</v>
      </c>
      <c r="BC60" s="725">
        <v>8520</v>
      </c>
      <c r="BD60" s="724">
        <f t="shared" si="169"/>
        <v>1226880</v>
      </c>
      <c r="BE60" s="928"/>
      <c r="BF60" s="704"/>
      <c r="BG60" s="760">
        <f t="shared" si="111"/>
        <v>1226880</v>
      </c>
      <c r="BH60" s="226">
        <f t="shared" si="159"/>
        <v>0</v>
      </c>
      <c r="BI60" s="325" t="s">
        <v>265</v>
      </c>
      <c r="BJ60" s="685" t="s">
        <v>266</v>
      </c>
      <c r="BK60" s="326" t="s">
        <v>92</v>
      </c>
      <c r="BL60" s="315">
        <v>144</v>
      </c>
      <c r="BM60" s="336">
        <v>46874</v>
      </c>
      <c r="BN60" s="675">
        <f t="shared" si="170"/>
        <v>6749856</v>
      </c>
      <c r="BO60" s="928"/>
      <c r="BP60" s="704"/>
      <c r="BQ60" s="760">
        <f t="shared" si="112"/>
        <v>6749856</v>
      </c>
      <c r="BR60" s="226">
        <f t="shared" si="160"/>
        <v>0</v>
      </c>
      <c r="BS60" s="325" t="s">
        <v>265</v>
      </c>
      <c r="BT60" s="685" t="s">
        <v>266</v>
      </c>
      <c r="BU60" s="326" t="s">
        <v>92</v>
      </c>
      <c r="BV60" s="315">
        <v>144</v>
      </c>
      <c r="BW60" s="336">
        <v>48100</v>
      </c>
      <c r="BX60" s="675">
        <f t="shared" si="171"/>
        <v>6926400</v>
      </c>
      <c r="BY60" s="928"/>
      <c r="BZ60" s="704"/>
      <c r="CA60" s="760">
        <f t="shared" si="113"/>
        <v>6926400</v>
      </c>
      <c r="CB60" s="226">
        <f t="shared" si="161"/>
        <v>0</v>
      </c>
      <c r="CC60" s="325" t="s">
        <v>265</v>
      </c>
      <c r="CD60" s="685" t="s">
        <v>266</v>
      </c>
      <c r="CE60" s="326" t="s">
        <v>92</v>
      </c>
      <c r="CF60" s="315">
        <v>144</v>
      </c>
      <c r="CG60" s="336">
        <v>47980</v>
      </c>
      <c r="CH60" s="675">
        <f t="shared" si="172"/>
        <v>6909120</v>
      </c>
      <c r="CI60" s="928"/>
      <c r="CJ60" s="704"/>
      <c r="CK60" s="760">
        <f t="shared" si="114"/>
        <v>6909120</v>
      </c>
      <c r="CL60" s="226">
        <f t="shared" si="162"/>
        <v>0</v>
      </c>
      <c r="CM60" s="325" t="s">
        <v>265</v>
      </c>
      <c r="CN60" s="355" t="s">
        <v>266</v>
      </c>
      <c r="CO60" s="326" t="s">
        <v>92</v>
      </c>
      <c r="CP60" s="315">
        <v>144</v>
      </c>
      <c r="CQ60" s="336">
        <v>16000</v>
      </c>
      <c r="CR60" s="465">
        <f t="shared" si="173"/>
        <v>2304000</v>
      </c>
      <c r="CS60" s="928"/>
      <c r="CT60" s="704"/>
      <c r="CU60" s="760">
        <f t="shared" si="115"/>
        <v>2304000</v>
      </c>
      <c r="CV60" s="226">
        <f t="shared" si="163"/>
        <v>0</v>
      </c>
    </row>
    <row r="61" spans="1:100" s="208" customFormat="1" ht="106.5" outlineLevel="2" thickTop="1" thickBot="1">
      <c r="A61" s="325" t="s">
        <v>267</v>
      </c>
      <c r="B61" s="449" t="s">
        <v>268</v>
      </c>
      <c r="C61" s="326" t="s">
        <v>93</v>
      </c>
      <c r="D61" s="315">
        <v>2</v>
      </c>
      <c r="E61" s="435">
        <v>1185750</v>
      </c>
      <c r="F61" s="428">
        <f t="shared" si="164"/>
        <v>2371500</v>
      </c>
      <c r="G61" s="928"/>
      <c r="H61" s="704"/>
      <c r="I61" s="760">
        <f t="shared" si="106"/>
        <v>2371500</v>
      </c>
      <c r="J61" s="226">
        <f t="shared" si="154"/>
        <v>0</v>
      </c>
      <c r="K61" s="325" t="s">
        <v>267</v>
      </c>
      <c r="L61" s="355" t="s">
        <v>268</v>
      </c>
      <c r="M61" s="326" t="s">
        <v>93</v>
      </c>
      <c r="N61" s="315">
        <v>2</v>
      </c>
      <c r="O61" s="459">
        <v>548000</v>
      </c>
      <c r="P61" s="465">
        <f t="shared" si="165"/>
        <v>1096000</v>
      </c>
      <c r="Q61" s="928"/>
      <c r="R61" s="704"/>
      <c r="S61" s="760">
        <f t="shared" si="107"/>
        <v>1096000</v>
      </c>
      <c r="T61" s="226">
        <f t="shared" si="155"/>
        <v>0</v>
      </c>
      <c r="U61" s="513" t="s">
        <v>267</v>
      </c>
      <c r="V61" s="1038" t="s">
        <v>457</v>
      </c>
      <c r="W61" s="1027" t="s">
        <v>93</v>
      </c>
      <c r="X61" s="1035">
        <v>2</v>
      </c>
      <c r="Y61" s="522">
        <v>1584698</v>
      </c>
      <c r="Z61" s="515">
        <f t="shared" si="166"/>
        <v>3169396</v>
      </c>
      <c r="AA61" s="502"/>
      <c r="AB61" s="704"/>
      <c r="AC61" s="760">
        <f t="shared" si="108"/>
        <v>3169396</v>
      </c>
      <c r="AD61" s="226">
        <f t="shared" si="156"/>
        <v>0</v>
      </c>
      <c r="AE61" s="614" t="s">
        <v>267</v>
      </c>
      <c r="AF61" s="644" t="s">
        <v>513</v>
      </c>
      <c r="AG61" s="615" t="s">
        <v>93</v>
      </c>
      <c r="AH61" s="598">
        <v>2</v>
      </c>
      <c r="AI61" s="625">
        <v>2500000</v>
      </c>
      <c r="AJ61" s="618">
        <f t="shared" si="167"/>
        <v>5000000</v>
      </c>
      <c r="AK61" s="928"/>
      <c r="AL61" s="704"/>
      <c r="AM61" s="760">
        <f t="shared" si="109"/>
        <v>5000000</v>
      </c>
      <c r="AN61" s="226">
        <f t="shared" si="157"/>
        <v>0</v>
      </c>
      <c r="AO61" s="325" t="s">
        <v>267</v>
      </c>
      <c r="AP61" s="685" t="s">
        <v>268</v>
      </c>
      <c r="AQ61" s="326" t="s">
        <v>93</v>
      </c>
      <c r="AR61" s="315">
        <v>2</v>
      </c>
      <c r="AS61" s="336">
        <v>754230</v>
      </c>
      <c r="AT61" s="675">
        <f t="shared" si="168"/>
        <v>1508460</v>
      </c>
      <c r="AU61" s="956"/>
      <c r="AV61" s="704"/>
      <c r="AW61" s="760">
        <f t="shared" si="110"/>
        <v>1508460</v>
      </c>
      <c r="AX61" s="226">
        <f t="shared" si="158"/>
        <v>0</v>
      </c>
      <c r="AY61" s="325" t="s">
        <v>267</v>
      </c>
      <c r="AZ61" s="355" t="s">
        <v>268</v>
      </c>
      <c r="BA61" s="326" t="s">
        <v>93</v>
      </c>
      <c r="BB61" s="315">
        <v>2</v>
      </c>
      <c r="BC61" s="725">
        <v>950000</v>
      </c>
      <c r="BD61" s="724">
        <f t="shared" si="169"/>
        <v>1900000</v>
      </c>
      <c r="BE61" s="928"/>
      <c r="BF61" s="704"/>
      <c r="BG61" s="760">
        <f t="shared" si="111"/>
        <v>1900000</v>
      </c>
      <c r="BH61" s="226">
        <f t="shared" si="159"/>
        <v>0</v>
      </c>
      <c r="BI61" s="325" t="s">
        <v>267</v>
      </c>
      <c r="BJ61" s="685" t="s">
        <v>268</v>
      </c>
      <c r="BK61" s="326" t="s">
        <v>93</v>
      </c>
      <c r="BL61" s="315">
        <v>2</v>
      </c>
      <c r="BM61" s="336">
        <v>790432</v>
      </c>
      <c r="BN61" s="675">
        <f t="shared" si="170"/>
        <v>1580864</v>
      </c>
      <c r="BO61" s="928"/>
      <c r="BP61" s="704"/>
      <c r="BQ61" s="760">
        <f t="shared" si="112"/>
        <v>1580864</v>
      </c>
      <c r="BR61" s="226">
        <f t="shared" si="160"/>
        <v>0</v>
      </c>
      <c r="BS61" s="325" t="s">
        <v>267</v>
      </c>
      <c r="BT61" s="685" t="s">
        <v>268</v>
      </c>
      <c r="BU61" s="326" t="s">
        <v>93</v>
      </c>
      <c r="BV61" s="315">
        <v>2</v>
      </c>
      <c r="BW61" s="336">
        <v>761200</v>
      </c>
      <c r="BX61" s="675">
        <f t="shared" si="171"/>
        <v>1522400</v>
      </c>
      <c r="BY61" s="928"/>
      <c r="BZ61" s="704"/>
      <c r="CA61" s="760">
        <f t="shared" si="113"/>
        <v>1522400</v>
      </c>
      <c r="CB61" s="226">
        <f t="shared" si="161"/>
        <v>0</v>
      </c>
      <c r="CC61" s="325" t="s">
        <v>267</v>
      </c>
      <c r="CD61" s="685" t="s">
        <v>268</v>
      </c>
      <c r="CE61" s="326" t="s">
        <v>93</v>
      </c>
      <c r="CF61" s="1026">
        <v>2</v>
      </c>
      <c r="CG61" s="336">
        <v>770030</v>
      </c>
      <c r="CH61" s="675">
        <f t="shared" si="172"/>
        <v>1540060</v>
      </c>
      <c r="CI61" s="928"/>
      <c r="CJ61" s="704"/>
      <c r="CK61" s="760">
        <f t="shared" si="114"/>
        <v>1540060</v>
      </c>
      <c r="CL61" s="226">
        <f t="shared" si="162"/>
        <v>0</v>
      </c>
      <c r="CM61" s="325" t="s">
        <v>267</v>
      </c>
      <c r="CN61" s="355" t="s">
        <v>268</v>
      </c>
      <c r="CO61" s="326" t="s">
        <v>93</v>
      </c>
      <c r="CP61" s="315">
        <v>2</v>
      </c>
      <c r="CQ61" s="336">
        <v>1100000</v>
      </c>
      <c r="CR61" s="465">
        <f t="shared" si="173"/>
        <v>2200000</v>
      </c>
      <c r="CS61" s="928"/>
      <c r="CT61" s="704"/>
      <c r="CU61" s="760">
        <f t="shared" si="115"/>
        <v>2200000</v>
      </c>
      <c r="CV61" s="226">
        <f t="shared" si="163"/>
        <v>0</v>
      </c>
    </row>
    <row r="62" spans="1:100" s="208" customFormat="1" ht="106.5" outlineLevel="2" thickTop="1" thickBot="1">
      <c r="A62" s="325" t="s">
        <v>269</v>
      </c>
      <c r="B62" s="449" t="s">
        <v>270</v>
      </c>
      <c r="C62" s="326" t="s">
        <v>258</v>
      </c>
      <c r="D62" s="315">
        <v>1</v>
      </c>
      <c r="E62" s="435">
        <v>1494500</v>
      </c>
      <c r="F62" s="428">
        <f t="shared" si="164"/>
        <v>1494500</v>
      </c>
      <c r="G62" s="928"/>
      <c r="H62" s="704"/>
      <c r="I62" s="760">
        <f t="shared" si="106"/>
        <v>1494500</v>
      </c>
      <c r="J62" s="226">
        <f t="shared" si="154"/>
        <v>0</v>
      </c>
      <c r="K62" s="325" t="s">
        <v>269</v>
      </c>
      <c r="L62" s="355" t="s">
        <v>270</v>
      </c>
      <c r="M62" s="326" t="s">
        <v>258</v>
      </c>
      <c r="N62" s="315">
        <v>1</v>
      </c>
      <c r="O62" s="459">
        <v>1850000</v>
      </c>
      <c r="P62" s="465">
        <f t="shared" si="165"/>
        <v>1850000</v>
      </c>
      <c r="Q62" s="928"/>
      <c r="R62" s="704"/>
      <c r="S62" s="760">
        <f t="shared" si="107"/>
        <v>1850000</v>
      </c>
      <c r="T62" s="226">
        <f t="shared" si="155"/>
        <v>0</v>
      </c>
      <c r="U62" s="513" t="s">
        <v>269</v>
      </c>
      <c r="V62" s="1038" t="s">
        <v>458</v>
      </c>
      <c r="W62" s="1027" t="s">
        <v>258</v>
      </c>
      <c r="X62" s="1035">
        <v>1</v>
      </c>
      <c r="Y62" s="522">
        <v>1798999</v>
      </c>
      <c r="Z62" s="515">
        <f t="shared" si="166"/>
        <v>1798999</v>
      </c>
      <c r="AA62" s="502"/>
      <c r="AB62" s="704"/>
      <c r="AC62" s="760">
        <f t="shared" si="108"/>
        <v>1798999</v>
      </c>
      <c r="AD62" s="226">
        <f t="shared" si="156"/>
        <v>0</v>
      </c>
      <c r="AE62" s="614" t="s">
        <v>269</v>
      </c>
      <c r="AF62" s="644" t="s">
        <v>514</v>
      </c>
      <c r="AG62" s="615" t="s">
        <v>258</v>
      </c>
      <c r="AH62" s="598">
        <v>1</v>
      </c>
      <c r="AI62" s="625">
        <v>3200000</v>
      </c>
      <c r="AJ62" s="618">
        <f t="shared" si="167"/>
        <v>3200000</v>
      </c>
      <c r="AK62" s="928"/>
      <c r="AL62" s="704"/>
      <c r="AM62" s="760">
        <f t="shared" si="109"/>
        <v>3200000</v>
      </c>
      <c r="AN62" s="226">
        <f t="shared" si="157"/>
        <v>0</v>
      </c>
      <c r="AO62" s="325" t="s">
        <v>269</v>
      </c>
      <c r="AP62" s="685" t="s">
        <v>270</v>
      </c>
      <c r="AQ62" s="326" t="s">
        <v>258</v>
      </c>
      <c r="AR62" s="315">
        <v>1</v>
      </c>
      <c r="AS62" s="336">
        <v>1850000</v>
      </c>
      <c r="AT62" s="675">
        <f t="shared" si="168"/>
        <v>1850000</v>
      </c>
      <c r="AU62" s="956"/>
      <c r="AV62" s="704"/>
      <c r="AW62" s="760">
        <f t="shared" si="110"/>
        <v>1850000</v>
      </c>
      <c r="AX62" s="226">
        <f t="shared" si="158"/>
        <v>0</v>
      </c>
      <c r="AY62" s="325" t="s">
        <v>269</v>
      </c>
      <c r="AZ62" s="355" t="s">
        <v>270</v>
      </c>
      <c r="BA62" s="326" t="s">
        <v>258</v>
      </c>
      <c r="BB62" s="315">
        <v>1</v>
      </c>
      <c r="BC62" s="725">
        <v>1250000</v>
      </c>
      <c r="BD62" s="724">
        <f t="shared" si="169"/>
        <v>1250000</v>
      </c>
      <c r="BE62" s="928"/>
      <c r="BF62" s="704"/>
      <c r="BG62" s="760">
        <f t="shared" si="111"/>
        <v>1250000</v>
      </c>
      <c r="BH62" s="226">
        <f t="shared" si="159"/>
        <v>0</v>
      </c>
      <c r="BI62" s="325" t="s">
        <v>269</v>
      </c>
      <c r="BJ62" s="685" t="s">
        <v>270</v>
      </c>
      <c r="BK62" s="326" t="s">
        <v>258</v>
      </c>
      <c r="BL62" s="315">
        <v>1</v>
      </c>
      <c r="BM62" s="336">
        <v>1980430</v>
      </c>
      <c r="BN62" s="675">
        <f t="shared" si="170"/>
        <v>1980430</v>
      </c>
      <c r="BO62" s="928"/>
      <c r="BP62" s="704"/>
      <c r="BQ62" s="760">
        <f t="shared" si="112"/>
        <v>1980430</v>
      </c>
      <c r="BR62" s="226">
        <f t="shared" si="160"/>
        <v>0</v>
      </c>
      <c r="BS62" s="325" t="s">
        <v>269</v>
      </c>
      <c r="BT62" s="685" t="s">
        <v>270</v>
      </c>
      <c r="BU62" s="326" t="s">
        <v>258</v>
      </c>
      <c r="BV62" s="315">
        <v>1</v>
      </c>
      <c r="BW62" s="336">
        <v>1920000</v>
      </c>
      <c r="BX62" s="675">
        <f t="shared" si="171"/>
        <v>1920000</v>
      </c>
      <c r="BY62" s="928"/>
      <c r="BZ62" s="704"/>
      <c r="CA62" s="760">
        <f t="shared" si="113"/>
        <v>1920000</v>
      </c>
      <c r="CB62" s="226">
        <f t="shared" si="161"/>
        <v>0</v>
      </c>
      <c r="CC62" s="325" t="s">
        <v>269</v>
      </c>
      <c r="CD62" s="685" t="s">
        <v>270</v>
      </c>
      <c r="CE62" s="326" t="s">
        <v>258</v>
      </c>
      <c r="CF62" s="1026">
        <v>1</v>
      </c>
      <c r="CG62" s="336">
        <v>2010876</v>
      </c>
      <c r="CH62" s="675">
        <f t="shared" si="172"/>
        <v>2010876</v>
      </c>
      <c r="CI62" s="928"/>
      <c r="CJ62" s="704"/>
      <c r="CK62" s="760">
        <f t="shared" si="114"/>
        <v>2010876</v>
      </c>
      <c r="CL62" s="226">
        <f t="shared" si="162"/>
        <v>0</v>
      </c>
      <c r="CM62" s="325" t="s">
        <v>269</v>
      </c>
      <c r="CN62" s="355" t="s">
        <v>270</v>
      </c>
      <c r="CO62" s="326" t="s">
        <v>258</v>
      </c>
      <c r="CP62" s="315">
        <v>1</v>
      </c>
      <c r="CQ62" s="336">
        <v>2070000</v>
      </c>
      <c r="CR62" s="465">
        <f t="shared" si="173"/>
        <v>2070000</v>
      </c>
      <c r="CS62" s="928"/>
      <c r="CT62" s="704"/>
      <c r="CU62" s="760">
        <f t="shared" si="115"/>
        <v>2070000</v>
      </c>
      <c r="CV62" s="226">
        <f t="shared" si="163"/>
        <v>0</v>
      </c>
    </row>
    <row r="63" spans="1:100" s="208" customFormat="1" ht="45.75" outlineLevel="2" thickTop="1" thickBot="1">
      <c r="A63" s="325" t="s">
        <v>271</v>
      </c>
      <c r="B63" s="449" t="s">
        <v>272</v>
      </c>
      <c r="C63" s="326" t="s">
        <v>258</v>
      </c>
      <c r="D63" s="315">
        <v>2</v>
      </c>
      <c r="E63" s="435">
        <v>52800</v>
      </c>
      <c r="F63" s="428">
        <f t="shared" si="164"/>
        <v>105600</v>
      </c>
      <c r="G63" s="928"/>
      <c r="H63" s="704"/>
      <c r="I63" s="760">
        <f t="shared" si="106"/>
        <v>105600</v>
      </c>
      <c r="J63" s="226">
        <f t="shared" si="154"/>
        <v>0</v>
      </c>
      <c r="K63" s="325" t="s">
        <v>271</v>
      </c>
      <c r="L63" s="355" t="s">
        <v>272</v>
      </c>
      <c r="M63" s="326" t="s">
        <v>258</v>
      </c>
      <c r="N63" s="315">
        <v>2</v>
      </c>
      <c r="O63" s="459">
        <v>189000</v>
      </c>
      <c r="P63" s="465">
        <f t="shared" si="165"/>
        <v>378000</v>
      </c>
      <c r="Q63" s="928"/>
      <c r="R63" s="704"/>
      <c r="S63" s="760">
        <f t="shared" si="107"/>
        <v>378000</v>
      </c>
      <c r="T63" s="226">
        <f t="shared" si="155"/>
        <v>0</v>
      </c>
      <c r="U63" s="513" t="s">
        <v>271</v>
      </c>
      <c r="V63" s="1038" t="s">
        <v>459</v>
      </c>
      <c r="W63" s="1027" t="s">
        <v>258</v>
      </c>
      <c r="X63" s="1035">
        <v>2</v>
      </c>
      <c r="Y63" s="522">
        <v>750000</v>
      </c>
      <c r="Z63" s="515">
        <f t="shared" si="166"/>
        <v>1500000</v>
      </c>
      <c r="AA63" s="502"/>
      <c r="AB63" s="704"/>
      <c r="AC63" s="760">
        <f t="shared" si="108"/>
        <v>1500000</v>
      </c>
      <c r="AD63" s="226">
        <f t="shared" si="156"/>
        <v>0</v>
      </c>
      <c r="AE63" s="614" t="s">
        <v>271</v>
      </c>
      <c r="AF63" s="644" t="s">
        <v>515</v>
      </c>
      <c r="AG63" s="615" t="s">
        <v>258</v>
      </c>
      <c r="AH63" s="598">
        <v>2</v>
      </c>
      <c r="AI63" s="625">
        <v>205000</v>
      </c>
      <c r="AJ63" s="618">
        <f t="shared" si="167"/>
        <v>410000</v>
      </c>
      <c r="AK63" s="928"/>
      <c r="AL63" s="704"/>
      <c r="AM63" s="760">
        <f t="shared" si="109"/>
        <v>410000</v>
      </c>
      <c r="AN63" s="226">
        <f t="shared" si="157"/>
        <v>0</v>
      </c>
      <c r="AO63" s="325" t="s">
        <v>271</v>
      </c>
      <c r="AP63" s="685" t="s">
        <v>272</v>
      </c>
      <c r="AQ63" s="326" t="s">
        <v>258</v>
      </c>
      <c r="AR63" s="315">
        <v>2</v>
      </c>
      <c r="AS63" s="336">
        <v>398320</v>
      </c>
      <c r="AT63" s="675">
        <f t="shared" si="168"/>
        <v>796640</v>
      </c>
      <c r="AU63" s="956"/>
      <c r="AV63" s="704"/>
      <c r="AW63" s="760">
        <f t="shared" si="110"/>
        <v>796640</v>
      </c>
      <c r="AX63" s="226">
        <f t="shared" si="158"/>
        <v>0</v>
      </c>
      <c r="AY63" s="325" t="s">
        <v>271</v>
      </c>
      <c r="AZ63" s="355" t="s">
        <v>272</v>
      </c>
      <c r="BA63" s="326" t="s">
        <v>258</v>
      </c>
      <c r="BB63" s="315">
        <v>2</v>
      </c>
      <c r="BC63" s="725">
        <v>53250</v>
      </c>
      <c r="BD63" s="724">
        <f t="shared" si="169"/>
        <v>106500</v>
      </c>
      <c r="BE63" s="928"/>
      <c r="BF63" s="704"/>
      <c r="BG63" s="760">
        <f t="shared" si="111"/>
        <v>106500</v>
      </c>
      <c r="BH63" s="226">
        <f t="shared" si="159"/>
        <v>0</v>
      </c>
      <c r="BI63" s="325" t="s">
        <v>271</v>
      </c>
      <c r="BJ63" s="685" t="s">
        <v>272</v>
      </c>
      <c r="BK63" s="326" t="s">
        <v>258</v>
      </c>
      <c r="BL63" s="315">
        <v>2</v>
      </c>
      <c r="BM63" s="336">
        <v>436720</v>
      </c>
      <c r="BN63" s="675">
        <f t="shared" si="170"/>
        <v>873440</v>
      </c>
      <c r="BO63" s="928"/>
      <c r="BP63" s="704"/>
      <c r="BQ63" s="760">
        <f t="shared" si="112"/>
        <v>873440</v>
      </c>
      <c r="BR63" s="226">
        <f t="shared" si="160"/>
        <v>0</v>
      </c>
      <c r="BS63" s="325" t="s">
        <v>271</v>
      </c>
      <c r="BT63" s="685" t="s">
        <v>272</v>
      </c>
      <c r="BU63" s="326" t="s">
        <v>258</v>
      </c>
      <c r="BV63" s="315">
        <v>2</v>
      </c>
      <c r="BW63" s="336">
        <v>401400</v>
      </c>
      <c r="BX63" s="675">
        <f t="shared" si="171"/>
        <v>802800</v>
      </c>
      <c r="BY63" s="928"/>
      <c r="BZ63" s="704"/>
      <c r="CA63" s="760">
        <f t="shared" si="113"/>
        <v>802800</v>
      </c>
      <c r="CB63" s="226">
        <f t="shared" si="161"/>
        <v>0</v>
      </c>
      <c r="CC63" s="325" t="s">
        <v>271</v>
      </c>
      <c r="CD63" s="685" t="s">
        <v>272</v>
      </c>
      <c r="CE63" s="326" t="s">
        <v>258</v>
      </c>
      <c r="CF63" s="1026">
        <v>2</v>
      </c>
      <c r="CG63" s="336">
        <v>406430</v>
      </c>
      <c r="CH63" s="675">
        <f t="shared" si="172"/>
        <v>812860</v>
      </c>
      <c r="CI63" s="928"/>
      <c r="CJ63" s="704"/>
      <c r="CK63" s="760">
        <f t="shared" si="114"/>
        <v>812860</v>
      </c>
      <c r="CL63" s="226">
        <f t="shared" si="162"/>
        <v>0</v>
      </c>
      <c r="CM63" s="325" t="s">
        <v>271</v>
      </c>
      <c r="CN63" s="355" t="s">
        <v>272</v>
      </c>
      <c r="CO63" s="326" t="s">
        <v>258</v>
      </c>
      <c r="CP63" s="315">
        <v>2</v>
      </c>
      <c r="CQ63" s="336">
        <v>660000</v>
      </c>
      <c r="CR63" s="465">
        <f t="shared" si="173"/>
        <v>1320000</v>
      </c>
      <c r="CS63" s="928"/>
      <c r="CT63" s="704"/>
      <c r="CU63" s="760">
        <f t="shared" si="115"/>
        <v>1320000</v>
      </c>
      <c r="CV63" s="226">
        <f t="shared" si="163"/>
        <v>0</v>
      </c>
    </row>
    <row r="64" spans="1:100" s="208" customFormat="1" ht="45" outlineLevel="2" thickTop="1" thickBot="1">
      <c r="A64" s="325" t="s">
        <v>273</v>
      </c>
      <c r="B64" s="449" t="s">
        <v>274</v>
      </c>
      <c r="C64" s="326" t="s">
        <v>258</v>
      </c>
      <c r="D64" s="315">
        <v>1</v>
      </c>
      <c r="E64" s="435">
        <v>61100</v>
      </c>
      <c r="F64" s="428">
        <f t="shared" si="164"/>
        <v>61100</v>
      </c>
      <c r="G64" s="928"/>
      <c r="H64" s="704"/>
      <c r="I64" s="760">
        <f t="shared" si="106"/>
        <v>61100</v>
      </c>
      <c r="J64" s="226">
        <f t="shared" si="154"/>
        <v>0</v>
      </c>
      <c r="K64" s="325" t="s">
        <v>273</v>
      </c>
      <c r="L64" s="355" t="s">
        <v>274</v>
      </c>
      <c r="M64" s="326" t="s">
        <v>258</v>
      </c>
      <c r="N64" s="315">
        <v>1</v>
      </c>
      <c r="O64" s="459">
        <v>345000</v>
      </c>
      <c r="P64" s="465">
        <f t="shared" si="165"/>
        <v>345000</v>
      </c>
      <c r="Q64" s="928"/>
      <c r="R64" s="704"/>
      <c r="S64" s="760">
        <f t="shared" si="107"/>
        <v>345000</v>
      </c>
      <c r="T64" s="226">
        <f t="shared" si="155"/>
        <v>0</v>
      </c>
      <c r="U64" s="513" t="s">
        <v>273</v>
      </c>
      <c r="V64" s="1038" t="s">
        <v>460</v>
      </c>
      <c r="W64" s="1027" t="s">
        <v>258</v>
      </c>
      <c r="X64" s="1035">
        <v>1</v>
      </c>
      <c r="Y64" s="522">
        <v>125000</v>
      </c>
      <c r="Z64" s="515">
        <f t="shared" si="166"/>
        <v>125000</v>
      </c>
      <c r="AA64" s="502"/>
      <c r="AB64" s="704"/>
      <c r="AC64" s="760">
        <f t="shared" si="108"/>
        <v>125000</v>
      </c>
      <c r="AD64" s="226">
        <f t="shared" si="156"/>
        <v>0</v>
      </c>
      <c r="AE64" s="614" t="s">
        <v>273</v>
      </c>
      <c r="AF64" s="644" t="s">
        <v>516</v>
      </c>
      <c r="AG64" s="615" t="s">
        <v>258</v>
      </c>
      <c r="AH64" s="598">
        <v>1</v>
      </c>
      <c r="AI64" s="625">
        <v>300000</v>
      </c>
      <c r="AJ64" s="618">
        <f t="shared" si="167"/>
        <v>300000</v>
      </c>
      <c r="AK64" s="928"/>
      <c r="AL64" s="704"/>
      <c r="AM64" s="760">
        <f t="shared" si="109"/>
        <v>300000</v>
      </c>
      <c r="AN64" s="226">
        <f t="shared" si="157"/>
        <v>0</v>
      </c>
      <c r="AO64" s="325" t="s">
        <v>273</v>
      </c>
      <c r="AP64" s="685" t="s">
        <v>274</v>
      </c>
      <c r="AQ64" s="326" t="s">
        <v>258</v>
      </c>
      <c r="AR64" s="315">
        <v>1</v>
      </c>
      <c r="AS64" s="336">
        <v>634900</v>
      </c>
      <c r="AT64" s="675">
        <f t="shared" si="168"/>
        <v>634900</v>
      </c>
      <c r="AU64" s="956"/>
      <c r="AV64" s="704"/>
      <c r="AW64" s="760">
        <f t="shared" si="110"/>
        <v>634900</v>
      </c>
      <c r="AX64" s="226">
        <f t="shared" si="158"/>
        <v>0</v>
      </c>
      <c r="AY64" s="325" t="s">
        <v>273</v>
      </c>
      <c r="AZ64" s="355" t="s">
        <v>274</v>
      </c>
      <c r="BA64" s="326" t="s">
        <v>258</v>
      </c>
      <c r="BB64" s="315">
        <v>1</v>
      </c>
      <c r="BC64" s="725">
        <v>60350</v>
      </c>
      <c r="BD64" s="724">
        <f t="shared" si="169"/>
        <v>60350</v>
      </c>
      <c r="BE64" s="928"/>
      <c r="BF64" s="704"/>
      <c r="BG64" s="760">
        <f t="shared" si="111"/>
        <v>60350</v>
      </c>
      <c r="BH64" s="226">
        <f t="shared" si="159"/>
        <v>0</v>
      </c>
      <c r="BI64" s="325" t="s">
        <v>273</v>
      </c>
      <c r="BJ64" s="685" t="s">
        <v>274</v>
      </c>
      <c r="BK64" s="326" t="s">
        <v>258</v>
      </c>
      <c r="BL64" s="315">
        <v>1</v>
      </c>
      <c r="BM64" s="336">
        <v>678320</v>
      </c>
      <c r="BN64" s="675">
        <f t="shared" si="170"/>
        <v>678320</v>
      </c>
      <c r="BO64" s="928"/>
      <c r="BP64" s="704"/>
      <c r="BQ64" s="760">
        <f t="shared" si="112"/>
        <v>678320</v>
      </c>
      <c r="BR64" s="226">
        <f t="shared" si="160"/>
        <v>0</v>
      </c>
      <c r="BS64" s="325" t="s">
        <v>273</v>
      </c>
      <c r="BT64" s="685" t="s">
        <v>274</v>
      </c>
      <c r="BU64" s="326" t="s">
        <v>258</v>
      </c>
      <c r="BV64" s="315">
        <v>1</v>
      </c>
      <c r="BW64" s="336">
        <v>653200</v>
      </c>
      <c r="BX64" s="675">
        <f t="shared" si="171"/>
        <v>653200</v>
      </c>
      <c r="BY64" s="928"/>
      <c r="BZ64" s="704"/>
      <c r="CA64" s="760">
        <f t="shared" si="113"/>
        <v>653200</v>
      </c>
      <c r="CB64" s="226">
        <f t="shared" si="161"/>
        <v>0</v>
      </c>
      <c r="CC64" s="325" t="s">
        <v>273</v>
      </c>
      <c r="CD64" s="685" t="s">
        <v>274</v>
      </c>
      <c r="CE64" s="326" t="s">
        <v>258</v>
      </c>
      <c r="CF64" s="1026">
        <v>1</v>
      </c>
      <c r="CG64" s="336">
        <v>662130</v>
      </c>
      <c r="CH64" s="675">
        <f t="shared" si="172"/>
        <v>662130</v>
      </c>
      <c r="CI64" s="928"/>
      <c r="CJ64" s="704"/>
      <c r="CK64" s="760">
        <f t="shared" si="114"/>
        <v>662130</v>
      </c>
      <c r="CL64" s="226">
        <f t="shared" si="162"/>
        <v>0</v>
      </c>
      <c r="CM64" s="325" t="s">
        <v>273</v>
      </c>
      <c r="CN64" s="355" t="s">
        <v>274</v>
      </c>
      <c r="CO64" s="326" t="s">
        <v>258</v>
      </c>
      <c r="CP64" s="315">
        <v>1</v>
      </c>
      <c r="CQ64" s="336">
        <v>900000</v>
      </c>
      <c r="CR64" s="465">
        <f t="shared" si="173"/>
        <v>900000</v>
      </c>
      <c r="CS64" s="928"/>
      <c r="CT64" s="704"/>
      <c r="CU64" s="760">
        <f t="shared" si="115"/>
        <v>900000</v>
      </c>
      <c r="CV64" s="226">
        <f t="shared" si="163"/>
        <v>0</v>
      </c>
    </row>
    <row r="65" spans="1:100" s="208" customFormat="1" ht="46.5" outlineLevel="2" thickTop="1" thickBot="1">
      <c r="A65" s="325" t="s">
        <v>275</v>
      </c>
      <c r="B65" s="449" t="s">
        <v>276</v>
      </c>
      <c r="C65" s="326" t="s">
        <v>258</v>
      </c>
      <c r="D65" s="315">
        <v>3</v>
      </c>
      <c r="E65" s="435">
        <v>42500</v>
      </c>
      <c r="F65" s="428">
        <f t="shared" si="164"/>
        <v>127500</v>
      </c>
      <c r="G65" s="928"/>
      <c r="H65" s="704"/>
      <c r="I65" s="760">
        <f t="shared" si="106"/>
        <v>127500</v>
      </c>
      <c r="J65" s="226">
        <f t="shared" si="154"/>
        <v>0</v>
      </c>
      <c r="K65" s="325" t="s">
        <v>275</v>
      </c>
      <c r="L65" s="355" t="s">
        <v>276</v>
      </c>
      <c r="M65" s="326" t="s">
        <v>258</v>
      </c>
      <c r="N65" s="315">
        <v>3</v>
      </c>
      <c r="O65" s="459">
        <v>115200</v>
      </c>
      <c r="P65" s="465">
        <f t="shared" si="165"/>
        <v>345600</v>
      </c>
      <c r="Q65" s="928"/>
      <c r="R65" s="704"/>
      <c r="S65" s="760">
        <f t="shared" si="107"/>
        <v>345600</v>
      </c>
      <c r="T65" s="226">
        <f t="shared" si="155"/>
        <v>0</v>
      </c>
      <c r="U65" s="513" t="s">
        <v>275</v>
      </c>
      <c r="V65" s="1038" t="s">
        <v>461</v>
      </c>
      <c r="W65" s="1027" t="s">
        <v>258</v>
      </c>
      <c r="X65" s="1035">
        <v>3</v>
      </c>
      <c r="Y65" s="522">
        <v>325000</v>
      </c>
      <c r="Z65" s="515">
        <f t="shared" si="166"/>
        <v>975000</v>
      </c>
      <c r="AA65" s="502"/>
      <c r="AB65" s="704"/>
      <c r="AC65" s="760">
        <f t="shared" si="108"/>
        <v>975000</v>
      </c>
      <c r="AD65" s="226">
        <f t="shared" si="156"/>
        <v>0</v>
      </c>
      <c r="AE65" s="614" t="s">
        <v>275</v>
      </c>
      <c r="AF65" s="644" t="s">
        <v>517</v>
      </c>
      <c r="AG65" s="615" t="s">
        <v>258</v>
      </c>
      <c r="AH65" s="598">
        <v>3</v>
      </c>
      <c r="AI65" s="625">
        <v>25000</v>
      </c>
      <c r="AJ65" s="618">
        <f t="shared" si="167"/>
        <v>75000</v>
      </c>
      <c r="AK65" s="928"/>
      <c r="AL65" s="704"/>
      <c r="AM65" s="760">
        <f t="shared" si="109"/>
        <v>75000</v>
      </c>
      <c r="AN65" s="226">
        <f t="shared" si="157"/>
        <v>0</v>
      </c>
      <c r="AO65" s="325" t="s">
        <v>275</v>
      </c>
      <c r="AP65" s="685" t="s">
        <v>276</v>
      </c>
      <c r="AQ65" s="326" t="s">
        <v>258</v>
      </c>
      <c r="AR65" s="315">
        <v>3</v>
      </c>
      <c r="AS65" s="336">
        <v>98430</v>
      </c>
      <c r="AT65" s="675">
        <f t="shared" si="168"/>
        <v>295290</v>
      </c>
      <c r="AU65" s="956"/>
      <c r="AV65" s="704"/>
      <c r="AW65" s="760">
        <f t="shared" si="110"/>
        <v>295290</v>
      </c>
      <c r="AX65" s="226">
        <f t="shared" si="158"/>
        <v>0</v>
      </c>
      <c r="AY65" s="325" t="s">
        <v>275</v>
      </c>
      <c r="AZ65" s="355" t="s">
        <v>276</v>
      </c>
      <c r="BA65" s="326" t="s">
        <v>258</v>
      </c>
      <c r="BB65" s="315">
        <v>3</v>
      </c>
      <c r="BC65" s="725">
        <v>106500</v>
      </c>
      <c r="BD65" s="724">
        <f t="shared" si="169"/>
        <v>319500</v>
      </c>
      <c r="BE65" s="928"/>
      <c r="BF65" s="704"/>
      <c r="BG65" s="760">
        <f t="shared" si="111"/>
        <v>319500</v>
      </c>
      <c r="BH65" s="226">
        <f t="shared" si="159"/>
        <v>0</v>
      </c>
      <c r="BI65" s="325" t="s">
        <v>275</v>
      </c>
      <c r="BJ65" s="685" t="s">
        <v>276</v>
      </c>
      <c r="BK65" s="326" t="s">
        <v>258</v>
      </c>
      <c r="BL65" s="315">
        <v>3</v>
      </c>
      <c r="BM65" s="336">
        <v>90650</v>
      </c>
      <c r="BN65" s="675">
        <f t="shared" si="170"/>
        <v>271950</v>
      </c>
      <c r="BO65" s="928"/>
      <c r="BP65" s="704"/>
      <c r="BQ65" s="760">
        <f t="shared" si="112"/>
        <v>271950</v>
      </c>
      <c r="BR65" s="226">
        <f t="shared" si="160"/>
        <v>0</v>
      </c>
      <c r="BS65" s="325" t="s">
        <v>275</v>
      </c>
      <c r="BT65" s="685" t="s">
        <v>276</v>
      </c>
      <c r="BU65" s="326" t="s">
        <v>258</v>
      </c>
      <c r="BV65" s="315">
        <v>3</v>
      </c>
      <c r="BW65" s="336">
        <v>95400</v>
      </c>
      <c r="BX65" s="675">
        <f t="shared" si="171"/>
        <v>286200</v>
      </c>
      <c r="BY65" s="928"/>
      <c r="BZ65" s="704"/>
      <c r="CA65" s="760">
        <f t="shared" si="113"/>
        <v>286200</v>
      </c>
      <c r="CB65" s="226">
        <f t="shared" si="161"/>
        <v>0</v>
      </c>
      <c r="CC65" s="325" t="s">
        <v>275</v>
      </c>
      <c r="CD65" s="685" t="s">
        <v>276</v>
      </c>
      <c r="CE65" s="326" t="s">
        <v>258</v>
      </c>
      <c r="CF65" s="315">
        <v>3</v>
      </c>
      <c r="CG65" s="336">
        <v>89900</v>
      </c>
      <c r="CH65" s="675">
        <f t="shared" si="172"/>
        <v>269700</v>
      </c>
      <c r="CI65" s="928"/>
      <c r="CJ65" s="704"/>
      <c r="CK65" s="760">
        <f t="shared" si="114"/>
        <v>269700</v>
      </c>
      <c r="CL65" s="226">
        <f t="shared" si="162"/>
        <v>0</v>
      </c>
      <c r="CM65" s="325" t="s">
        <v>275</v>
      </c>
      <c r="CN65" s="355" t="s">
        <v>276</v>
      </c>
      <c r="CO65" s="326" t="s">
        <v>258</v>
      </c>
      <c r="CP65" s="315">
        <v>3</v>
      </c>
      <c r="CQ65" s="336">
        <v>60200</v>
      </c>
      <c r="CR65" s="465">
        <f t="shared" si="173"/>
        <v>180600</v>
      </c>
      <c r="CS65" s="928"/>
      <c r="CT65" s="704"/>
      <c r="CU65" s="760">
        <f t="shared" si="115"/>
        <v>180600</v>
      </c>
      <c r="CV65" s="226">
        <f t="shared" si="163"/>
        <v>0</v>
      </c>
    </row>
    <row r="66" spans="1:100" s="208" customFormat="1" ht="46.5" outlineLevel="2" thickTop="1" thickBot="1">
      <c r="A66" s="325" t="s">
        <v>277</v>
      </c>
      <c r="B66" s="449" t="s">
        <v>278</v>
      </c>
      <c r="C66" s="326" t="s">
        <v>258</v>
      </c>
      <c r="D66" s="315">
        <v>7</v>
      </c>
      <c r="E66" s="435">
        <v>30300</v>
      </c>
      <c r="F66" s="428">
        <f t="shared" si="164"/>
        <v>212100</v>
      </c>
      <c r="G66" s="929"/>
      <c r="H66" s="704"/>
      <c r="I66" s="760">
        <f t="shared" si="106"/>
        <v>212100</v>
      </c>
      <c r="J66" s="226">
        <f t="shared" si="154"/>
        <v>0</v>
      </c>
      <c r="K66" s="325" t="s">
        <v>277</v>
      </c>
      <c r="L66" s="355" t="s">
        <v>278</v>
      </c>
      <c r="M66" s="326" t="s">
        <v>258</v>
      </c>
      <c r="N66" s="315">
        <v>7</v>
      </c>
      <c r="O66" s="459">
        <v>78000</v>
      </c>
      <c r="P66" s="465">
        <f t="shared" si="165"/>
        <v>546000</v>
      </c>
      <c r="Q66" s="929"/>
      <c r="R66" s="704"/>
      <c r="S66" s="760">
        <f t="shared" si="107"/>
        <v>546000</v>
      </c>
      <c r="T66" s="226">
        <f t="shared" si="155"/>
        <v>0</v>
      </c>
      <c r="U66" s="513" t="s">
        <v>277</v>
      </c>
      <c r="V66" s="1038" t="s">
        <v>462</v>
      </c>
      <c r="W66" s="1027" t="s">
        <v>258</v>
      </c>
      <c r="X66" s="1035">
        <v>7</v>
      </c>
      <c r="Y66" s="522">
        <v>35000</v>
      </c>
      <c r="Z66" s="515">
        <f t="shared" si="166"/>
        <v>245000</v>
      </c>
      <c r="AA66" s="509"/>
      <c r="AB66" s="704"/>
      <c r="AC66" s="760">
        <f t="shared" si="108"/>
        <v>245000</v>
      </c>
      <c r="AD66" s="226">
        <f t="shared" si="156"/>
        <v>0</v>
      </c>
      <c r="AE66" s="614" t="s">
        <v>277</v>
      </c>
      <c r="AF66" s="644" t="s">
        <v>518</v>
      </c>
      <c r="AG66" s="615" t="s">
        <v>258</v>
      </c>
      <c r="AH66" s="598">
        <v>7</v>
      </c>
      <c r="AI66" s="625">
        <v>28000</v>
      </c>
      <c r="AJ66" s="618">
        <f t="shared" si="167"/>
        <v>196000</v>
      </c>
      <c r="AK66" s="929"/>
      <c r="AL66" s="704"/>
      <c r="AM66" s="760">
        <f t="shared" si="109"/>
        <v>196000</v>
      </c>
      <c r="AN66" s="226">
        <f t="shared" si="157"/>
        <v>0</v>
      </c>
      <c r="AO66" s="325" t="s">
        <v>277</v>
      </c>
      <c r="AP66" s="685" t="s">
        <v>278</v>
      </c>
      <c r="AQ66" s="326" t="s">
        <v>258</v>
      </c>
      <c r="AR66" s="315">
        <v>7</v>
      </c>
      <c r="AS66" s="336">
        <v>78434</v>
      </c>
      <c r="AT66" s="675">
        <f t="shared" si="168"/>
        <v>549038</v>
      </c>
      <c r="AU66" s="957"/>
      <c r="AV66" s="704"/>
      <c r="AW66" s="760">
        <f t="shared" si="110"/>
        <v>549038</v>
      </c>
      <c r="AX66" s="226">
        <f t="shared" si="158"/>
        <v>0</v>
      </c>
      <c r="AY66" s="325" t="s">
        <v>277</v>
      </c>
      <c r="AZ66" s="355" t="s">
        <v>278</v>
      </c>
      <c r="BA66" s="326" t="s">
        <v>258</v>
      </c>
      <c r="BB66" s="315">
        <v>7</v>
      </c>
      <c r="BC66" s="725">
        <v>127800</v>
      </c>
      <c r="BD66" s="724">
        <f t="shared" si="169"/>
        <v>894600</v>
      </c>
      <c r="BE66" s="929"/>
      <c r="BF66" s="704"/>
      <c r="BG66" s="760">
        <f t="shared" si="111"/>
        <v>894600</v>
      </c>
      <c r="BH66" s="226">
        <f t="shared" si="159"/>
        <v>0</v>
      </c>
      <c r="BI66" s="325" t="s">
        <v>277</v>
      </c>
      <c r="BJ66" s="685" t="s">
        <v>278</v>
      </c>
      <c r="BK66" s="326" t="s">
        <v>258</v>
      </c>
      <c r="BL66" s="315">
        <v>7</v>
      </c>
      <c r="BM66" s="336">
        <v>70098</v>
      </c>
      <c r="BN66" s="675">
        <f t="shared" si="170"/>
        <v>490686</v>
      </c>
      <c r="BO66" s="929"/>
      <c r="BP66" s="704"/>
      <c r="BQ66" s="760">
        <f t="shared" si="112"/>
        <v>490686</v>
      </c>
      <c r="BR66" s="226">
        <f t="shared" si="160"/>
        <v>0</v>
      </c>
      <c r="BS66" s="325" t="s">
        <v>277</v>
      </c>
      <c r="BT66" s="685" t="s">
        <v>278</v>
      </c>
      <c r="BU66" s="326" t="s">
        <v>258</v>
      </c>
      <c r="BV66" s="315">
        <v>7</v>
      </c>
      <c r="BW66" s="336">
        <v>73200</v>
      </c>
      <c r="BX66" s="675">
        <f t="shared" si="171"/>
        <v>512400</v>
      </c>
      <c r="BY66" s="929"/>
      <c r="BZ66" s="704"/>
      <c r="CA66" s="760">
        <f t="shared" si="113"/>
        <v>512400</v>
      </c>
      <c r="CB66" s="226">
        <f t="shared" si="161"/>
        <v>0</v>
      </c>
      <c r="CC66" s="325" t="s">
        <v>277</v>
      </c>
      <c r="CD66" s="685" t="s">
        <v>278</v>
      </c>
      <c r="CE66" s="326" t="s">
        <v>258</v>
      </c>
      <c r="CF66" s="315">
        <v>7</v>
      </c>
      <c r="CG66" s="336">
        <v>71300</v>
      </c>
      <c r="CH66" s="675">
        <f t="shared" si="172"/>
        <v>499100</v>
      </c>
      <c r="CI66" s="929"/>
      <c r="CJ66" s="704"/>
      <c r="CK66" s="760">
        <f t="shared" si="114"/>
        <v>499100</v>
      </c>
      <c r="CL66" s="226">
        <f t="shared" si="162"/>
        <v>0</v>
      </c>
      <c r="CM66" s="325" t="s">
        <v>277</v>
      </c>
      <c r="CN66" s="355" t="s">
        <v>278</v>
      </c>
      <c r="CO66" s="326" t="s">
        <v>258</v>
      </c>
      <c r="CP66" s="315">
        <v>7</v>
      </c>
      <c r="CQ66" s="336">
        <v>47200</v>
      </c>
      <c r="CR66" s="465">
        <f t="shared" si="173"/>
        <v>330400</v>
      </c>
      <c r="CS66" s="929"/>
      <c r="CT66" s="704"/>
      <c r="CU66" s="760">
        <f t="shared" si="115"/>
        <v>330400</v>
      </c>
      <c r="CV66" s="226">
        <f t="shared" si="163"/>
        <v>0</v>
      </c>
    </row>
    <row r="67" spans="1:100" s="208" customFormat="1" ht="24.75" outlineLevel="2" thickTop="1" thickBot="1">
      <c r="A67" s="295" t="s">
        <v>149</v>
      </c>
      <c r="B67" s="421" t="s">
        <v>279</v>
      </c>
      <c r="C67" s="349"/>
      <c r="D67" s="350"/>
      <c r="E67" s="445"/>
      <c r="F67" s="446"/>
      <c r="G67" s="301">
        <f>SUM(F68:F73)</f>
        <v>10441238</v>
      </c>
      <c r="H67" s="703"/>
      <c r="I67" s="760">
        <f t="shared" si="106"/>
        <v>0</v>
      </c>
      <c r="J67" s="226"/>
      <c r="K67" s="295" t="s">
        <v>149</v>
      </c>
      <c r="L67" s="316" t="s">
        <v>279</v>
      </c>
      <c r="M67" s="349"/>
      <c r="N67" s="350"/>
      <c r="O67" s="351"/>
      <c r="P67" s="468"/>
      <c r="Q67" s="301">
        <f>SUM(P68:P73)</f>
        <v>11290840</v>
      </c>
      <c r="R67" s="703"/>
      <c r="S67" s="760">
        <f t="shared" si="107"/>
        <v>0</v>
      </c>
      <c r="T67" s="226"/>
      <c r="U67" s="487" t="s">
        <v>149</v>
      </c>
      <c r="V67" s="510" t="s">
        <v>279</v>
      </c>
      <c r="W67" s="531"/>
      <c r="X67" s="532"/>
      <c r="Y67" s="533"/>
      <c r="Z67" s="534"/>
      <c r="AA67" s="493">
        <f>SUM(Z68:Z73)</f>
        <v>11994405.399999999</v>
      </c>
      <c r="AB67" s="703"/>
      <c r="AC67" s="760">
        <f t="shared" si="108"/>
        <v>0</v>
      </c>
      <c r="AD67" s="226"/>
      <c r="AE67" s="599" t="s">
        <v>149</v>
      </c>
      <c r="AF67" s="600" t="s">
        <v>279</v>
      </c>
      <c r="AG67" s="638"/>
      <c r="AH67" s="639"/>
      <c r="AI67" s="640"/>
      <c r="AJ67" s="641"/>
      <c r="AK67" s="301">
        <f>SUM(AJ68:AJ73)</f>
        <v>11098500</v>
      </c>
      <c r="AL67" s="703"/>
      <c r="AM67" s="760">
        <f t="shared" si="109"/>
        <v>0</v>
      </c>
      <c r="AN67" s="226"/>
      <c r="AO67" s="295" t="s">
        <v>149</v>
      </c>
      <c r="AP67" s="672" t="s">
        <v>279</v>
      </c>
      <c r="AQ67" s="349"/>
      <c r="AR67" s="350"/>
      <c r="AS67" s="351"/>
      <c r="AT67" s="683"/>
      <c r="AU67" s="699">
        <f>SUM(AT68:AT73)</f>
        <v>9881628</v>
      </c>
      <c r="AV67" s="703"/>
      <c r="AW67" s="760">
        <f t="shared" si="110"/>
        <v>0</v>
      </c>
      <c r="AX67" s="226"/>
      <c r="AY67" s="295" t="s">
        <v>149</v>
      </c>
      <c r="AZ67" s="316" t="s">
        <v>279</v>
      </c>
      <c r="BA67" s="349"/>
      <c r="BB67" s="350"/>
      <c r="BC67" s="730">
        <v>0</v>
      </c>
      <c r="BD67" s="731"/>
      <c r="BE67" s="301">
        <f>SUM(BD68:BD73)</f>
        <v>6794487</v>
      </c>
      <c r="BF67" s="703"/>
      <c r="BG67" s="760">
        <f t="shared" si="111"/>
        <v>0</v>
      </c>
      <c r="BH67" s="226"/>
      <c r="BI67" s="295" t="s">
        <v>149</v>
      </c>
      <c r="BJ67" s="672" t="s">
        <v>279</v>
      </c>
      <c r="BK67" s="349"/>
      <c r="BL67" s="350"/>
      <c r="BM67" s="351"/>
      <c r="BN67" s="683"/>
      <c r="BO67" s="301">
        <f>SUM(BN68:BN73)</f>
        <v>10740942</v>
      </c>
      <c r="BP67" s="703"/>
      <c r="BQ67" s="760">
        <f t="shared" si="112"/>
        <v>0</v>
      </c>
      <c r="BR67" s="226"/>
      <c r="BS67" s="295" t="s">
        <v>149</v>
      </c>
      <c r="BT67" s="672" t="s">
        <v>279</v>
      </c>
      <c r="BU67" s="349"/>
      <c r="BV67" s="350"/>
      <c r="BW67" s="351"/>
      <c r="BX67" s="683"/>
      <c r="BY67" s="301">
        <f>SUM(BX68:BX73)</f>
        <v>10099418</v>
      </c>
      <c r="BZ67" s="703"/>
      <c r="CA67" s="760">
        <f t="shared" si="113"/>
        <v>0</v>
      </c>
      <c r="CB67" s="226"/>
      <c r="CC67" s="295" t="s">
        <v>149</v>
      </c>
      <c r="CD67" s="672" t="s">
        <v>279</v>
      </c>
      <c r="CE67" s="349"/>
      <c r="CF67" s="350"/>
      <c r="CG67" s="351"/>
      <c r="CH67" s="683"/>
      <c r="CI67" s="301">
        <f>SUM(CH68:CH73)</f>
        <v>10824331.6</v>
      </c>
      <c r="CJ67" s="703"/>
      <c r="CK67" s="760">
        <f t="shared" si="114"/>
        <v>0</v>
      </c>
      <c r="CL67" s="226"/>
      <c r="CM67" s="295" t="s">
        <v>149</v>
      </c>
      <c r="CN67" s="316" t="s">
        <v>279</v>
      </c>
      <c r="CO67" s="349"/>
      <c r="CP67" s="350"/>
      <c r="CQ67" s="351"/>
      <c r="CR67" s="352"/>
      <c r="CS67" s="301">
        <f>SUM(CR68:CR73)</f>
        <v>16936130</v>
      </c>
      <c r="CT67" s="703"/>
      <c r="CU67" s="760">
        <f t="shared" si="115"/>
        <v>0</v>
      </c>
      <c r="CV67" s="226"/>
    </row>
    <row r="68" spans="1:100" s="208" customFormat="1" ht="91.5" outlineLevel="2" thickTop="1" thickBot="1">
      <c r="A68" s="317" t="s">
        <v>280</v>
      </c>
      <c r="B68" s="450" t="s">
        <v>281</v>
      </c>
      <c r="C68" s="308" t="s">
        <v>282</v>
      </c>
      <c r="D68" s="309">
        <v>70.38</v>
      </c>
      <c r="E68" s="414">
        <v>60100</v>
      </c>
      <c r="F68" s="428">
        <f t="shared" si="164"/>
        <v>4229838</v>
      </c>
      <c r="G68" s="927">
        <f>+G67/F81</f>
        <v>2.8635434971214447E-2</v>
      </c>
      <c r="H68" s="704"/>
      <c r="I68" s="760">
        <f t="shared" si="106"/>
        <v>4229838</v>
      </c>
      <c r="J68" s="226">
        <f t="shared" ref="J68:J73" si="174">+IF(E68=0,1,0)</f>
        <v>0</v>
      </c>
      <c r="K68" s="317" t="s">
        <v>280</v>
      </c>
      <c r="L68" s="356" t="s">
        <v>281</v>
      </c>
      <c r="M68" s="308" t="s">
        <v>282</v>
      </c>
      <c r="N68" s="309">
        <v>70.38</v>
      </c>
      <c r="O68" s="456">
        <v>68000</v>
      </c>
      <c r="P68" s="465">
        <f>+N68*O68</f>
        <v>4785840</v>
      </c>
      <c r="Q68" s="927">
        <f>+Q67/P81</f>
        <v>3.0784444456222911E-2</v>
      </c>
      <c r="R68" s="704"/>
      <c r="S68" s="760">
        <f t="shared" si="107"/>
        <v>4785840</v>
      </c>
      <c r="T68" s="226">
        <f t="shared" ref="T68:T70" si="175">+IF(O68=0,1,0)</f>
        <v>0</v>
      </c>
      <c r="U68" s="511" t="s">
        <v>280</v>
      </c>
      <c r="V68" s="537" t="s">
        <v>463</v>
      </c>
      <c r="W68" s="500" t="s">
        <v>282</v>
      </c>
      <c r="X68" s="501">
        <v>70.38</v>
      </c>
      <c r="Y68" s="498">
        <v>68830</v>
      </c>
      <c r="Z68" s="515">
        <f>+X68*Y68</f>
        <v>4844255.3999999994</v>
      </c>
      <c r="AA68" s="499">
        <f>+AA67/Z81</f>
        <v>3.3147975020373359E-2</v>
      </c>
      <c r="AB68" s="704"/>
      <c r="AC68" s="760">
        <f t="shared" si="108"/>
        <v>4844255</v>
      </c>
      <c r="AD68" s="226">
        <f t="shared" ref="AD68:AD70" si="176">+IF(Y68=0,1,0)</f>
        <v>0</v>
      </c>
      <c r="AE68" s="605" t="s">
        <v>280</v>
      </c>
      <c r="AF68" s="645" t="s">
        <v>519</v>
      </c>
      <c r="AG68" s="589" t="s">
        <v>282</v>
      </c>
      <c r="AH68" s="590">
        <v>70.38</v>
      </c>
      <c r="AI68" s="586">
        <v>75000</v>
      </c>
      <c r="AJ68" s="618">
        <f>+AH68*AI68</f>
        <v>5278500</v>
      </c>
      <c r="AK68" s="927">
        <f>+AK67/AJ81</f>
        <v>3.0401024478778359E-2</v>
      </c>
      <c r="AL68" s="704"/>
      <c r="AM68" s="760">
        <f t="shared" si="109"/>
        <v>5278500</v>
      </c>
      <c r="AN68" s="226">
        <f t="shared" ref="AN68:AN70" si="177">+IF(AI68=0,1,0)</f>
        <v>0</v>
      </c>
      <c r="AO68" s="317" t="s">
        <v>280</v>
      </c>
      <c r="AP68" s="686" t="s">
        <v>281</v>
      </c>
      <c r="AQ68" s="308" t="s">
        <v>282</v>
      </c>
      <c r="AR68" s="309">
        <v>70.38</v>
      </c>
      <c r="AS68" s="306">
        <v>45600</v>
      </c>
      <c r="AT68" s="675">
        <f>+AR68*AS68</f>
        <v>3209328</v>
      </c>
      <c r="AU68" s="955">
        <f>+AU67/AT81</f>
        <v>2.660118648396188E-2</v>
      </c>
      <c r="AV68" s="704"/>
      <c r="AW68" s="760">
        <f t="shared" si="110"/>
        <v>3209328</v>
      </c>
      <c r="AX68" s="226">
        <f t="shared" ref="AX68:AX70" si="178">+IF(AS68=0,1,0)</f>
        <v>0</v>
      </c>
      <c r="AY68" s="317" t="s">
        <v>280</v>
      </c>
      <c r="AZ68" s="356" t="s">
        <v>281</v>
      </c>
      <c r="BA68" s="308" t="s">
        <v>282</v>
      </c>
      <c r="BB68" s="309">
        <v>70.38</v>
      </c>
      <c r="BC68" s="716">
        <v>46150</v>
      </c>
      <c r="BD68" s="724">
        <f>+BB68*BC68</f>
        <v>3248037</v>
      </c>
      <c r="BE68" s="927">
        <f>+BE67/BD81</f>
        <v>1.9276888579566592E-2</v>
      </c>
      <c r="BF68" s="704"/>
      <c r="BG68" s="760">
        <f t="shared" si="111"/>
        <v>3248037</v>
      </c>
      <c r="BH68" s="226">
        <f t="shared" ref="BH68:BH70" si="179">+IF(BC68=0,1,0)</f>
        <v>0</v>
      </c>
      <c r="BI68" s="317" t="s">
        <v>280</v>
      </c>
      <c r="BJ68" s="686" t="s">
        <v>281</v>
      </c>
      <c r="BK68" s="308" t="s">
        <v>282</v>
      </c>
      <c r="BL68" s="309">
        <v>70.38</v>
      </c>
      <c r="BM68" s="306">
        <v>55900</v>
      </c>
      <c r="BN68" s="675">
        <f>+BL68*BM68</f>
        <v>3934241.9999999995</v>
      </c>
      <c r="BO68" s="927">
        <f>+BO67/BN81</f>
        <v>2.8929253515002737E-2</v>
      </c>
      <c r="BP68" s="704"/>
      <c r="BQ68" s="760">
        <f t="shared" si="112"/>
        <v>3934242</v>
      </c>
      <c r="BR68" s="226">
        <f t="shared" ref="BR68:BR70" si="180">+IF(BM68=0,1,0)</f>
        <v>0</v>
      </c>
      <c r="BS68" s="317" t="s">
        <v>280</v>
      </c>
      <c r="BT68" s="686" t="s">
        <v>281</v>
      </c>
      <c r="BU68" s="308" t="s">
        <v>282</v>
      </c>
      <c r="BV68" s="309">
        <v>70.38</v>
      </c>
      <c r="BW68" s="306">
        <v>46100</v>
      </c>
      <c r="BX68" s="675">
        <f>+BV68*BW68</f>
        <v>3244518</v>
      </c>
      <c r="BY68" s="927">
        <f>+BY67/BX81</f>
        <v>2.695820044165469E-2</v>
      </c>
      <c r="BZ68" s="704"/>
      <c r="CA68" s="760">
        <f t="shared" si="113"/>
        <v>3244518</v>
      </c>
      <c r="CB68" s="226">
        <f t="shared" ref="CB68:CB70" si="181">+IF(BW68=0,1,0)</f>
        <v>0</v>
      </c>
      <c r="CC68" s="317" t="s">
        <v>280</v>
      </c>
      <c r="CD68" s="686" t="s">
        <v>281</v>
      </c>
      <c r="CE68" s="308" t="s">
        <v>282</v>
      </c>
      <c r="CF68" s="309">
        <v>70.38</v>
      </c>
      <c r="CG68" s="306">
        <v>56320</v>
      </c>
      <c r="CH68" s="675">
        <f>+CF68*CG68</f>
        <v>3963801.5999999996</v>
      </c>
      <c r="CI68" s="927">
        <f>+CI67/CH81</f>
        <v>2.9048190307615945E-2</v>
      </c>
      <c r="CJ68" s="704"/>
      <c r="CK68" s="760">
        <f t="shared" si="114"/>
        <v>3963802</v>
      </c>
      <c r="CL68" s="226">
        <f t="shared" ref="CL68:CL70" si="182">+IF(CG68=0,1,0)</f>
        <v>0</v>
      </c>
      <c r="CM68" s="317" t="s">
        <v>280</v>
      </c>
      <c r="CN68" s="356" t="s">
        <v>281</v>
      </c>
      <c r="CO68" s="308" t="s">
        <v>282</v>
      </c>
      <c r="CP68" s="309">
        <v>70.38</v>
      </c>
      <c r="CQ68" s="306">
        <v>83500</v>
      </c>
      <c r="CR68" s="465">
        <f>+CP68*CQ68</f>
        <v>5876730</v>
      </c>
      <c r="CS68" s="927">
        <f>+CS67/CR81</f>
        <v>4.6858764804915312E-2</v>
      </c>
      <c r="CT68" s="704"/>
      <c r="CU68" s="760">
        <f t="shared" si="115"/>
        <v>5876730</v>
      </c>
      <c r="CV68" s="226">
        <f t="shared" ref="CV68:CV70" si="183">+IF(CQ68=0,1,0)</f>
        <v>0</v>
      </c>
    </row>
    <row r="69" spans="1:100" s="208" customFormat="1" ht="61.5" outlineLevel="2" thickTop="1" thickBot="1">
      <c r="A69" s="317" t="s">
        <v>150</v>
      </c>
      <c r="B69" s="437" t="s">
        <v>283</v>
      </c>
      <c r="C69" s="326" t="s">
        <v>86</v>
      </c>
      <c r="D69" s="315">
        <v>8</v>
      </c>
      <c r="E69" s="414">
        <v>52700</v>
      </c>
      <c r="F69" s="428">
        <f t="shared" si="164"/>
        <v>421600</v>
      </c>
      <c r="G69" s="928"/>
      <c r="H69" s="704"/>
      <c r="I69" s="760">
        <f t="shared" si="106"/>
        <v>421600</v>
      </c>
      <c r="J69" s="226">
        <f t="shared" si="174"/>
        <v>0</v>
      </c>
      <c r="K69" s="317" t="s">
        <v>150</v>
      </c>
      <c r="L69" s="340" t="s">
        <v>283</v>
      </c>
      <c r="M69" s="326" t="s">
        <v>86</v>
      </c>
      <c r="N69" s="315">
        <v>8</v>
      </c>
      <c r="O69" s="456">
        <v>56000</v>
      </c>
      <c r="P69" s="465">
        <f>+O69*N69</f>
        <v>448000</v>
      </c>
      <c r="Q69" s="928"/>
      <c r="R69" s="704"/>
      <c r="S69" s="760">
        <f t="shared" si="107"/>
        <v>448000</v>
      </c>
      <c r="T69" s="226">
        <f t="shared" si="175"/>
        <v>0</v>
      </c>
      <c r="U69" s="511" t="s">
        <v>150</v>
      </c>
      <c r="V69" s="1034" t="s">
        <v>464</v>
      </c>
      <c r="W69" s="517" t="s">
        <v>86</v>
      </c>
      <c r="X69" s="508">
        <v>8</v>
      </c>
      <c r="Y69" s="498">
        <v>45800</v>
      </c>
      <c r="Z69" s="515">
        <f>+Y69*X69</f>
        <v>366400</v>
      </c>
      <c r="AA69" s="502"/>
      <c r="AB69" s="704"/>
      <c r="AC69" s="760">
        <f t="shared" si="108"/>
        <v>366400</v>
      </c>
      <c r="AD69" s="226">
        <f t="shared" si="176"/>
        <v>0</v>
      </c>
      <c r="AE69" s="605" t="s">
        <v>150</v>
      </c>
      <c r="AF69" s="628" t="s">
        <v>520</v>
      </c>
      <c r="AG69" s="615" t="s">
        <v>86</v>
      </c>
      <c r="AH69" s="598">
        <v>8</v>
      </c>
      <c r="AI69" s="586">
        <v>35000</v>
      </c>
      <c r="AJ69" s="618">
        <f>+AI69*AH69</f>
        <v>280000</v>
      </c>
      <c r="AK69" s="928"/>
      <c r="AL69" s="704"/>
      <c r="AM69" s="760">
        <f t="shared" si="109"/>
        <v>280000</v>
      </c>
      <c r="AN69" s="226">
        <f t="shared" si="177"/>
        <v>0</v>
      </c>
      <c r="AO69" s="317" t="s">
        <v>150</v>
      </c>
      <c r="AP69" s="679" t="s">
        <v>283</v>
      </c>
      <c r="AQ69" s="326" t="s">
        <v>86</v>
      </c>
      <c r="AR69" s="315">
        <v>8</v>
      </c>
      <c r="AS69" s="306">
        <v>42100</v>
      </c>
      <c r="AT69" s="675">
        <f>+AS69*AR69</f>
        <v>336800</v>
      </c>
      <c r="AU69" s="956"/>
      <c r="AV69" s="704"/>
      <c r="AW69" s="760">
        <f t="shared" si="110"/>
        <v>336800</v>
      </c>
      <c r="AX69" s="226">
        <f t="shared" si="178"/>
        <v>0</v>
      </c>
      <c r="AY69" s="317" t="s">
        <v>150</v>
      </c>
      <c r="AZ69" s="340" t="s">
        <v>283</v>
      </c>
      <c r="BA69" s="326" t="s">
        <v>86</v>
      </c>
      <c r="BB69" s="315">
        <v>8</v>
      </c>
      <c r="BC69" s="716">
        <v>21300</v>
      </c>
      <c r="BD69" s="724">
        <f>+BC69*BB69</f>
        <v>170400</v>
      </c>
      <c r="BE69" s="928"/>
      <c r="BF69" s="704"/>
      <c r="BG69" s="760">
        <f t="shared" si="111"/>
        <v>170400</v>
      </c>
      <c r="BH69" s="226">
        <f t="shared" si="179"/>
        <v>0</v>
      </c>
      <c r="BI69" s="317" t="s">
        <v>150</v>
      </c>
      <c r="BJ69" s="679" t="s">
        <v>283</v>
      </c>
      <c r="BK69" s="326" t="s">
        <v>86</v>
      </c>
      <c r="BL69" s="315">
        <v>8</v>
      </c>
      <c r="BM69" s="306">
        <v>47100</v>
      </c>
      <c r="BN69" s="675">
        <f>+BM69*BL69</f>
        <v>376800</v>
      </c>
      <c r="BO69" s="928"/>
      <c r="BP69" s="704"/>
      <c r="BQ69" s="760">
        <f t="shared" si="112"/>
        <v>376800</v>
      </c>
      <c r="BR69" s="226">
        <f t="shared" si="180"/>
        <v>0</v>
      </c>
      <c r="BS69" s="317" t="s">
        <v>150</v>
      </c>
      <c r="BT69" s="679" t="s">
        <v>283</v>
      </c>
      <c r="BU69" s="326" t="s">
        <v>86</v>
      </c>
      <c r="BV69" s="315">
        <v>8</v>
      </c>
      <c r="BW69" s="306">
        <v>45100</v>
      </c>
      <c r="BX69" s="675">
        <f>+BW69*BV69</f>
        <v>360800</v>
      </c>
      <c r="BY69" s="928"/>
      <c r="BZ69" s="704"/>
      <c r="CA69" s="760">
        <f t="shared" si="113"/>
        <v>360800</v>
      </c>
      <c r="CB69" s="226">
        <f t="shared" si="181"/>
        <v>0</v>
      </c>
      <c r="CC69" s="317" t="s">
        <v>150</v>
      </c>
      <c r="CD69" s="679" t="s">
        <v>283</v>
      </c>
      <c r="CE69" s="326" t="s">
        <v>86</v>
      </c>
      <c r="CF69" s="315">
        <v>8</v>
      </c>
      <c r="CG69" s="306">
        <v>46732</v>
      </c>
      <c r="CH69" s="675">
        <f>+CG69*CF69</f>
        <v>373856</v>
      </c>
      <c r="CI69" s="928"/>
      <c r="CJ69" s="704"/>
      <c r="CK69" s="760">
        <f t="shared" si="114"/>
        <v>373856</v>
      </c>
      <c r="CL69" s="226">
        <f t="shared" si="182"/>
        <v>0</v>
      </c>
      <c r="CM69" s="317" t="s">
        <v>150</v>
      </c>
      <c r="CN69" s="340" t="s">
        <v>283</v>
      </c>
      <c r="CO69" s="326" t="s">
        <v>86</v>
      </c>
      <c r="CP69" s="315">
        <v>8</v>
      </c>
      <c r="CQ69" s="306">
        <v>54800</v>
      </c>
      <c r="CR69" s="465">
        <f>+CQ69*CP69</f>
        <v>438400</v>
      </c>
      <c r="CS69" s="928"/>
      <c r="CT69" s="704"/>
      <c r="CU69" s="760">
        <f t="shared" si="115"/>
        <v>438400</v>
      </c>
      <c r="CV69" s="226">
        <f t="shared" si="183"/>
        <v>0</v>
      </c>
    </row>
    <row r="70" spans="1:100" s="208" customFormat="1" ht="61.5" outlineLevel="2" thickTop="1" thickBot="1">
      <c r="A70" s="317" t="s">
        <v>151</v>
      </c>
      <c r="B70" s="424" t="s">
        <v>284</v>
      </c>
      <c r="C70" s="326" t="s">
        <v>86</v>
      </c>
      <c r="D70" s="315">
        <v>200</v>
      </c>
      <c r="E70" s="414">
        <v>6800</v>
      </c>
      <c r="F70" s="428">
        <f t="shared" si="164"/>
        <v>1360000</v>
      </c>
      <c r="G70" s="928"/>
      <c r="H70" s="704"/>
      <c r="I70" s="760">
        <f t="shared" si="106"/>
        <v>1360000</v>
      </c>
      <c r="J70" s="226">
        <f t="shared" si="174"/>
        <v>0</v>
      </c>
      <c r="K70" s="317" t="s">
        <v>151</v>
      </c>
      <c r="L70" s="318" t="s">
        <v>284</v>
      </c>
      <c r="M70" s="326" t="s">
        <v>86</v>
      </c>
      <c r="N70" s="315">
        <v>200</v>
      </c>
      <c r="O70" s="456">
        <v>8500</v>
      </c>
      <c r="P70" s="465">
        <f>+O70*N70</f>
        <v>1700000</v>
      </c>
      <c r="Q70" s="928"/>
      <c r="R70" s="704"/>
      <c r="S70" s="760">
        <f t="shared" si="107"/>
        <v>1700000</v>
      </c>
      <c r="T70" s="226">
        <f t="shared" si="175"/>
        <v>0</v>
      </c>
      <c r="U70" s="511" t="s">
        <v>151</v>
      </c>
      <c r="V70" s="520" t="s">
        <v>465</v>
      </c>
      <c r="W70" s="517" t="s">
        <v>86</v>
      </c>
      <c r="X70" s="508">
        <v>200</v>
      </c>
      <c r="Y70" s="498">
        <v>9000</v>
      </c>
      <c r="Z70" s="515">
        <f>+Y70*X70</f>
        <v>1800000</v>
      </c>
      <c r="AA70" s="502"/>
      <c r="AB70" s="704"/>
      <c r="AC70" s="760">
        <f t="shared" si="108"/>
        <v>1800000</v>
      </c>
      <c r="AD70" s="226">
        <f t="shared" si="176"/>
        <v>0</v>
      </c>
      <c r="AE70" s="605" t="s">
        <v>151</v>
      </c>
      <c r="AF70" s="606" t="s">
        <v>521</v>
      </c>
      <c r="AG70" s="615" t="s">
        <v>86</v>
      </c>
      <c r="AH70" s="598">
        <v>200</v>
      </c>
      <c r="AI70" s="586">
        <v>5000</v>
      </c>
      <c r="AJ70" s="618">
        <f>+AI70*AH70</f>
        <v>1000000</v>
      </c>
      <c r="AK70" s="928"/>
      <c r="AL70" s="704"/>
      <c r="AM70" s="760">
        <f t="shared" si="109"/>
        <v>1000000</v>
      </c>
      <c r="AN70" s="226">
        <f t="shared" si="177"/>
        <v>0</v>
      </c>
      <c r="AO70" s="317" t="s">
        <v>151</v>
      </c>
      <c r="AP70" s="673" t="s">
        <v>284</v>
      </c>
      <c r="AQ70" s="326" t="s">
        <v>86</v>
      </c>
      <c r="AR70" s="315">
        <v>200</v>
      </c>
      <c r="AS70" s="306">
        <v>8000</v>
      </c>
      <c r="AT70" s="675">
        <f>+AS70*AR70</f>
        <v>1600000</v>
      </c>
      <c r="AU70" s="956"/>
      <c r="AV70" s="704"/>
      <c r="AW70" s="760">
        <f t="shared" si="110"/>
        <v>1600000</v>
      </c>
      <c r="AX70" s="226">
        <f t="shared" si="178"/>
        <v>0</v>
      </c>
      <c r="AY70" s="317" t="s">
        <v>151</v>
      </c>
      <c r="AZ70" s="318" t="s">
        <v>284</v>
      </c>
      <c r="BA70" s="326" t="s">
        <v>86</v>
      </c>
      <c r="BB70" s="315">
        <v>200</v>
      </c>
      <c r="BC70" s="716">
        <v>4615</v>
      </c>
      <c r="BD70" s="724">
        <f>+BC70*BB70</f>
        <v>923000</v>
      </c>
      <c r="BE70" s="928"/>
      <c r="BF70" s="704"/>
      <c r="BG70" s="760">
        <f t="shared" si="111"/>
        <v>923000</v>
      </c>
      <c r="BH70" s="226">
        <f t="shared" si="179"/>
        <v>0</v>
      </c>
      <c r="BI70" s="317" t="s">
        <v>151</v>
      </c>
      <c r="BJ70" s="673" t="s">
        <v>284</v>
      </c>
      <c r="BK70" s="326" t="s">
        <v>86</v>
      </c>
      <c r="BL70" s="315">
        <v>200</v>
      </c>
      <c r="BM70" s="306">
        <v>7500</v>
      </c>
      <c r="BN70" s="675">
        <f>+BM70*BL70</f>
        <v>1500000</v>
      </c>
      <c r="BO70" s="928"/>
      <c r="BP70" s="704"/>
      <c r="BQ70" s="760">
        <f t="shared" si="112"/>
        <v>1500000</v>
      </c>
      <c r="BR70" s="226">
        <f t="shared" si="180"/>
        <v>0</v>
      </c>
      <c r="BS70" s="317" t="s">
        <v>151</v>
      </c>
      <c r="BT70" s="673" t="s">
        <v>284</v>
      </c>
      <c r="BU70" s="326" t="s">
        <v>86</v>
      </c>
      <c r="BV70" s="315">
        <v>200</v>
      </c>
      <c r="BW70" s="306">
        <v>7900</v>
      </c>
      <c r="BX70" s="675">
        <f>+BW70*BV70</f>
        <v>1580000</v>
      </c>
      <c r="BY70" s="928"/>
      <c r="BZ70" s="704"/>
      <c r="CA70" s="760">
        <f t="shared" si="113"/>
        <v>1580000</v>
      </c>
      <c r="CB70" s="226">
        <f t="shared" si="181"/>
        <v>0</v>
      </c>
      <c r="CC70" s="317" t="s">
        <v>151</v>
      </c>
      <c r="CD70" s="673" t="s">
        <v>284</v>
      </c>
      <c r="CE70" s="326" t="s">
        <v>86</v>
      </c>
      <c r="CF70" s="315">
        <v>200</v>
      </c>
      <c r="CG70" s="306">
        <v>7600</v>
      </c>
      <c r="CH70" s="675">
        <f>+CG70*CF70</f>
        <v>1520000</v>
      </c>
      <c r="CI70" s="928"/>
      <c r="CJ70" s="704"/>
      <c r="CK70" s="760">
        <f t="shared" si="114"/>
        <v>1520000</v>
      </c>
      <c r="CL70" s="226">
        <f t="shared" si="182"/>
        <v>0</v>
      </c>
      <c r="CM70" s="317" t="s">
        <v>151</v>
      </c>
      <c r="CN70" s="318" t="s">
        <v>284</v>
      </c>
      <c r="CO70" s="326" t="s">
        <v>86</v>
      </c>
      <c r="CP70" s="315">
        <v>200</v>
      </c>
      <c r="CQ70" s="306">
        <v>17500</v>
      </c>
      <c r="CR70" s="465">
        <f>+CQ70*CP70</f>
        <v>3500000</v>
      </c>
      <c r="CS70" s="928"/>
      <c r="CT70" s="704"/>
      <c r="CU70" s="760">
        <f t="shared" si="115"/>
        <v>3500000</v>
      </c>
      <c r="CV70" s="226">
        <f t="shared" si="183"/>
        <v>0</v>
      </c>
    </row>
    <row r="71" spans="1:100" s="208" customFormat="1" ht="76.5" outlineLevel="2" thickTop="1" thickBot="1">
      <c r="A71" s="317" t="s">
        <v>152</v>
      </c>
      <c r="B71" s="424" t="s">
        <v>285</v>
      </c>
      <c r="C71" s="326" t="s">
        <v>86</v>
      </c>
      <c r="D71" s="315">
        <v>200</v>
      </c>
      <c r="E71" s="414">
        <v>9800</v>
      </c>
      <c r="F71" s="428">
        <f t="shared" si="164"/>
        <v>1960000</v>
      </c>
      <c r="G71" s="928"/>
      <c r="H71" s="704"/>
      <c r="I71" s="760">
        <f t="shared" si="106"/>
        <v>1960000</v>
      </c>
      <c r="J71" s="226">
        <f t="shared" si="174"/>
        <v>0</v>
      </c>
      <c r="K71" s="317" t="s">
        <v>152</v>
      </c>
      <c r="L71" s="318" t="s">
        <v>285</v>
      </c>
      <c r="M71" s="326" t="s">
        <v>86</v>
      </c>
      <c r="N71" s="315">
        <v>200</v>
      </c>
      <c r="O71" s="456">
        <v>11000</v>
      </c>
      <c r="P71" s="465">
        <f>+O71*N71</f>
        <v>2200000</v>
      </c>
      <c r="Q71" s="928"/>
      <c r="R71" s="704"/>
      <c r="S71" s="760">
        <f t="shared" si="107"/>
        <v>2200000</v>
      </c>
      <c r="T71" s="226">
        <f>+IF(O71=0,1,0)</f>
        <v>0</v>
      </c>
      <c r="U71" s="511" t="s">
        <v>152</v>
      </c>
      <c r="V71" s="520" t="s">
        <v>466</v>
      </c>
      <c r="W71" s="517" t="s">
        <v>86</v>
      </c>
      <c r="X71" s="508">
        <v>200</v>
      </c>
      <c r="Y71" s="498">
        <v>11500</v>
      </c>
      <c r="Z71" s="515">
        <f>+Y71*X71</f>
        <v>2300000</v>
      </c>
      <c r="AA71" s="502"/>
      <c r="AB71" s="704"/>
      <c r="AC71" s="760">
        <f t="shared" si="108"/>
        <v>2300000</v>
      </c>
      <c r="AD71" s="226">
        <f>+IF(Y71=0,1,0)</f>
        <v>0</v>
      </c>
      <c r="AE71" s="605" t="s">
        <v>152</v>
      </c>
      <c r="AF71" s="606" t="s">
        <v>522</v>
      </c>
      <c r="AG71" s="615" t="s">
        <v>86</v>
      </c>
      <c r="AH71" s="598">
        <v>200</v>
      </c>
      <c r="AI71" s="586">
        <v>6000</v>
      </c>
      <c r="AJ71" s="618">
        <f>+AI71*AH71</f>
        <v>1200000</v>
      </c>
      <c r="AK71" s="928"/>
      <c r="AL71" s="704"/>
      <c r="AM71" s="760">
        <f t="shared" si="109"/>
        <v>1200000</v>
      </c>
      <c r="AN71" s="226">
        <f>+IF(AI71=0,1,0)</f>
        <v>0</v>
      </c>
      <c r="AO71" s="317" t="s">
        <v>152</v>
      </c>
      <c r="AP71" s="673" t="s">
        <v>285</v>
      </c>
      <c r="AQ71" s="326" t="s">
        <v>86</v>
      </c>
      <c r="AR71" s="315">
        <v>200</v>
      </c>
      <c r="AS71" s="306">
        <v>9800</v>
      </c>
      <c r="AT71" s="675">
        <f>+AS71*AR71</f>
        <v>1960000</v>
      </c>
      <c r="AU71" s="956"/>
      <c r="AV71" s="704"/>
      <c r="AW71" s="760">
        <f t="shared" si="110"/>
        <v>1960000</v>
      </c>
      <c r="AX71" s="226">
        <f>+IF(AS71=0,1,0)</f>
        <v>0</v>
      </c>
      <c r="AY71" s="317" t="s">
        <v>152</v>
      </c>
      <c r="AZ71" s="318" t="s">
        <v>285</v>
      </c>
      <c r="BA71" s="326" t="s">
        <v>86</v>
      </c>
      <c r="BB71" s="315">
        <v>200</v>
      </c>
      <c r="BC71" s="716">
        <v>3550</v>
      </c>
      <c r="BD71" s="724">
        <f>+BC71*BB71</f>
        <v>710000</v>
      </c>
      <c r="BE71" s="928"/>
      <c r="BF71" s="704"/>
      <c r="BG71" s="760">
        <f t="shared" si="111"/>
        <v>710000</v>
      </c>
      <c r="BH71" s="226">
        <f>+IF(BC71=0,1,0)</f>
        <v>0</v>
      </c>
      <c r="BI71" s="317" t="s">
        <v>152</v>
      </c>
      <c r="BJ71" s="673" t="s">
        <v>285</v>
      </c>
      <c r="BK71" s="326" t="s">
        <v>86</v>
      </c>
      <c r="BL71" s="315">
        <v>200</v>
      </c>
      <c r="BM71" s="306">
        <v>10980</v>
      </c>
      <c r="BN71" s="675">
        <f>+BM71*BL71</f>
        <v>2196000</v>
      </c>
      <c r="BO71" s="928"/>
      <c r="BP71" s="704"/>
      <c r="BQ71" s="760">
        <f t="shared" si="112"/>
        <v>2196000</v>
      </c>
      <c r="BR71" s="226">
        <f>+IF(BM71=0,1,0)</f>
        <v>0</v>
      </c>
      <c r="BS71" s="317" t="s">
        <v>152</v>
      </c>
      <c r="BT71" s="673" t="s">
        <v>285</v>
      </c>
      <c r="BU71" s="326" t="s">
        <v>86</v>
      </c>
      <c r="BV71" s="315">
        <v>200</v>
      </c>
      <c r="BW71" s="306">
        <v>10100</v>
      </c>
      <c r="BX71" s="675">
        <f>+BW71*BV71</f>
        <v>2020000</v>
      </c>
      <c r="BY71" s="928"/>
      <c r="BZ71" s="704"/>
      <c r="CA71" s="760">
        <f t="shared" si="113"/>
        <v>2020000</v>
      </c>
      <c r="CB71" s="226">
        <f>+IF(BW71=0,1,0)</f>
        <v>0</v>
      </c>
      <c r="CC71" s="317" t="s">
        <v>152</v>
      </c>
      <c r="CD71" s="673" t="s">
        <v>285</v>
      </c>
      <c r="CE71" s="326" t="s">
        <v>86</v>
      </c>
      <c r="CF71" s="315">
        <v>200</v>
      </c>
      <c r="CG71" s="306">
        <v>11010</v>
      </c>
      <c r="CH71" s="675">
        <f>+CG71*CF71</f>
        <v>2202000</v>
      </c>
      <c r="CI71" s="928"/>
      <c r="CJ71" s="704"/>
      <c r="CK71" s="760">
        <f t="shared" si="114"/>
        <v>2202000</v>
      </c>
      <c r="CL71" s="226">
        <f>+IF(CG71=0,1,0)</f>
        <v>0</v>
      </c>
      <c r="CM71" s="317" t="s">
        <v>152</v>
      </c>
      <c r="CN71" s="318" t="s">
        <v>285</v>
      </c>
      <c r="CO71" s="326" t="s">
        <v>86</v>
      </c>
      <c r="CP71" s="315">
        <v>200</v>
      </c>
      <c r="CQ71" s="306">
        <v>14600</v>
      </c>
      <c r="CR71" s="465">
        <f>+CQ71*CP71</f>
        <v>2920000</v>
      </c>
      <c r="CS71" s="928"/>
      <c r="CT71" s="704"/>
      <c r="CU71" s="760">
        <f t="shared" si="115"/>
        <v>2920000</v>
      </c>
      <c r="CV71" s="226">
        <f>+IF(CQ71=0,1,0)</f>
        <v>0</v>
      </c>
    </row>
    <row r="72" spans="1:100" s="208" customFormat="1" ht="76.5" outlineLevel="2" thickTop="1" thickBot="1">
      <c r="A72" s="317" t="s">
        <v>153</v>
      </c>
      <c r="B72" s="418" t="s">
        <v>286</v>
      </c>
      <c r="C72" s="357" t="s">
        <v>86</v>
      </c>
      <c r="D72" s="358">
        <v>85</v>
      </c>
      <c r="E72" s="414">
        <v>19700</v>
      </c>
      <c r="F72" s="428">
        <f t="shared" si="164"/>
        <v>1674500</v>
      </c>
      <c r="G72" s="928"/>
      <c r="H72" s="704"/>
      <c r="I72" s="760">
        <f t="shared" si="106"/>
        <v>1674500</v>
      </c>
      <c r="J72" s="226">
        <f t="shared" si="174"/>
        <v>0</v>
      </c>
      <c r="K72" s="317" t="s">
        <v>153</v>
      </c>
      <c r="L72" s="310" t="s">
        <v>286</v>
      </c>
      <c r="M72" s="357" t="s">
        <v>86</v>
      </c>
      <c r="N72" s="358">
        <v>85</v>
      </c>
      <c r="O72" s="456">
        <v>13200</v>
      </c>
      <c r="P72" s="465">
        <f>+N72*O72</f>
        <v>1122000</v>
      </c>
      <c r="Q72" s="928"/>
      <c r="R72" s="704"/>
      <c r="S72" s="760">
        <f t="shared" si="107"/>
        <v>1122000</v>
      </c>
      <c r="T72" s="226">
        <f>+IF(O72=0,1,0)</f>
        <v>0</v>
      </c>
      <c r="U72" s="511" t="s">
        <v>153</v>
      </c>
      <c r="V72" s="504" t="s">
        <v>467</v>
      </c>
      <c r="W72" s="538" t="s">
        <v>86</v>
      </c>
      <c r="X72" s="539">
        <v>85</v>
      </c>
      <c r="Y72" s="498">
        <v>22750</v>
      </c>
      <c r="Z72" s="515">
        <f>+X72*Y72</f>
        <v>1933750</v>
      </c>
      <c r="AA72" s="502"/>
      <c r="AB72" s="704"/>
      <c r="AC72" s="760">
        <f t="shared" si="108"/>
        <v>1933750</v>
      </c>
      <c r="AD72" s="226">
        <f>+IF(Y72=0,1,0)</f>
        <v>0</v>
      </c>
      <c r="AE72" s="605" t="s">
        <v>153</v>
      </c>
      <c r="AF72" s="592" t="s">
        <v>523</v>
      </c>
      <c r="AG72" s="646" t="s">
        <v>86</v>
      </c>
      <c r="AH72" s="647">
        <v>85</v>
      </c>
      <c r="AI72" s="586">
        <v>25000</v>
      </c>
      <c r="AJ72" s="618">
        <f>+AH72*AI72</f>
        <v>2125000</v>
      </c>
      <c r="AK72" s="928"/>
      <c r="AL72" s="704"/>
      <c r="AM72" s="760">
        <f t="shared" si="109"/>
        <v>2125000</v>
      </c>
      <c r="AN72" s="226">
        <f>+IF(AI72=0,1,0)</f>
        <v>0</v>
      </c>
      <c r="AO72" s="317" t="s">
        <v>153</v>
      </c>
      <c r="AP72" s="669" t="s">
        <v>286</v>
      </c>
      <c r="AQ72" s="357" t="s">
        <v>86</v>
      </c>
      <c r="AR72" s="358">
        <v>85</v>
      </c>
      <c r="AS72" s="306">
        <v>21200</v>
      </c>
      <c r="AT72" s="675">
        <f>+AR72*AS72</f>
        <v>1802000</v>
      </c>
      <c r="AU72" s="956"/>
      <c r="AV72" s="704"/>
      <c r="AW72" s="760">
        <f t="shared" si="110"/>
        <v>1802000</v>
      </c>
      <c r="AX72" s="226">
        <f>+IF(AS72=0,1,0)</f>
        <v>0</v>
      </c>
      <c r="AY72" s="317" t="s">
        <v>153</v>
      </c>
      <c r="AZ72" s="310" t="s">
        <v>286</v>
      </c>
      <c r="BA72" s="357" t="s">
        <v>86</v>
      </c>
      <c r="BB72" s="358">
        <v>85</v>
      </c>
      <c r="BC72" s="716">
        <v>15620</v>
      </c>
      <c r="BD72" s="724">
        <f>+BB72*BC72</f>
        <v>1327700</v>
      </c>
      <c r="BE72" s="928"/>
      <c r="BF72" s="704"/>
      <c r="BG72" s="760">
        <f t="shared" si="111"/>
        <v>1327700</v>
      </c>
      <c r="BH72" s="226">
        <f>+IF(BC72=0,1,0)</f>
        <v>0</v>
      </c>
      <c r="BI72" s="317" t="s">
        <v>153</v>
      </c>
      <c r="BJ72" s="669" t="s">
        <v>286</v>
      </c>
      <c r="BK72" s="357" t="s">
        <v>86</v>
      </c>
      <c r="BL72" s="358">
        <v>85</v>
      </c>
      <c r="BM72" s="306">
        <v>19980</v>
      </c>
      <c r="BN72" s="675">
        <f>+BL72*BM72</f>
        <v>1698300</v>
      </c>
      <c r="BO72" s="928"/>
      <c r="BP72" s="704"/>
      <c r="BQ72" s="760">
        <f t="shared" si="112"/>
        <v>1698300</v>
      </c>
      <c r="BR72" s="226">
        <f>+IF(BM72=0,1,0)</f>
        <v>0</v>
      </c>
      <c r="BS72" s="317" t="s">
        <v>153</v>
      </c>
      <c r="BT72" s="669" t="s">
        <v>286</v>
      </c>
      <c r="BU72" s="357" t="s">
        <v>86</v>
      </c>
      <c r="BV72" s="358">
        <v>85</v>
      </c>
      <c r="BW72" s="306">
        <v>23100</v>
      </c>
      <c r="BX72" s="675">
        <f>+BV72*BW72</f>
        <v>1963500</v>
      </c>
      <c r="BY72" s="928"/>
      <c r="BZ72" s="704"/>
      <c r="CA72" s="760">
        <f t="shared" si="113"/>
        <v>1963500</v>
      </c>
      <c r="CB72" s="226">
        <f>+IF(BW72=0,1,0)</f>
        <v>0</v>
      </c>
      <c r="CC72" s="317" t="s">
        <v>153</v>
      </c>
      <c r="CD72" s="669" t="s">
        <v>286</v>
      </c>
      <c r="CE72" s="357" t="s">
        <v>86</v>
      </c>
      <c r="CF72" s="358">
        <v>85</v>
      </c>
      <c r="CG72" s="306">
        <v>21090</v>
      </c>
      <c r="CH72" s="675">
        <f>+CF72*CG72</f>
        <v>1792650</v>
      </c>
      <c r="CI72" s="928"/>
      <c r="CJ72" s="704"/>
      <c r="CK72" s="760">
        <f t="shared" si="114"/>
        <v>1792650</v>
      </c>
      <c r="CL72" s="226">
        <f>+IF(CG72=0,1,0)</f>
        <v>0</v>
      </c>
      <c r="CM72" s="317" t="s">
        <v>153</v>
      </c>
      <c r="CN72" s="310" t="s">
        <v>286</v>
      </c>
      <c r="CO72" s="357" t="s">
        <v>86</v>
      </c>
      <c r="CP72" s="358">
        <v>85</v>
      </c>
      <c r="CQ72" s="306">
        <v>28600</v>
      </c>
      <c r="CR72" s="465">
        <f>+CP72*CQ72</f>
        <v>2431000</v>
      </c>
      <c r="CS72" s="928"/>
      <c r="CT72" s="704"/>
      <c r="CU72" s="760">
        <f t="shared" si="115"/>
        <v>2431000</v>
      </c>
      <c r="CV72" s="226">
        <f>+IF(CQ72=0,1,0)</f>
        <v>0</v>
      </c>
    </row>
    <row r="73" spans="1:100" s="208" customFormat="1" ht="106.5" outlineLevel="2" thickTop="1" thickBot="1">
      <c r="A73" s="317" t="s">
        <v>154</v>
      </c>
      <c r="B73" s="448" t="s">
        <v>287</v>
      </c>
      <c r="C73" s="326" t="s">
        <v>258</v>
      </c>
      <c r="D73" s="315">
        <v>3</v>
      </c>
      <c r="E73" s="414">
        <v>265100</v>
      </c>
      <c r="F73" s="428">
        <f t="shared" si="164"/>
        <v>795300</v>
      </c>
      <c r="G73" s="928"/>
      <c r="H73" s="704"/>
      <c r="I73" s="760">
        <f t="shared" si="106"/>
        <v>795300</v>
      </c>
      <c r="J73" s="226">
        <f t="shared" si="174"/>
        <v>0</v>
      </c>
      <c r="K73" s="317" t="s">
        <v>154</v>
      </c>
      <c r="L73" s="354" t="s">
        <v>287</v>
      </c>
      <c r="M73" s="326" t="s">
        <v>258</v>
      </c>
      <c r="N73" s="315">
        <v>3</v>
      </c>
      <c r="O73" s="456">
        <v>345000</v>
      </c>
      <c r="P73" s="465">
        <f>+O73*N73</f>
        <v>1035000</v>
      </c>
      <c r="Q73" s="928"/>
      <c r="R73" s="704"/>
      <c r="S73" s="760">
        <f t="shared" si="107"/>
        <v>1035000</v>
      </c>
      <c r="T73" s="226">
        <f t="shared" ref="T73" si="184">+IF(O73=0,1,0)</f>
        <v>0</v>
      </c>
      <c r="U73" s="511" t="s">
        <v>154</v>
      </c>
      <c r="V73" s="536" t="s">
        <v>468</v>
      </c>
      <c r="W73" s="517" t="s">
        <v>258</v>
      </c>
      <c r="X73" s="508">
        <v>3</v>
      </c>
      <c r="Y73" s="498">
        <v>250000</v>
      </c>
      <c r="Z73" s="515">
        <f>+Y73*X73</f>
        <v>750000</v>
      </c>
      <c r="AA73" s="509"/>
      <c r="AB73" s="704"/>
      <c r="AC73" s="760">
        <f t="shared" si="108"/>
        <v>750000</v>
      </c>
      <c r="AD73" s="226">
        <f t="shared" ref="AD73" si="185">+IF(Y73=0,1,0)</f>
        <v>0</v>
      </c>
      <c r="AE73" s="605" t="s">
        <v>154</v>
      </c>
      <c r="AF73" s="643" t="s">
        <v>524</v>
      </c>
      <c r="AG73" s="615" t="s">
        <v>258</v>
      </c>
      <c r="AH73" s="598">
        <v>3</v>
      </c>
      <c r="AI73" s="586">
        <v>405000</v>
      </c>
      <c r="AJ73" s="618">
        <f>+AI73*AH73</f>
        <v>1215000</v>
      </c>
      <c r="AK73" s="928"/>
      <c r="AL73" s="704"/>
      <c r="AM73" s="760">
        <f t="shared" si="109"/>
        <v>1215000</v>
      </c>
      <c r="AN73" s="226">
        <f t="shared" ref="AN73" si="186">+IF(AI73=0,1,0)</f>
        <v>0</v>
      </c>
      <c r="AO73" s="317" t="s">
        <v>154</v>
      </c>
      <c r="AP73" s="684" t="s">
        <v>287</v>
      </c>
      <c r="AQ73" s="326" t="s">
        <v>258</v>
      </c>
      <c r="AR73" s="315">
        <v>3</v>
      </c>
      <c r="AS73" s="306">
        <v>324500</v>
      </c>
      <c r="AT73" s="675">
        <f>+AS73*AR73</f>
        <v>973500</v>
      </c>
      <c r="AU73" s="956"/>
      <c r="AV73" s="704"/>
      <c r="AW73" s="760">
        <f t="shared" si="110"/>
        <v>973500</v>
      </c>
      <c r="AX73" s="226">
        <f t="shared" ref="AX73" si="187">+IF(AS73=0,1,0)</f>
        <v>0</v>
      </c>
      <c r="AY73" s="317" t="s">
        <v>154</v>
      </c>
      <c r="AZ73" s="354" t="s">
        <v>287</v>
      </c>
      <c r="BA73" s="326" t="s">
        <v>258</v>
      </c>
      <c r="BB73" s="315">
        <v>3</v>
      </c>
      <c r="BC73" s="716">
        <v>138450</v>
      </c>
      <c r="BD73" s="724">
        <f>+BC73*BB73</f>
        <v>415350</v>
      </c>
      <c r="BE73" s="928"/>
      <c r="BF73" s="704"/>
      <c r="BG73" s="760">
        <f t="shared" si="111"/>
        <v>415350</v>
      </c>
      <c r="BH73" s="226">
        <f t="shared" ref="BH73" si="188">+IF(BC73=0,1,0)</f>
        <v>0</v>
      </c>
      <c r="BI73" s="317" t="s">
        <v>154</v>
      </c>
      <c r="BJ73" s="684" t="s">
        <v>287</v>
      </c>
      <c r="BK73" s="326" t="s">
        <v>258</v>
      </c>
      <c r="BL73" s="315">
        <v>3</v>
      </c>
      <c r="BM73" s="306">
        <v>345200</v>
      </c>
      <c r="BN73" s="675">
        <f>+BM73*BL73</f>
        <v>1035600</v>
      </c>
      <c r="BO73" s="928"/>
      <c r="BP73" s="704"/>
      <c r="BQ73" s="760">
        <f t="shared" si="112"/>
        <v>1035600</v>
      </c>
      <c r="BR73" s="226">
        <f t="shared" ref="BR73" si="189">+IF(BM73=0,1,0)</f>
        <v>0</v>
      </c>
      <c r="BS73" s="317" t="s">
        <v>154</v>
      </c>
      <c r="BT73" s="684" t="s">
        <v>287</v>
      </c>
      <c r="BU73" s="326" t="s">
        <v>258</v>
      </c>
      <c r="BV73" s="315">
        <v>3</v>
      </c>
      <c r="BW73" s="306">
        <v>310200</v>
      </c>
      <c r="BX73" s="675">
        <f>+BW73*BV73</f>
        <v>930600</v>
      </c>
      <c r="BY73" s="928"/>
      <c r="BZ73" s="704"/>
      <c r="CA73" s="760">
        <f t="shared" si="113"/>
        <v>930600</v>
      </c>
      <c r="CB73" s="226">
        <f t="shared" ref="CB73" si="190">+IF(BW73=0,1,0)</f>
        <v>0</v>
      </c>
      <c r="CC73" s="317" t="s">
        <v>154</v>
      </c>
      <c r="CD73" s="684" t="s">
        <v>287</v>
      </c>
      <c r="CE73" s="326" t="s">
        <v>258</v>
      </c>
      <c r="CF73" s="315">
        <v>3</v>
      </c>
      <c r="CG73" s="306">
        <v>324008</v>
      </c>
      <c r="CH73" s="675">
        <f>+CG73*CF73</f>
        <v>972024</v>
      </c>
      <c r="CI73" s="928"/>
      <c r="CJ73" s="704"/>
      <c r="CK73" s="760">
        <f t="shared" si="114"/>
        <v>972024</v>
      </c>
      <c r="CL73" s="226">
        <f t="shared" ref="CL73" si="191">+IF(CG73=0,1,0)</f>
        <v>0</v>
      </c>
      <c r="CM73" s="317" t="s">
        <v>154</v>
      </c>
      <c r="CN73" s="354" t="s">
        <v>287</v>
      </c>
      <c r="CO73" s="326" t="s">
        <v>258</v>
      </c>
      <c r="CP73" s="315">
        <v>3</v>
      </c>
      <c r="CQ73" s="306">
        <v>590000</v>
      </c>
      <c r="CR73" s="465">
        <f>+CQ73*CP73</f>
        <v>1770000</v>
      </c>
      <c r="CS73" s="928"/>
      <c r="CT73" s="704"/>
      <c r="CU73" s="760">
        <f t="shared" si="115"/>
        <v>1770000</v>
      </c>
      <c r="CV73" s="226">
        <f t="shared" ref="CV73" si="192">+IF(CQ73=0,1,0)</f>
        <v>0</v>
      </c>
    </row>
    <row r="74" spans="1:100" s="208" customFormat="1" ht="24.75" outlineLevel="2" thickTop="1" thickBot="1">
      <c r="A74" s="295" t="s">
        <v>288</v>
      </c>
      <c r="B74" s="421" t="s">
        <v>289</v>
      </c>
      <c r="C74" s="349"/>
      <c r="D74" s="350"/>
      <c r="E74" s="445"/>
      <c r="F74" s="446"/>
      <c r="G74" s="301">
        <f>SUM(F75:F80)</f>
        <v>5109100</v>
      </c>
      <c r="H74" s="703"/>
      <c r="I74" s="760">
        <f t="shared" si="106"/>
        <v>0</v>
      </c>
      <c r="J74" s="226"/>
      <c r="K74" s="295" t="s">
        <v>288</v>
      </c>
      <c r="L74" s="316" t="s">
        <v>289</v>
      </c>
      <c r="M74" s="349"/>
      <c r="N74" s="350"/>
      <c r="O74" s="351"/>
      <c r="P74" s="468"/>
      <c r="Q74" s="301">
        <f>SUM(P75:P80)</f>
        <v>6338200</v>
      </c>
      <c r="R74" s="703"/>
      <c r="S74" s="760">
        <f t="shared" si="107"/>
        <v>0</v>
      </c>
      <c r="T74" s="226"/>
      <c r="U74" s="487" t="s">
        <v>288</v>
      </c>
      <c r="V74" s="510" t="s">
        <v>289</v>
      </c>
      <c r="W74" s="531"/>
      <c r="X74" s="532"/>
      <c r="Y74" s="533"/>
      <c r="Z74" s="534"/>
      <c r="AA74" s="493">
        <f>SUM(Z75:Z80)</f>
        <v>6103230</v>
      </c>
      <c r="AB74" s="703"/>
      <c r="AC74" s="760">
        <f t="shared" si="108"/>
        <v>0</v>
      </c>
      <c r="AD74" s="226"/>
      <c r="AE74" s="599" t="s">
        <v>288</v>
      </c>
      <c r="AF74" s="600" t="s">
        <v>289</v>
      </c>
      <c r="AG74" s="638"/>
      <c r="AH74" s="639"/>
      <c r="AI74" s="640"/>
      <c r="AJ74" s="641"/>
      <c r="AK74" s="301">
        <f>SUM(AJ75:AJ80)</f>
        <v>7410000</v>
      </c>
      <c r="AL74" s="703"/>
      <c r="AM74" s="760">
        <f t="shared" si="109"/>
        <v>0</v>
      </c>
      <c r="AN74" s="226"/>
      <c r="AO74" s="295" t="s">
        <v>288</v>
      </c>
      <c r="AP74" s="672" t="s">
        <v>289</v>
      </c>
      <c r="AQ74" s="349"/>
      <c r="AR74" s="350"/>
      <c r="AS74" s="351"/>
      <c r="AT74" s="683"/>
      <c r="AU74" s="699">
        <f>SUM(AT75:AT80)</f>
        <v>4062500</v>
      </c>
      <c r="AV74" s="703"/>
      <c r="AW74" s="760">
        <f t="shared" si="110"/>
        <v>0</v>
      </c>
      <c r="AX74" s="226"/>
      <c r="AY74" s="295" t="s">
        <v>288</v>
      </c>
      <c r="AZ74" s="316" t="s">
        <v>289</v>
      </c>
      <c r="BA74" s="349"/>
      <c r="BB74" s="350"/>
      <c r="BC74" s="730">
        <v>0</v>
      </c>
      <c r="BD74" s="731"/>
      <c r="BE74" s="301">
        <f>SUM(BD75:BD80)</f>
        <v>4352650</v>
      </c>
      <c r="BF74" s="703"/>
      <c r="BG74" s="760">
        <f t="shared" si="111"/>
        <v>0</v>
      </c>
      <c r="BH74" s="226"/>
      <c r="BI74" s="295" t="s">
        <v>288</v>
      </c>
      <c r="BJ74" s="672" t="s">
        <v>289</v>
      </c>
      <c r="BK74" s="349"/>
      <c r="BL74" s="350"/>
      <c r="BM74" s="351"/>
      <c r="BN74" s="683"/>
      <c r="BO74" s="301">
        <f>SUM(BN75:BN80)</f>
        <v>3793460</v>
      </c>
      <c r="BP74" s="703"/>
      <c r="BQ74" s="760">
        <f t="shared" si="112"/>
        <v>0</v>
      </c>
      <c r="BR74" s="226"/>
      <c r="BS74" s="295" t="s">
        <v>288</v>
      </c>
      <c r="BT74" s="672" t="s">
        <v>289</v>
      </c>
      <c r="BU74" s="349"/>
      <c r="BV74" s="350"/>
      <c r="BW74" s="351"/>
      <c r="BX74" s="683"/>
      <c r="BY74" s="301">
        <f>SUM(BX75:BX80)</f>
        <v>3724200</v>
      </c>
      <c r="BZ74" s="703"/>
      <c r="CA74" s="760">
        <f t="shared" si="113"/>
        <v>0</v>
      </c>
      <c r="CB74" s="226"/>
      <c r="CC74" s="295" t="s">
        <v>288</v>
      </c>
      <c r="CD74" s="672" t="s">
        <v>289</v>
      </c>
      <c r="CE74" s="349"/>
      <c r="CF74" s="350"/>
      <c r="CG74" s="351"/>
      <c r="CH74" s="683"/>
      <c r="CI74" s="301">
        <f>SUM(CH75:CH80)</f>
        <v>3780700</v>
      </c>
      <c r="CJ74" s="703"/>
      <c r="CK74" s="760">
        <f t="shared" si="114"/>
        <v>0</v>
      </c>
      <c r="CL74" s="226"/>
      <c r="CM74" s="295" t="s">
        <v>288</v>
      </c>
      <c r="CN74" s="316" t="s">
        <v>289</v>
      </c>
      <c r="CO74" s="349"/>
      <c r="CP74" s="350"/>
      <c r="CQ74" s="351"/>
      <c r="CR74" s="352"/>
      <c r="CS74" s="301">
        <f>SUM(CR75:CR80)</f>
        <v>5546980</v>
      </c>
      <c r="CT74" s="703"/>
      <c r="CU74" s="760">
        <f t="shared" si="115"/>
        <v>0</v>
      </c>
      <c r="CV74" s="226"/>
    </row>
    <row r="75" spans="1:100" s="208" customFormat="1" ht="31.5" outlineLevel="2" thickTop="1" thickBot="1">
      <c r="A75" s="317" t="s">
        <v>290</v>
      </c>
      <c r="B75" s="418" t="s">
        <v>291</v>
      </c>
      <c r="C75" s="357" t="s">
        <v>258</v>
      </c>
      <c r="D75" s="358">
        <v>5</v>
      </c>
      <c r="E75" s="427">
        <v>23300</v>
      </c>
      <c r="F75" s="428">
        <f t="shared" si="164"/>
        <v>116500</v>
      </c>
      <c r="G75" s="927">
        <f>+G74/F81</f>
        <v>1.4011872999296801E-2</v>
      </c>
      <c r="H75" s="704"/>
      <c r="I75" s="760">
        <f t="shared" si="106"/>
        <v>116500</v>
      </c>
      <c r="J75" s="226">
        <f t="shared" ref="J75:J80" si="193">+IF(E75=0,1,0)</f>
        <v>0</v>
      </c>
      <c r="K75" s="317" t="s">
        <v>290</v>
      </c>
      <c r="L75" s="310" t="s">
        <v>291</v>
      </c>
      <c r="M75" s="357" t="s">
        <v>258</v>
      </c>
      <c r="N75" s="358">
        <v>5</v>
      </c>
      <c r="O75" s="458">
        <v>105000</v>
      </c>
      <c r="P75" s="465">
        <f>+O75*N75</f>
        <v>525000</v>
      </c>
      <c r="Q75" s="927">
        <f>+Q74/P81</f>
        <v>1.7281085008062469E-2</v>
      </c>
      <c r="R75" s="704"/>
      <c r="S75" s="760">
        <f t="shared" si="107"/>
        <v>525000</v>
      </c>
      <c r="T75" s="226">
        <f t="shared" ref="T75:T80" si="194">+IF(O75=0,1,0)</f>
        <v>0</v>
      </c>
      <c r="U75" s="511" t="s">
        <v>290</v>
      </c>
      <c r="V75" s="504" t="s">
        <v>291</v>
      </c>
      <c r="W75" s="538" t="s">
        <v>258</v>
      </c>
      <c r="X75" s="539">
        <v>5</v>
      </c>
      <c r="Y75" s="514">
        <v>39630</v>
      </c>
      <c r="Z75" s="515">
        <f>+Y75*X75</f>
        <v>198150</v>
      </c>
      <c r="AA75" s="499">
        <f>+AA74/Z81</f>
        <v>1.6867006644914081E-2</v>
      </c>
      <c r="AB75" s="704"/>
      <c r="AC75" s="760">
        <f t="shared" si="108"/>
        <v>198150</v>
      </c>
      <c r="AD75" s="226">
        <f t="shared" ref="AD75:AD80" si="195">+IF(Y75=0,1,0)</f>
        <v>0</v>
      </c>
      <c r="AE75" s="605" t="s">
        <v>290</v>
      </c>
      <c r="AF75" s="592" t="s">
        <v>291</v>
      </c>
      <c r="AG75" s="646" t="s">
        <v>258</v>
      </c>
      <c r="AH75" s="647">
        <v>5</v>
      </c>
      <c r="AI75" s="617">
        <v>54000</v>
      </c>
      <c r="AJ75" s="618">
        <f>+AI75*AH75</f>
        <v>270000</v>
      </c>
      <c r="AK75" s="927">
        <f>+AK74/AJ81</f>
        <v>2.0297480865679833E-2</v>
      </c>
      <c r="AL75" s="704"/>
      <c r="AM75" s="760">
        <f t="shared" si="109"/>
        <v>270000</v>
      </c>
      <c r="AN75" s="226">
        <f t="shared" ref="AN75:AN80" si="196">+IF(AI75=0,1,0)</f>
        <v>0</v>
      </c>
      <c r="AO75" s="317" t="s">
        <v>290</v>
      </c>
      <c r="AP75" s="669" t="s">
        <v>291</v>
      </c>
      <c r="AQ75" s="357" t="s">
        <v>258</v>
      </c>
      <c r="AR75" s="358">
        <v>5</v>
      </c>
      <c r="AS75" s="328">
        <v>45300</v>
      </c>
      <c r="AT75" s="675">
        <f>+AS75*AR75</f>
        <v>226500</v>
      </c>
      <c r="AU75" s="955">
        <f>+AU74/AT81</f>
        <v>1.0936185827992627E-2</v>
      </c>
      <c r="AV75" s="704"/>
      <c r="AW75" s="760">
        <f t="shared" si="110"/>
        <v>226500</v>
      </c>
      <c r="AX75" s="226">
        <f t="shared" ref="AX75:AX80" si="197">+IF(AS75=0,1,0)</f>
        <v>0</v>
      </c>
      <c r="AY75" s="317" t="s">
        <v>290</v>
      </c>
      <c r="AZ75" s="310" t="s">
        <v>291</v>
      </c>
      <c r="BA75" s="357" t="s">
        <v>258</v>
      </c>
      <c r="BB75" s="358">
        <v>5</v>
      </c>
      <c r="BC75" s="723">
        <v>60350</v>
      </c>
      <c r="BD75" s="724">
        <f>+BC75*BB75</f>
        <v>301750</v>
      </c>
      <c r="BE75" s="927">
        <f>+BE74/BD81</f>
        <v>1.2349063156033784E-2</v>
      </c>
      <c r="BF75" s="704"/>
      <c r="BG75" s="760">
        <f t="shared" si="111"/>
        <v>301750</v>
      </c>
      <c r="BH75" s="226">
        <f t="shared" ref="BH75:BH80" si="198">+IF(BC75=0,1,0)</f>
        <v>0</v>
      </c>
      <c r="BI75" s="317" t="s">
        <v>290</v>
      </c>
      <c r="BJ75" s="669" t="s">
        <v>291</v>
      </c>
      <c r="BK75" s="357" t="s">
        <v>258</v>
      </c>
      <c r="BL75" s="358">
        <v>5</v>
      </c>
      <c r="BM75" s="328">
        <v>44900</v>
      </c>
      <c r="BN75" s="675">
        <f>+BM75*BL75</f>
        <v>224500</v>
      </c>
      <c r="BO75" s="927">
        <f>+BO74/BN81</f>
        <v>1.021716401029093E-2</v>
      </c>
      <c r="BP75" s="704"/>
      <c r="BQ75" s="760">
        <f t="shared" si="112"/>
        <v>224500</v>
      </c>
      <c r="BR75" s="226">
        <f t="shared" ref="BR75:BR80" si="199">+IF(BM75=0,1,0)</f>
        <v>0</v>
      </c>
      <c r="BS75" s="317" t="s">
        <v>290</v>
      </c>
      <c r="BT75" s="669" t="s">
        <v>291</v>
      </c>
      <c r="BU75" s="357" t="s">
        <v>258</v>
      </c>
      <c r="BV75" s="358">
        <v>5</v>
      </c>
      <c r="BW75" s="328">
        <v>44900</v>
      </c>
      <c r="BX75" s="675">
        <f>+BW75*BV75</f>
        <v>224500</v>
      </c>
      <c r="BY75" s="927">
        <f>+BY74/BX81</f>
        <v>9.9409421498159994E-3</v>
      </c>
      <c r="BZ75" s="704"/>
      <c r="CA75" s="760">
        <f t="shared" si="113"/>
        <v>224500</v>
      </c>
      <c r="CB75" s="226">
        <f t="shared" ref="CB75:CB80" si="200">+IF(BW75=0,1,0)</f>
        <v>0</v>
      </c>
      <c r="CC75" s="317" t="s">
        <v>290</v>
      </c>
      <c r="CD75" s="669" t="s">
        <v>291</v>
      </c>
      <c r="CE75" s="357" t="s">
        <v>258</v>
      </c>
      <c r="CF75" s="358">
        <v>5</v>
      </c>
      <c r="CG75" s="328">
        <v>45100</v>
      </c>
      <c r="CH75" s="675">
        <f>+CG75*CF75</f>
        <v>225500</v>
      </c>
      <c r="CI75" s="927">
        <f>+CI74/CH81</f>
        <v>1.0145891418921756E-2</v>
      </c>
      <c r="CJ75" s="704"/>
      <c r="CK75" s="760">
        <f t="shared" si="114"/>
        <v>225500</v>
      </c>
      <c r="CL75" s="226">
        <f t="shared" ref="CL75:CL80" si="201">+IF(CG75=0,1,0)</f>
        <v>0</v>
      </c>
      <c r="CM75" s="317" t="s">
        <v>290</v>
      </c>
      <c r="CN75" s="310" t="s">
        <v>291</v>
      </c>
      <c r="CO75" s="357" t="s">
        <v>258</v>
      </c>
      <c r="CP75" s="358">
        <v>5</v>
      </c>
      <c r="CQ75" s="328">
        <v>16500</v>
      </c>
      <c r="CR75" s="465">
        <f>+CQ75*CP75</f>
        <v>82500</v>
      </c>
      <c r="CS75" s="927">
        <f>+CS74/CR81</f>
        <v>1.5347345066291363E-2</v>
      </c>
      <c r="CT75" s="704"/>
      <c r="CU75" s="760">
        <f t="shared" si="115"/>
        <v>82500</v>
      </c>
      <c r="CV75" s="226">
        <f t="shared" ref="CV75:CV80" si="202">+IF(CQ75=0,1,0)</f>
        <v>0</v>
      </c>
    </row>
    <row r="76" spans="1:100" s="208" customFormat="1" ht="46.5" outlineLevel="2" thickTop="1" thickBot="1">
      <c r="A76" s="317" t="s">
        <v>292</v>
      </c>
      <c r="B76" s="418" t="s">
        <v>293</v>
      </c>
      <c r="C76" s="357" t="s">
        <v>282</v>
      </c>
      <c r="D76" s="358">
        <v>312</v>
      </c>
      <c r="E76" s="427">
        <v>12800</v>
      </c>
      <c r="F76" s="428">
        <f t="shared" si="164"/>
        <v>3993600</v>
      </c>
      <c r="G76" s="928"/>
      <c r="H76" s="704"/>
      <c r="I76" s="760">
        <f t="shared" si="106"/>
        <v>3993600</v>
      </c>
      <c r="J76" s="226">
        <f t="shared" si="193"/>
        <v>0</v>
      </c>
      <c r="K76" s="317" t="s">
        <v>292</v>
      </c>
      <c r="L76" s="310" t="s">
        <v>293</v>
      </c>
      <c r="M76" s="357" t="s">
        <v>282</v>
      </c>
      <c r="N76" s="358">
        <v>312</v>
      </c>
      <c r="O76" s="458">
        <v>14800</v>
      </c>
      <c r="P76" s="465">
        <f t="shared" ref="P76:P79" si="203">+O76*N76</f>
        <v>4617600</v>
      </c>
      <c r="Q76" s="928"/>
      <c r="R76" s="704"/>
      <c r="S76" s="760">
        <f t="shared" si="107"/>
        <v>4617600</v>
      </c>
      <c r="T76" s="226">
        <f t="shared" si="194"/>
        <v>0</v>
      </c>
      <c r="U76" s="511" t="s">
        <v>292</v>
      </c>
      <c r="V76" s="504" t="s">
        <v>293</v>
      </c>
      <c r="W76" s="538" t="s">
        <v>282</v>
      </c>
      <c r="X76" s="539">
        <v>312</v>
      </c>
      <c r="Y76" s="514">
        <v>15550</v>
      </c>
      <c r="Z76" s="515">
        <f t="shared" ref="Z76:Z80" si="204">+Y76*X76</f>
        <v>4851600</v>
      </c>
      <c r="AA76" s="502"/>
      <c r="AB76" s="704"/>
      <c r="AC76" s="760">
        <f t="shared" si="108"/>
        <v>4851600</v>
      </c>
      <c r="AD76" s="226">
        <f t="shared" si="195"/>
        <v>0</v>
      </c>
      <c r="AE76" s="605" t="s">
        <v>292</v>
      </c>
      <c r="AF76" s="592" t="s">
        <v>293</v>
      </c>
      <c r="AG76" s="646" t="s">
        <v>282</v>
      </c>
      <c r="AH76" s="647">
        <v>312</v>
      </c>
      <c r="AI76" s="617">
        <v>19000</v>
      </c>
      <c r="AJ76" s="618">
        <f t="shared" ref="AJ76:AJ80" si="205">+AI76*AH76</f>
        <v>5928000</v>
      </c>
      <c r="AK76" s="928"/>
      <c r="AL76" s="704"/>
      <c r="AM76" s="760">
        <f t="shared" si="109"/>
        <v>5928000</v>
      </c>
      <c r="AN76" s="226">
        <f t="shared" si="196"/>
        <v>0</v>
      </c>
      <c r="AO76" s="317" t="s">
        <v>292</v>
      </c>
      <c r="AP76" s="669" t="s">
        <v>293</v>
      </c>
      <c r="AQ76" s="357" t="s">
        <v>282</v>
      </c>
      <c r="AR76" s="358">
        <v>312</v>
      </c>
      <c r="AS76" s="328">
        <v>8800</v>
      </c>
      <c r="AT76" s="675">
        <f t="shared" ref="AT76:AT80" si="206">+AS76*AR76</f>
        <v>2745600</v>
      </c>
      <c r="AU76" s="956"/>
      <c r="AV76" s="704"/>
      <c r="AW76" s="760">
        <f t="shared" si="110"/>
        <v>2745600</v>
      </c>
      <c r="AX76" s="226">
        <f t="shared" si="197"/>
        <v>0</v>
      </c>
      <c r="AY76" s="317" t="s">
        <v>292</v>
      </c>
      <c r="AZ76" s="310" t="s">
        <v>293</v>
      </c>
      <c r="BA76" s="357" t="s">
        <v>282</v>
      </c>
      <c r="BB76" s="358">
        <v>312</v>
      </c>
      <c r="BC76" s="723">
        <v>8000</v>
      </c>
      <c r="BD76" s="724">
        <f t="shared" ref="BD76:BD80" si="207">+BC76*BB76</f>
        <v>2496000</v>
      </c>
      <c r="BE76" s="928"/>
      <c r="BF76" s="704"/>
      <c r="BG76" s="760">
        <f t="shared" si="111"/>
        <v>2496000</v>
      </c>
      <c r="BH76" s="226">
        <f t="shared" si="198"/>
        <v>0</v>
      </c>
      <c r="BI76" s="317" t="s">
        <v>292</v>
      </c>
      <c r="BJ76" s="669" t="s">
        <v>293</v>
      </c>
      <c r="BK76" s="357" t="s">
        <v>282</v>
      </c>
      <c r="BL76" s="358">
        <v>312</v>
      </c>
      <c r="BM76" s="328">
        <v>8320</v>
      </c>
      <c r="BN76" s="675">
        <f t="shared" ref="BN76:BN80" si="208">+BM76*BL76</f>
        <v>2595840</v>
      </c>
      <c r="BO76" s="928"/>
      <c r="BP76" s="704"/>
      <c r="BQ76" s="760">
        <f t="shared" si="112"/>
        <v>2595840</v>
      </c>
      <c r="BR76" s="226">
        <f t="shared" si="199"/>
        <v>0</v>
      </c>
      <c r="BS76" s="317" t="s">
        <v>292</v>
      </c>
      <c r="BT76" s="669" t="s">
        <v>293</v>
      </c>
      <c r="BU76" s="357" t="s">
        <v>282</v>
      </c>
      <c r="BV76" s="358">
        <v>312</v>
      </c>
      <c r="BW76" s="328">
        <v>7800</v>
      </c>
      <c r="BX76" s="675">
        <f t="shared" ref="BX76:BX80" si="209">+BW76*BV76</f>
        <v>2433600</v>
      </c>
      <c r="BY76" s="928"/>
      <c r="BZ76" s="704"/>
      <c r="CA76" s="760">
        <f t="shared" si="113"/>
        <v>2433600</v>
      </c>
      <c r="CB76" s="226">
        <f t="shared" si="200"/>
        <v>0</v>
      </c>
      <c r="CC76" s="317" t="s">
        <v>292</v>
      </c>
      <c r="CD76" s="669" t="s">
        <v>293</v>
      </c>
      <c r="CE76" s="357" t="s">
        <v>282</v>
      </c>
      <c r="CF76" s="358">
        <v>312</v>
      </c>
      <c r="CG76" s="328">
        <v>8100</v>
      </c>
      <c r="CH76" s="675">
        <f t="shared" ref="CH76:CH80" si="210">+CG76*CF76</f>
        <v>2527200</v>
      </c>
      <c r="CI76" s="928"/>
      <c r="CJ76" s="704"/>
      <c r="CK76" s="760">
        <f t="shared" si="114"/>
        <v>2527200</v>
      </c>
      <c r="CL76" s="226">
        <f t="shared" si="201"/>
        <v>0</v>
      </c>
      <c r="CM76" s="317" t="s">
        <v>292</v>
      </c>
      <c r="CN76" s="310" t="s">
        <v>293</v>
      </c>
      <c r="CO76" s="357" t="s">
        <v>282</v>
      </c>
      <c r="CP76" s="358">
        <v>312</v>
      </c>
      <c r="CQ76" s="328">
        <v>13890</v>
      </c>
      <c r="CR76" s="465">
        <f t="shared" ref="CR76:CR80" si="211">+CQ76*CP76</f>
        <v>4333680</v>
      </c>
      <c r="CS76" s="928"/>
      <c r="CT76" s="704"/>
      <c r="CU76" s="760">
        <f t="shared" si="115"/>
        <v>4333680</v>
      </c>
      <c r="CV76" s="226">
        <f t="shared" si="202"/>
        <v>0</v>
      </c>
    </row>
    <row r="77" spans="1:100" s="208" customFormat="1" ht="76.5" outlineLevel="2" thickTop="1" thickBot="1">
      <c r="A77" s="317" t="s">
        <v>294</v>
      </c>
      <c r="B77" s="418" t="s">
        <v>295</v>
      </c>
      <c r="C77" s="357" t="s">
        <v>258</v>
      </c>
      <c r="D77" s="358">
        <v>10</v>
      </c>
      <c r="E77" s="427">
        <v>51200</v>
      </c>
      <c r="F77" s="428">
        <f t="shared" si="164"/>
        <v>512000</v>
      </c>
      <c r="G77" s="928"/>
      <c r="H77" s="704"/>
      <c r="I77" s="760">
        <f t="shared" si="106"/>
        <v>512000</v>
      </c>
      <c r="J77" s="226">
        <f t="shared" si="193"/>
        <v>0</v>
      </c>
      <c r="K77" s="317" t="s">
        <v>294</v>
      </c>
      <c r="L77" s="310" t="s">
        <v>295</v>
      </c>
      <c r="M77" s="357" t="s">
        <v>258</v>
      </c>
      <c r="N77" s="358">
        <v>10</v>
      </c>
      <c r="O77" s="458">
        <v>88900</v>
      </c>
      <c r="P77" s="465">
        <f t="shared" si="203"/>
        <v>889000</v>
      </c>
      <c r="Q77" s="928"/>
      <c r="R77" s="704"/>
      <c r="S77" s="760">
        <f t="shared" si="107"/>
        <v>889000</v>
      </c>
      <c r="T77" s="226">
        <f t="shared" si="194"/>
        <v>0</v>
      </c>
      <c r="U77" s="511" t="s">
        <v>294</v>
      </c>
      <c r="V77" s="504" t="s">
        <v>295</v>
      </c>
      <c r="W77" s="538" t="s">
        <v>258</v>
      </c>
      <c r="X77" s="539">
        <v>10</v>
      </c>
      <c r="Y77" s="514">
        <v>38965</v>
      </c>
      <c r="Z77" s="515">
        <f t="shared" si="204"/>
        <v>389650</v>
      </c>
      <c r="AA77" s="502"/>
      <c r="AB77" s="704"/>
      <c r="AC77" s="760">
        <f t="shared" si="108"/>
        <v>389650</v>
      </c>
      <c r="AD77" s="226">
        <f t="shared" si="195"/>
        <v>0</v>
      </c>
      <c r="AE77" s="605" t="s">
        <v>294</v>
      </c>
      <c r="AF77" s="592" t="s">
        <v>295</v>
      </c>
      <c r="AG77" s="646" t="s">
        <v>258</v>
      </c>
      <c r="AH77" s="647">
        <v>10</v>
      </c>
      <c r="AI77" s="617">
        <v>60000</v>
      </c>
      <c r="AJ77" s="618">
        <f t="shared" si="205"/>
        <v>600000</v>
      </c>
      <c r="AK77" s="928"/>
      <c r="AL77" s="704"/>
      <c r="AM77" s="760">
        <f t="shared" si="109"/>
        <v>600000</v>
      </c>
      <c r="AN77" s="226">
        <f t="shared" si="196"/>
        <v>0</v>
      </c>
      <c r="AO77" s="317" t="s">
        <v>294</v>
      </c>
      <c r="AP77" s="669" t="s">
        <v>295</v>
      </c>
      <c r="AQ77" s="357" t="s">
        <v>258</v>
      </c>
      <c r="AR77" s="358">
        <v>10</v>
      </c>
      <c r="AS77" s="328">
        <v>58900</v>
      </c>
      <c r="AT77" s="675">
        <f t="shared" si="206"/>
        <v>589000</v>
      </c>
      <c r="AU77" s="956"/>
      <c r="AV77" s="704"/>
      <c r="AW77" s="760">
        <f t="shared" si="110"/>
        <v>589000</v>
      </c>
      <c r="AX77" s="226">
        <f t="shared" si="197"/>
        <v>0</v>
      </c>
      <c r="AY77" s="317" t="s">
        <v>294</v>
      </c>
      <c r="AZ77" s="310" t="s">
        <v>295</v>
      </c>
      <c r="BA77" s="357" t="s">
        <v>258</v>
      </c>
      <c r="BB77" s="358">
        <v>10</v>
      </c>
      <c r="BC77" s="723">
        <v>60350</v>
      </c>
      <c r="BD77" s="724">
        <f t="shared" si="207"/>
        <v>603500</v>
      </c>
      <c r="BE77" s="928"/>
      <c r="BF77" s="704"/>
      <c r="BG77" s="760">
        <f t="shared" si="111"/>
        <v>603500</v>
      </c>
      <c r="BH77" s="226">
        <f t="shared" si="198"/>
        <v>0</v>
      </c>
      <c r="BI77" s="317" t="s">
        <v>294</v>
      </c>
      <c r="BJ77" s="669" t="s">
        <v>295</v>
      </c>
      <c r="BK77" s="357" t="s">
        <v>258</v>
      </c>
      <c r="BL77" s="358">
        <v>10</v>
      </c>
      <c r="BM77" s="328">
        <v>49980</v>
      </c>
      <c r="BN77" s="675">
        <f t="shared" si="208"/>
        <v>499800</v>
      </c>
      <c r="BO77" s="928"/>
      <c r="BP77" s="704"/>
      <c r="BQ77" s="760">
        <f t="shared" si="112"/>
        <v>499800</v>
      </c>
      <c r="BR77" s="226">
        <f t="shared" si="199"/>
        <v>0</v>
      </c>
      <c r="BS77" s="317" t="s">
        <v>294</v>
      </c>
      <c r="BT77" s="669" t="s">
        <v>295</v>
      </c>
      <c r="BU77" s="357" t="s">
        <v>258</v>
      </c>
      <c r="BV77" s="358">
        <v>10</v>
      </c>
      <c r="BW77" s="328">
        <v>57230</v>
      </c>
      <c r="BX77" s="675">
        <f t="shared" si="209"/>
        <v>572300</v>
      </c>
      <c r="BY77" s="928"/>
      <c r="BZ77" s="704"/>
      <c r="CA77" s="760">
        <f t="shared" si="113"/>
        <v>572300</v>
      </c>
      <c r="CB77" s="226">
        <f t="shared" si="200"/>
        <v>0</v>
      </c>
      <c r="CC77" s="317" t="s">
        <v>294</v>
      </c>
      <c r="CD77" s="669" t="s">
        <v>295</v>
      </c>
      <c r="CE77" s="357" t="s">
        <v>258</v>
      </c>
      <c r="CF77" s="358">
        <v>10</v>
      </c>
      <c r="CG77" s="328">
        <v>55000</v>
      </c>
      <c r="CH77" s="675">
        <f t="shared" si="210"/>
        <v>550000</v>
      </c>
      <c r="CI77" s="928"/>
      <c r="CJ77" s="704"/>
      <c r="CK77" s="760">
        <f t="shared" si="114"/>
        <v>550000</v>
      </c>
      <c r="CL77" s="226">
        <f t="shared" si="201"/>
        <v>0</v>
      </c>
      <c r="CM77" s="317" t="s">
        <v>294</v>
      </c>
      <c r="CN77" s="310" t="s">
        <v>295</v>
      </c>
      <c r="CO77" s="357" t="s">
        <v>258</v>
      </c>
      <c r="CP77" s="358">
        <v>10</v>
      </c>
      <c r="CQ77" s="328">
        <v>68000</v>
      </c>
      <c r="CR77" s="465">
        <f t="shared" si="211"/>
        <v>680000</v>
      </c>
      <c r="CS77" s="928"/>
      <c r="CT77" s="704"/>
      <c r="CU77" s="760">
        <f t="shared" si="115"/>
        <v>680000</v>
      </c>
      <c r="CV77" s="226">
        <f t="shared" si="202"/>
        <v>0</v>
      </c>
    </row>
    <row r="78" spans="1:100" s="208" customFormat="1" ht="46.5" outlineLevel="2" thickTop="1" thickBot="1">
      <c r="A78" s="317" t="s">
        <v>296</v>
      </c>
      <c r="B78" s="418" t="s">
        <v>297</v>
      </c>
      <c r="C78" s="357" t="s">
        <v>258</v>
      </c>
      <c r="D78" s="358">
        <v>10</v>
      </c>
      <c r="E78" s="427">
        <v>16800</v>
      </c>
      <c r="F78" s="428">
        <f t="shared" si="164"/>
        <v>168000</v>
      </c>
      <c r="G78" s="928"/>
      <c r="H78" s="704"/>
      <c r="I78" s="760">
        <f t="shared" si="106"/>
        <v>168000</v>
      </c>
      <c r="J78" s="226">
        <f t="shared" si="193"/>
        <v>0</v>
      </c>
      <c r="K78" s="317" t="s">
        <v>296</v>
      </c>
      <c r="L78" s="310" t="s">
        <v>297</v>
      </c>
      <c r="M78" s="357" t="s">
        <v>258</v>
      </c>
      <c r="N78" s="358">
        <v>10</v>
      </c>
      <c r="O78" s="458">
        <v>9200</v>
      </c>
      <c r="P78" s="465">
        <f t="shared" si="203"/>
        <v>92000</v>
      </c>
      <c r="Q78" s="928"/>
      <c r="R78" s="704"/>
      <c r="S78" s="760">
        <f t="shared" si="107"/>
        <v>92000</v>
      </c>
      <c r="T78" s="226">
        <f t="shared" si="194"/>
        <v>0</v>
      </c>
      <c r="U78" s="511" t="s">
        <v>296</v>
      </c>
      <c r="V78" s="504" t="s">
        <v>297</v>
      </c>
      <c r="W78" s="538" t="s">
        <v>258</v>
      </c>
      <c r="X78" s="539">
        <v>10</v>
      </c>
      <c r="Y78" s="514">
        <v>17415</v>
      </c>
      <c r="Z78" s="515">
        <f t="shared" si="204"/>
        <v>174150</v>
      </c>
      <c r="AA78" s="502"/>
      <c r="AB78" s="704"/>
      <c r="AC78" s="760">
        <f t="shared" si="108"/>
        <v>174150</v>
      </c>
      <c r="AD78" s="226">
        <f t="shared" si="195"/>
        <v>0</v>
      </c>
      <c r="AE78" s="605" t="s">
        <v>296</v>
      </c>
      <c r="AF78" s="592" t="s">
        <v>297</v>
      </c>
      <c r="AG78" s="646" t="s">
        <v>258</v>
      </c>
      <c r="AH78" s="647">
        <v>10</v>
      </c>
      <c r="AI78" s="617">
        <v>16000</v>
      </c>
      <c r="AJ78" s="618">
        <f t="shared" si="205"/>
        <v>160000</v>
      </c>
      <c r="AK78" s="928"/>
      <c r="AL78" s="704"/>
      <c r="AM78" s="760">
        <f t="shared" si="109"/>
        <v>160000</v>
      </c>
      <c r="AN78" s="226">
        <f t="shared" si="196"/>
        <v>0</v>
      </c>
      <c r="AO78" s="317" t="s">
        <v>296</v>
      </c>
      <c r="AP78" s="669" t="s">
        <v>297</v>
      </c>
      <c r="AQ78" s="357" t="s">
        <v>258</v>
      </c>
      <c r="AR78" s="358">
        <v>10</v>
      </c>
      <c r="AS78" s="328">
        <v>15600</v>
      </c>
      <c r="AT78" s="675">
        <f t="shared" si="206"/>
        <v>156000</v>
      </c>
      <c r="AU78" s="956"/>
      <c r="AV78" s="704"/>
      <c r="AW78" s="760">
        <f t="shared" si="110"/>
        <v>156000</v>
      </c>
      <c r="AX78" s="226">
        <f t="shared" si="197"/>
        <v>0</v>
      </c>
      <c r="AY78" s="317" t="s">
        <v>296</v>
      </c>
      <c r="AZ78" s="310" t="s">
        <v>297</v>
      </c>
      <c r="BA78" s="357" t="s">
        <v>258</v>
      </c>
      <c r="BB78" s="358">
        <v>10</v>
      </c>
      <c r="BC78" s="723">
        <v>28400</v>
      </c>
      <c r="BD78" s="724">
        <f t="shared" si="207"/>
        <v>284000</v>
      </c>
      <c r="BE78" s="928"/>
      <c r="BF78" s="704"/>
      <c r="BG78" s="760">
        <f t="shared" si="111"/>
        <v>284000</v>
      </c>
      <c r="BH78" s="226">
        <f t="shared" si="198"/>
        <v>0</v>
      </c>
      <c r="BI78" s="317" t="s">
        <v>296</v>
      </c>
      <c r="BJ78" s="669" t="s">
        <v>297</v>
      </c>
      <c r="BK78" s="357" t="s">
        <v>258</v>
      </c>
      <c r="BL78" s="358">
        <v>10</v>
      </c>
      <c r="BM78" s="328">
        <v>15100</v>
      </c>
      <c r="BN78" s="675">
        <f t="shared" si="208"/>
        <v>151000</v>
      </c>
      <c r="BO78" s="928"/>
      <c r="BP78" s="704"/>
      <c r="BQ78" s="760">
        <f t="shared" si="112"/>
        <v>151000</v>
      </c>
      <c r="BR78" s="226">
        <f t="shared" si="199"/>
        <v>0</v>
      </c>
      <c r="BS78" s="317" t="s">
        <v>296</v>
      </c>
      <c r="BT78" s="669" t="s">
        <v>297</v>
      </c>
      <c r="BU78" s="357" t="s">
        <v>258</v>
      </c>
      <c r="BV78" s="358">
        <v>10</v>
      </c>
      <c r="BW78" s="328">
        <v>16100</v>
      </c>
      <c r="BX78" s="675">
        <f t="shared" si="209"/>
        <v>161000</v>
      </c>
      <c r="BY78" s="928"/>
      <c r="BZ78" s="704"/>
      <c r="CA78" s="760">
        <f t="shared" si="113"/>
        <v>161000</v>
      </c>
      <c r="CB78" s="226">
        <f t="shared" si="200"/>
        <v>0</v>
      </c>
      <c r="CC78" s="317" t="s">
        <v>296</v>
      </c>
      <c r="CD78" s="669" t="s">
        <v>297</v>
      </c>
      <c r="CE78" s="357" t="s">
        <v>258</v>
      </c>
      <c r="CF78" s="358">
        <v>10</v>
      </c>
      <c r="CG78" s="328">
        <v>15900</v>
      </c>
      <c r="CH78" s="675">
        <f t="shared" si="210"/>
        <v>159000</v>
      </c>
      <c r="CI78" s="928"/>
      <c r="CJ78" s="704"/>
      <c r="CK78" s="760">
        <f t="shared" si="114"/>
        <v>159000</v>
      </c>
      <c r="CL78" s="226">
        <f t="shared" si="201"/>
        <v>0</v>
      </c>
      <c r="CM78" s="317" t="s">
        <v>296</v>
      </c>
      <c r="CN78" s="310" t="s">
        <v>297</v>
      </c>
      <c r="CO78" s="357" t="s">
        <v>258</v>
      </c>
      <c r="CP78" s="358">
        <v>10</v>
      </c>
      <c r="CQ78" s="328">
        <v>14000</v>
      </c>
      <c r="CR78" s="465">
        <f t="shared" si="211"/>
        <v>140000</v>
      </c>
      <c r="CS78" s="928"/>
      <c r="CT78" s="704"/>
      <c r="CU78" s="760">
        <f t="shared" si="115"/>
        <v>140000</v>
      </c>
      <c r="CV78" s="226">
        <f t="shared" si="202"/>
        <v>0</v>
      </c>
    </row>
    <row r="79" spans="1:100" s="208" customFormat="1" ht="46.5" outlineLevel="2" thickTop="1" thickBot="1">
      <c r="A79" s="317" t="s">
        <v>298</v>
      </c>
      <c r="B79" s="418" t="s">
        <v>299</v>
      </c>
      <c r="C79" s="357" t="s">
        <v>282</v>
      </c>
      <c r="D79" s="358">
        <v>2</v>
      </c>
      <c r="E79" s="427">
        <v>20000</v>
      </c>
      <c r="F79" s="428">
        <f t="shared" si="164"/>
        <v>40000</v>
      </c>
      <c r="G79" s="928"/>
      <c r="H79" s="704"/>
      <c r="I79" s="760">
        <f t="shared" si="106"/>
        <v>40000</v>
      </c>
      <c r="J79" s="226">
        <f t="shared" si="193"/>
        <v>0</v>
      </c>
      <c r="K79" s="317" t="s">
        <v>298</v>
      </c>
      <c r="L79" s="310" t="s">
        <v>299</v>
      </c>
      <c r="M79" s="357" t="s">
        <v>282</v>
      </c>
      <c r="N79" s="358">
        <v>2</v>
      </c>
      <c r="O79" s="458">
        <v>11900</v>
      </c>
      <c r="P79" s="465">
        <f t="shared" si="203"/>
        <v>23800</v>
      </c>
      <c r="Q79" s="928"/>
      <c r="R79" s="704"/>
      <c r="S79" s="760">
        <f t="shared" si="107"/>
        <v>23800</v>
      </c>
      <c r="T79" s="226">
        <f t="shared" si="194"/>
        <v>0</v>
      </c>
      <c r="U79" s="511" t="s">
        <v>298</v>
      </c>
      <c r="V79" s="504" t="s">
        <v>299</v>
      </c>
      <c r="W79" s="538" t="s">
        <v>282</v>
      </c>
      <c r="X79" s="539">
        <v>2</v>
      </c>
      <c r="Y79" s="514">
        <v>14890</v>
      </c>
      <c r="Z79" s="515">
        <f t="shared" si="204"/>
        <v>29780</v>
      </c>
      <c r="AA79" s="502"/>
      <c r="AB79" s="704"/>
      <c r="AC79" s="760">
        <f t="shared" si="108"/>
        <v>29780</v>
      </c>
      <c r="AD79" s="226">
        <f t="shared" si="195"/>
        <v>0</v>
      </c>
      <c r="AE79" s="605" t="s">
        <v>298</v>
      </c>
      <c r="AF79" s="592" t="s">
        <v>299</v>
      </c>
      <c r="AG79" s="646" t="s">
        <v>282</v>
      </c>
      <c r="AH79" s="647">
        <v>2</v>
      </c>
      <c r="AI79" s="617">
        <v>46000</v>
      </c>
      <c r="AJ79" s="618">
        <f t="shared" si="205"/>
        <v>92000</v>
      </c>
      <c r="AK79" s="928"/>
      <c r="AL79" s="704"/>
      <c r="AM79" s="760">
        <f t="shared" si="109"/>
        <v>92000</v>
      </c>
      <c r="AN79" s="226">
        <f t="shared" si="196"/>
        <v>0</v>
      </c>
      <c r="AO79" s="317" t="s">
        <v>298</v>
      </c>
      <c r="AP79" s="669" t="s">
        <v>299</v>
      </c>
      <c r="AQ79" s="357" t="s">
        <v>282</v>
      </c>
      <c r="AR79" s="358">
        <v>2</v>
      </c>
      <c r="AS79" s="328">
        <v>9800</v>
      </c>
      <c r="AT79" s="675">
        <f t="shared" si="206"/>
        <v>19600</v>
      </c>
      <c r="AU79" s="956"/>
      <c r="AV79" s="704"/>
      <c r="AW79" s="760">
        <f t="shared" si="110"/>
        <v>19600</v>
      </c>
      <c r="AX79" s="226">
        <f t="shared" si="197"/>
        <v>0</v>
      </c>
      <c r="AY79" s="317" t="s">
        <v>298</v>
      </c>
      <c r="AZ79" s="310" t="s">
        <v>299</v>
      </c>
      <c r="BA79" s="357" t="s">
        <v>282</v>
      </c>
      <c r="BB79" s="358">
        <v>2</v>
      </c>
      <c r="BC79" s="723">
        <v>14200</v>
      </c>
      <c r="BD79" s="724">
        <f t="shared" si="207"/>
        <v>28400</v>
      </c>
      <c r="BE79" s="928"/>
      <c r="BF79" s="704"/>
      <c r="BG79" s="760">
        <f t="shared" si="111"/>
        <v>28400</v>
      </c>
      <c r="BH79" s="226">
        <f t="shared" si="198"/>
        <v>0</v>
      </c>
      <c r="BI79" s="317" t="s">
        <v>298</v>
      </c>
      <c r="BJ79" s="669" t="s">
        <v>299</v>
      </c>
      <c r="BK79" s="357" t="s">
        <v>282</v>
      </c>
      <c r="BL79" s="358">
        <v>2</v>
      </c>
      <c r="BM79" s="328">
        <v>10200</v>
      </c>
      <c r="BN79" s="675">
        <f t="shared" si="208"/>
        <v>20400</v>
      </c>
      <c r="BO79" s="928"/>
      <c r="BP79" s="704"/>
      <c r="BQ79" s="760">
        <f t="shared" si="112"/>
        <v>20400</v>
      </c>
      <c r="BR79" s="226">
        <f t="shared" si="199"/>
        <v>0</v>
      </c>
      <c r="BS79" s="317" t="s">
        <v>298</v>
      </c>
      <c r="BT79" s="669" t="s">
        <v>299</v>
      </c>
      <c r="BU79" s="357" t="s">
        <v>282</v>
      </c>
      <c r="BV79" s="358">
        <v>2</v>
      </c>
      <c r="BW79" s="328">
        <v>10100</v>
      </c>
      <c r="BX79" s="675">
        <f t="shared" si="209"/>
        <v>20200</v>
      </c>
      <c r="BY79" s="928"/>
      <c r="BZ79" s="704"/>
      <c r="CA79" s="760">
        <f t="shared" si="113"/>
        <v>20200</v>
      </c>
      <c r="CB79" s="226">
        <f t="shared" si="200"/>
        <v>0</v>
      </c>
      <c r="CC79" s="317" t="s">
        <v>298</v>
      </c>
      <c r="CD79" s="669" t="s">
        <v>299</v>
      </c>
      <c r="CE79" s="357" t="s">
        <v>282</v>
      </c>
      <c r="CF79" s="358">
        <v>2</v>
      </c>
      <c r="CG79" s="328">
        <v>9800</v>
      </c>
      <c r="CH79" s="675">
        <f t="shared" si="210"/>
        <v>19600</v>
      </c>
      <c r="CI79" s="928"/>
      <c r="CJ79" s="704"/>
      <c r="CK79" s="760">
        <f t="shared" si="114"/>
        <v>19600</v>
      </c>
      <c r="CL79" s="226">
        <f t="shared" si="201"/>
        <v>0</v>
      </c>
      <c r="CM79" s="317" t="s">
        <v>298</v>
      </c>
      <c r="CN79" s="310" t="s">
        <v>299</v>
      </c>
      <c r="CO79" s="357" t="s">
        <v>282</v>
      </c>
      <c r="CP79" s="358">
        <v>2</v>
      </c>
      <c r="CQ79" s="328">
        <v>12000</v>
      </c>
      <c r="CR79" s="465">
        <f t="shared" si="211"/>
        <v>24000</v>
      </c>
      <c r="CS79" s="928"/>
      <c r="CT79" s="704"/>
      <c r="CU79" s="760">
        <f t="shared" si="115"/>
        <v>24000</v>
      </c>
      <c r="CV79" s="226">
        <f t="shared" si="202"/>
        <v>0</v>
      </c>
    </row>
    <row r="80" spans="1:100" s="208" customFormat="1" ht="106.5" outlineLevel="2" thickTop="1" thickBot="1">
      <c r="A80" s="317" t="s">
        <v>300</v>
      </c>
      <c r="B80" s="418" t="s">
        <v>301</v>
      </c>
      <c r="C80" s="357" t="s">
        <v>282</v>
      </c>
      <c r="D80" s="358">
        <v>6</v>
      </c>
      <c r="E80" s="427">
        <v>46500</v>
      </c>
      <c r="F80" s="428">
        <f t="shared" si="164"/>
        <v>279000</v>
      </c>
      <c r="G80" s="928"/>
      <c r="H80" s="704"/>
      <c r="I80" s="760">
        <f t="shared" si="106"/>
        <v>279000</v>
      </c>
      <c r="J80" s="226">
        <f t="shared" si="193"/>
        <v>0</v>
      </c>
      <c r="K80" s="317" t="s">
        <v>300</v>
      </c>
      <c r="L80" s="310" t="s">
        <v>301</v>
      </c>
      <c r="M80" s="357" t="s">
        <v>282</v>
      </c>
      <c r="N80" s="358">
        <v>6</v>
      </c>
      <c r="O80" s="458">
        <v>31800</v>
      </c>
      <c r="P80" s="465">
        <f>+O80*N80</f>
        <v>190800</v>
      </c>
      <c r="Q80" s="928"/>
      <c r="R80" s="704"/>
      <c r="S80" s="760">
        <f t="shared" si="107"/>
        <v>190800</v>
      </c>
      <c r="T80" s="226">
        <f t="shared" si="194"/>
        <v>0</v>
      </c>
      <c r="U80" s="511" t="s">
        <v>300</v>
      </c>
      <c r="V80" s="504" t="s">
        <v>301</v>
      </c>
      <c r="W80" s="538" t="s">
        <v>282</v>
      </c>
      <c r="X80" s="539">
        <v>6</v>
      </c>
      <c r="Y80" s="514">
        <v>76650</v>
      </c>
      <c r="Z80" s="515">
        <f t="shared" si="204"/>
        <v>459900</v>
      </c>
      <c r="AA80" s="540"/>
      <c r="AB80" s="704"/>
      <c r="AC80" s="760">
        <f t="shared" si="108"/>
        <v>459900</v>
      </c>
      <c r="AD80" s="226">
        <f t="shared" si="195"/>
        <v>0</v>
      </c>
      <c r="AE80" s="605" t="s">
        <v>300</v>
      </c>
      <c r="AF80" s="592" t="s">
        <v>301</v>
      </c>
      <c r="AG80" s="646" t="s">
        <v>282</v>
      </c>
      <c r="AH80" s="647">
        <v>6</v>
      </c>
      <c r="AI80" s="617">
        <v>60000</v>
      </c>
      <c r="AJ80" s="618">
        <f t="shared" si="205"/>
        <v>360000</v>
      </c>
      <c r="AK80" s="928"/>
      <c r="AL80" s="704"/>
      <c r="AM80" s="760">
        <f t="shared" si="109"/>
        <v>360000</v>
      </c>
      <c r="AN80" s="226">
        <f t="shared" si="196"/>
        <v>0</v>
      </c>
      <c r="AO80" s="317" t="s">
        <v>300</v>
      </c>
      <c r="AP80" s="669" t="s">
        <v>301</v>
      </c>
      <c r="AQ80" s="357" t="s">
        <v>282</v>
      </c>
      <c r="AR80" s="358">
        <v>6</v>
      </c>
      <c r="AS80" s="328">
        <v>54300</v>
      </c>
      <c r="AT80" s="675">
        <f t="shared" si="206"/>
        <v>325800</v>
      </c>
      <c r="AU80" s="956"/>
      <c r="AV80" s="704"/>
      <c r="AW80" s="760">
        <f t="shared" si="110"/>
        <v>325800</v>
      </c>
      <c r="AX80" s="226">
        <f t="shared" si="197"/>
        <v>0</v>
      </c>
      <c r="AY80" s="317" t="s">
        <v>300</v>
      </c>
      <c r="AZ80" s="310" t="s">
        <v>301</v>
      </c>
      <c r="BA80" s="357" t="s">
        <v>282</v>
      </c>
      <c r="BB80" s="358">
        <v>6</v>
      </c>
      <c r="BC80" s="723">
        <v>106500</v>
      </c>
      <c r="BD80" s="724">
        <f t="shared" si="207"/>
        <v>639000</v>
      </c>
      <c r="BE80" s="928"/>
      <c r="BF80" s="704"/>
      <c r="BG80" s="760">
        <f t="shared" si="111"/>
        <v>639000</v>
      </c>
      <c r="BH80" s="226">
        <f t="shared" si="198"/>
        <v>0</v>
      </c>
      <c r="BI80" s="317" t="s">
        <v>300</v>
      </c>
      <c r="BJ80" s="669" t="s">
        <v>301</v>
      </c>
      <c r="BK80" s="357" t="s">
        <v>282</v>
      </c>
      <c r="BL80" s="358">
        <v>6</v>
      </c>
      <c r="BM80" s="328">
        <v>50320</v>
      </c>
      <c r="BN80" s="675">
        <f t="shared" si="208"/>
        <v>301920</v>
      </c>
      <c r="BO80" s="928"/>
      <c r="BP80" s="704"/>
      <c r="BQ80" s="760">
        <f t="shared" si="112"/>
        <v>301920</v>
      </c>
      <c r="BR80" s="226">
        <f t="shared" si="199"/>
        <v>0</v>
      </c>
      <c r="BS80" s="317" t="s">
        <v>300</v>
      </c>
      <c r="BT80" s="669" t="s">
        <v>301</v>
      </c>
      <c r="BU80" s="357" t="s">
        <v>282</v>
      </c>
      <c r="BV80" s="358">
        <v>6</v>
      </c>
      <c r="BW80" s="328">
        <v>52100</v>
      </c>
      <c r="BX80" s="675">
        <f t="shared" si="209"/>
        <v>312600</v>
      </c>
      <c r="BY80" s="928"/>
      <c r="BZ80" s="704"/>
      <c r="CA80" s="760">
        <f t="shared" si="113"/>
        <v>312600</v>
      </c>
      <c r="CB80" s="226">
        <f t="shared" si="200"/>
        <v>0</v>
      </c>
      <c r="CC80" s="317" t="s">
        <v>300</v>
      </c>
      <c r="CD80" s="669" t="s">
        <v>301</v>
      </c>
      <c r="CE80" s="357" t="s">
        <v>282</v>
      </c>
      <c r="CF80" s="358">
        <v>6</v>
      </c>
      <c r="CG80" s="328">
        <v>49900</v>
      </c>
      <c r="CH80" s="675">
        <f t="shared" si="210"/>
        <v>299400</v>
      </c>
      <c r="CI80" s="928"/>
      <c r="CJ80" s="704"/>
      <c r="CK80" s="760">
        <f t="shared" si="114"/>
        <v>299400</v>
      </c>
      <c r="CL80" s="226">
        <f t="shared" si="201"/>
        <v>0</v>
      </c>
      <c r="CM80" s="317" t="s">
        <v>300</v>
      </c>
      <c r="CN80" s="310" t="s">
        <v>301</v>
      </c>
      <c r="CO80" s="357" t="s">
        <v>282</v>
      </c>
      <c r="CP80" s="358">
        <v>6</v>
      </c>
      <c r="CQ80" s="328">
        <v>47800</v>
      </c>
      <c r="CR80" s="465">
        <f t="shared" si="211"/>
        <v>286800</v>
      </c>
      <c r="CS80" s="928"/>
      <c r="CT80" s="704"/>
      <c r="CU80" s="760">
        <f t="shared" si="115"/>
        <v>286800</v>
      </c>
      <c r="CV80" s="226">
        <f t="shared" si="202"/>
        <v>0</v>
      </c>
    </row>
    <row r="81" spans="1:100" s="209" customFormat="1" ht="21" customHeight="1" thickTop="1" thickBot="1">
      <c r="A81" s="903" t="s">
        <v>302</v>
      </c>
      <c r="B81" s="904"/>
      <c r="C81" s="904"/>
      <c r="D81" s="904"/>
      <c r="E81" s="359"/>
      <c r="F81" s="451">
        <f>SUM(F12:F80)</f>
        <v>364626485</v>
      </c>
      <c r="G81" s="361">
        <f>+G68+G54+G50+G45+G41+G29+G24+G21+G12+G75</f>
        <v>1</v>
      </c>
      <c r="H81" s="705"/>
      <c r="I81" s="709">
        <f>SUM(I12:I80)</f>
        <v>364626485</v>
      </c>
      <c r="J81" s="225"/>
      <c r="K81" s="903" t="s">
        <v>302</v>
      </c>
      <c r="L81" s="904"/>
      <c r="M81" s="904"/>
      <c r="N81" s="904"/>
      <c r="O81" s="359"/>
      <c r="P81" s="360">
        <f>SUM(P12:P80)</f>
        <v>366770952</v>
      </c>
      <c r="Q81" s="361">
        <f>+Q68+Q54+Q50+Q45+Q41+Q29+Q24+Q21+Q12+Q75</f>
        <v>0.99999999999999989</v>
      </c>
      <c r="R81" s="705"/>
      <c r="S81" s="709">
        <f>SUM(S12:S80)</f>
        <v>366770952</v>
      </c>
      <c r="T81" s="225"/>
      <c r="U81" s="938" t="s">
        <v>302</v>
      </c>
      <c r="V81" s="939"/>
      <c r="W81" s="939"/>
      <c r="X81" s="940"/>
      <c r="Y81" s="541"/>
      <c r="Z81" s="542">
        <f>SUM(Z12:Z80)</f>
        <v>361844287.39999998</v>
      </c>
      <c r="AA81" s="543">
        <f>+AA68+AA54+AA50+AA45+AA41+AA29+AA24+AA21+AA12+AA75</f>
        <v>1</v>
      </c>
      <c r="AB81" s="705"/>
      <c r="AC81" s="709">
        <f>SUM(AC12:AC80)</f>
        <v>361844287</v>
      </c>
      <c r="AD81" s="225"/>
      <c r="AE81" s="936" t="s">
        <v>302</v>
      </c>
      <c r="AF81" s="937"/>
      <c r="AG81" s="937"/>
      <c r="AH81" s="937"/>
      <c r="AI81" s="648"/>
      <c r="AJ81" s="649">
        <f>SUM(AJ12:AJ80)</f>
        <v>365069934</v>
      </c>
      <c r="AK81" s="361">
        <f>+AK68+AK54+AK50+AK45+AK41+AK29+AK24+AK21+AK12+AK75</f>
        <v>0.9440292445446905</v>
      </c>
      <c r="AL81" s="705"/>
      <c r="AM81" s="709">
        <f>SUM(AM12:AM80)</f>
        <v>365069934</v>
      </c>
      <c r="AN81" s="225"/>
      <c r="AO81" s="903" t="s">
        <v>302</v>
      </c>
      <c r="AP81" s="904"/>
      <c r="AQ81" s="904"/>
      <c r="AR81" s="904"/>
      <c r="AS81" s="359"/>
      <c r="AT81" s="687">
        <f>SUM(AT12:AT80)</f>
        <v>371473205</v>
      </c>
      <c r="AU81" s="702">
        <f>+AU68+AU54+AU50+AU45+AU41+AU29+AU24+AU21+AU12+AU75</f>
        <v>1.0000000000000002</v>
      </c>
      <c r="AV81" s="705"/>
      <c r="AW81" s="709">
        <f>SUM(AW12:AW80)</f>
        <v>371473205</v>
      </c>
      <c r="AX81" s="225"/>
      <c r="AY81" s="903" t="s">
        <v>302</v>
      </c>
      <c r="AZ81" s="904"/>
      <c r="BA81" s="904"/>
      <c r="BB81" s="904"/>
      <c r="BC81" s="359"/>
      <c r="BD81" s="360">
        <f>SUM(BD12:BD80)</f>
        <v>352468033</v>
      </c>
      <c r="BE81" s="361">
        <f>+BE68+BE54+BE50+BE45+BE41+BE29+BE24+BE21+BE12+BE75</f>
        <v>1</v>
      </c>
      <c r="BF81" s="705"/>
      <c r="BG81" s="709">
        <f>SUM(BG12:BG80)</f>
        <v>352468033</v>
      </c>
      <c r="BH81" s="225"/>
      <c r="BI81" s="903" t="s">
        <v>302</v>
      </c>
      <c r="BJ81" s="904"/>
      <c r="BK81" s="904"/>
      <c r="BL81" s="904"/>
      <c r="BM81" s="359"/>
      <c r="BN81" s="687">
        <f>SUM(BN12:BN80)</f>
        <v>371283068</v>
      </c>
      <c r="BO81" s="361">
        <f>+BO68+BO54+BO50+BO45+BO41+BO29+BO24+BO21+BO12+BO75</f>
        <v>1</v>
      </c>
      <c r="BP81" s="705"/>
      <c r="BQ81" s="709">
        <f>SUM(BQ12:BQ80)</f>
        <v>371283068</v>
      </c>
      <c r="BR81" s="225"/>
      <c r="BS81" s="903" t="s">
        <v>302</v>
      </c>
      <c r="BT81" s="904"/>
      <c r="BU81" s="904"/>
      <c r="BV81" s="904"/>
      <c r="BW81" s="359"/>
      <c r="BX81" s="687">
        <f>SUM(BX12:BX80)</f>
        <v>374632499</v>
      </c>
      <c r="BY81" s="361">
        <f>+BY68+BY54+BY50+BY45+BY41+BY29+BY24+BY21+BY12+BY75</f>
        <v>1</v>
      </c>
      <c r="BZ81" s="705"/>
      <c r="CA81" s="709">
        <f>SUM(CA12:CA80)</f>
        <v>374632499</v>
      </c>
      <c r="CB81" s="225"/>
      <c r="CC81" s="903" t="s">
        <v>302</v>
      </c>
      <c r="CD81" s="904"/>
      <c r="CE81" s="904"/>
      <c r="CF81" s="904"/>
      <c r="CG81" s="359"/>
      <c r="CH81" s="687">
        <f>SUM(CH12:CH80)</f>
        <v>372633595.60000002</v>
      </c>
      <c r="CI81" s="361">
        <f>+CI68+CI54+CI50+CI45+CI41+CI29+CI24+CI21+CI12+CI75</f>
        <v>1</v>
      </c>
      <c r="CJ81" s="705"/>
      <c r="CK81" s="709">
        <f>SUM(CK12:CK80)</f>
        <v>372633596</v>
      </c>
      <c r="CL81" s="225"/>
      <c r="CM81" s="903" t="s">
        <v>302</v>
      </c>
      <c r="CN81" s="904"/>
      <c r="CO81" s="904"/>
      <c r="CP81" s="904"/>
      <c r="CQ81" s="359"/>
      <c r="CR81" s="360">
        <f>SUM(CR12:CR80)</f>
        <v>361429288</v>
      </c>
      <c r="CS81" s="361">
        <f>+CS68+CS54+CS50+CS45+CS41+CS29+CS24+CS21+CS12+CS75</f>
        <v>1</v>
      </c>
      <c r="CT81" s="705"/>
      <c r="CU81" s="709">
        <f>SUM(CU12:CU80)</f>
        <v>361429288</v>
      </c>
      <c r="CV81" s="225"/>
    </row>
    <row r="82" spans="1:100" s="209" customFormat="1" ht="21" customHeight="1">
      <c r="A82" s="948" t="s">
        <v>174</v>
      </c>
      <c r="B82" s="949"/>
      <c r="C82" s="949"/>
      <c r="D82" s="949"/>
      <c r="E82" s="452">
        <f>+'Analisis A.U.'!F24</f>
        <v>8.9599999999999999E-2</v>
      </c>
      <c r="F82" s="453">
        <f>ROUND(E82*F81,0)</f>
        <v>32670533</v>
      </c>
      <c r="G82" s="362"/>
      <c r="H82" s="706">
        <f>+ROUND(E82,4)</f>
        <v>8.9599999999999999E-2</v>
      </c>
      <c r="I82" s="707">
        <f>ROUND(H82*I81,0)</f>
        <v>32670533</v>
      </c>
      <c r="J82" s="225"/>
      <c r="K82" s="948" t="s">
        <v>174</v>
      </c>
      <c r="L82" s="949"/>
      <c r="M82" s="949"/>
      <c r="N82" s="949"/>
      <c r="O82" s="270">
        <f>+'Analisis A.U.'!Q24</f>
        <v>9.2700000000000005E-2</v>
      </c>
      <c r="P82" s="271">
        <f>O82*P81</f>
        <v>33999667.250399999</v>
      </c>
      <c r="Q82" s="362"/>
      <c r="R82" s="706">
        <f>+ROUND(O82,4)</f>
        <v>9.2700000000000005E-2</v>
      </c>
      <c r="S82" s="707">
        <f>ROUND(R82*S81,0)</f>
        <v>33999667</v>
      </c>
      <c r="T82" s="225"/>
      <c r="U82" s="979" t="s">
        <v>174</v>
      </c>
      <c r="V82" s="980"/>
      <c r="W82" s="980"/>
      <c r="X82" s="981"/>
      <c r="Y82" s="544">
        <f>+'Analisis A.U.'!AB24</f>
        <v>8.5199999999999998E-2</v>
      </c>
      <c r="Z82" s="545">
        <f>Y82*Z81</f>
        <v>30829133.286479998</v>
      </c>
      <c r="AA82" s="546"/>
      <c r="AB82" s="706">
        <f>+ROUND(Y82,4)</f>
        <v>8.5199999999999998E-2</v>
      </c>
      <c r="AC82" s="707">
        <f>ROUND(AB82*AC81,0)</f>
        <v>30829133</v>
      </c>
      <c r="AD82" s="225"/>
      <c r="AE82" s="988" t="s">
        <v>174</v>
      </c>
      <c r="AF82" s="989"/>
      <c r="AG82" s="989"/>
      <c r="AH82" s="989"/>
      <c r="AI82" s="650">
        <f>+'Analisis A.U.'!AM24</f>
        <v>8.5000000000000006E-2</v>
      </c>
      <c r="AJ82" s="651">
        <f>AI82*AJ81</f>
        <v>31030944.390000001</v>
      </c>
      <c r="AK82" s="362"/>
      <c r="AL82" s="706">
        <f>+ROUND(AI82,4)</f>
        <v>8.5000000000000006E-2</v>
      </c>
      <c r="AM82" s="707">
        <f>ROUND(AL82*AM81,0)</f>
        <v>31030944</v>
      </c>
      <c r="AN82" s="225"/>
      <c r="AO82" s="948" t="s">
        <v>174</v>
      </c>
      <c r="AP82" s="949"/>
      <c r="AQ82" s="949"/>
      <c r="AR82" s="949"/>
      <c r="AS82" s="688">
        <f>+'Analisis A.U.'!AX24</f>
        <v>7.7100960754356435E-2</v>
      </c>
      <c r="AT82" s="689">
        <f>AS82*AT81</f>
        <v>28640941.000000004</v>
      </c>
      <c r="AU82" s="362"/>
      <c r="AV82" s="706">
        <f>+ROUND(AS82,4)</f>
        <v>7.7100000000000002E-2</v>
      </c>
      <c r="AW82" s="707">
        <f>ROUND(AV82*AW81,0)</f>
        <v>28640584</v>
      </c>
      <c r="AX82" s="225"/>
      <c r="AY82" s="948" t="s">
        <v>174</v>
      </c>
      <c r="AZ82" s="949"/>
      <c r="BA82" s="949"/>
      <c r="BB82" s="949"/>
      <c r="BC82" s="270">
        <v>0.15</v>
      </c>
      <c r="BD82" s="271">
        <f>BC82*BD81</f>
        <v>52870204.949999996</v>
      </c>
      <c r="BE82" s="362"/>
      <c r="BF82" s="706">
        <f>+ROUND(BC82,4)</f>
        <v>0.15</v>
      </c>
      <c r="BG82" s="707">
        <f>ROUND(BF82*BG81,0)</f>
        <v>52870205</v>
      </c>
      <c r="BH82" s="225"/>
      <c r="BI82" s="948" t="s">
        <v>174</v>
      </c>
      <c r="BJ82" s="949"/>
      <c r="BK82" s="949"/>
      <c r="BL82" s="949"/>
      <c r="BM82" s="688">
        <f>+'Analisis A.U.'!BT24</f>
        <v>7.4829967737715414E-2</v>
      </c>
      <c r="BN82" s="689">
        <f>BM82*BN81</f>
        <v>27783099.999999996</v>
      </c>
      <c r="BO82" s="362"/>
      <c r="BP82" s="706">
        <f>+ROUND(BM82,4)</f>
        <v>7.4800000000000005E-2</v>
      </c>
      <c r="BQ82" s="707">
        <f>ROUND(BP82*BQ81,0)</f>
        <v>27771973</v>
      </c>
      <c r="BR82" s="225"/>
      <c r="BS82" s="948" t="s">
        <v>174</v>
      </c>
      <c r="BT82" s="949"/>
      <c r="BU82" s="949"/>
      <c r="BV82" s="949"/>
      <c r="BW82" s="739">
        <f>+'Analisis A.U.'!CE24</f>
        <v>7.5626039053274974E-2</v>
      </c>
      <c r="BX82" s="689">
        <f>BW82*BX81</f>
        <v>28331971.999999996</v>
      </c>
      <c r="BY82" s="362"/>
      <c r="BZ82" s="706">
        <f>+ROUND(BW82,4)</f>
        <v>7.5600000000000001E-2</v>
      </c>
      <c r="CA82" s="707">
        <f>ROUND(BZ82*CA81,0)</f>
        <v>28322217</v>
      </c>
      <c r="CB82" s="225"/>
      <c r="CC82" s="948" t="s">
        <v>174</v>
      </c>
      <c r="CD82" s="949"/>
      <c r="CE82" s="949"/>
      <c r="CF82" s="949"/>
      <c r="CG82" s="688">
        <f>+'Analisis A.U.'!CP24</f>
        <v>7.5222264795708066E-2</v>
      </c>
      <c r="CH82" s="689">
        <f>CG82*CH81</f>
        <v>28030342.999999996</v>
      </c>
      <c r="CI82" s="362"/>
      <c r="CJ82" s="706">
        <f>+ROUND(CG82,4)</f>
        <v>7.5200000000000003E-2</v>
      </c>
      <c r="CK82" s="707">
        <f>ROUND(CJ82*CK81,0)</f>
        <v>28022046</v>
      </c>
      <c r="CL82" s="225"/>
      <c r="CM82" s="948" t="s">
        <v>174</v>
      </c>
      <c r="CN82" s="949"/>
      <c r="CO82" s="949"/>
      <c r="CP82" s="949"/>
      <c r="CQ82" s="270">
        <f>+'Analisis A.U.'!DA24</f>
        <v>9.7100000000000006E-2</v>
      </c>
      <c r="CR82" s="271">
        <f>CQ82*CR81</f>
        <v>35094783.864799999</v>
      </c>
      <c r="CS82" s="362"/>
      <c r="CT82" s="706">
        <f>+ROUND(CQ82,4)</f>
        <v>9.7100000000000006E-2</v>
      </c>
      <c r="CU82" s="707">
        <f>ROUND(CT82*CU81,0)</f>
        <v>35094784</v>
      </c>
      <c r="CV82" s="225"/>
    </row>
    <row r="83" spans="1:100" s="209" customFormat="1" ht="21" customHeight="1">
      <c r="A83" s="950" t="s">
        <v>175</v>
      </c>
      <c r="B83" s="951"/>
      <c r="C83" s="951"/>
      <c r="D83" s="951"/>
      <c r="E83" s="272">
        <v>0.02</v>
      </c>
      <c r="F83" s="454">
        <f>ROUND(E83*F81,0)</f>
        <v>7292530</v>
      </c>
      <c r="G83" s="362"/>
      <c r="H83" s="706">
        <f>+ROUND(E83,4)</f>
        <v>0.02</v>
      </c>
      <c r="I83" s="707">
        <f>ROUND(H83*I81,0)</f>
        <v>7292530</v>
      </c>
      <c r="J83" s="225"/>
      <c r="K83" s="950" t="s">
        <v>175</v>
      </c>
      <c r="L83" s="951"/>
      <c r="M83" s="951"/>
      <c r="N83" s="951"/>
      <c r="O83" s="272">
        <f>+'Analisis A.U.'!Q25</f>
        <v>0.02</v>
      </c>
      <c r="P83" s="273">
        <f>O83*P81</f>
        <v>7335419.04</v>
      </c>
      <c r="Q83" s="362"/>
      <c r="R83" s="706">
        <f>+ROUND(O83,4)</f>
        <v>0.02</v>
      </c>
      <c r="S83" s="707">
        <f>ROUND(R83*S81,0)</f>
        <v>7335419</v>
      </c>
      <c r="T83" s="225"/>
      <c r="U83" s="952" t="s">
        <v>175</v>
      </c>
      <c r="V83" s="953"/>
      <c r="W83" s="953"/>
      <c r="X83" s="954"/>
      <c r="Y83" s="547">
        <v>2.4E-2</v>
      </c>
      <c r="Z83" s="548">
        <f>Y83*Z81</f>
        <v>8684262.8975999989</v>
      </c>
      <c r="AA83" s="546"/>
      <c r="AB83" s="706">
        <f>+ROUND(Y83,4)</f>
        <v>2.4E-2</v>
      </c>
      <c r="AC83" s="707">
        <f>ROUND(AB83*AC81,0)</f>
        <v>8684263</v>
      </c>
      <c r="AD83" s="225"/>
      <c r="AE83" s="990" t="s">
        <v>175</v>
      </c>
      <c r="AF83" s="991"/>
      <c r="AG83" s="991"/>
      <c r="AH83" s="991"/>
      <c r="AI83" s="652">
        <v>2.5000000000000001E-2</v>
      </c>
      <c r="AJ83" s="653">
        <f>AI83*AJ81</f>
        <v>9126748.3499999996</v>
      </c>
      <c r="AK83" s="362"/>
      <c r="AL83" s="706">
        <f>+ROUND(AI83,4)</f>
        <v>2.5000000000000001E-2</v>
      </c>
      <c r="AM83" s="707">
        <f>ROUND(AL83*AM81,0)</f>
        <v>9126748</v>
      </c>
      <c r="AN83" s="225"/>
      <c r="AO83" s="950" t="s">
        <v>175</v>
      </c>
      <c r="AP83" s="951"/>
      <c r="AQ83" s="951"/>
      <c r="AR83" s="951"/>
      <c r="AS83" s="272">
        <v>1.4999999999999999E-2</v>
      </c>
      <c r="AT83" s="690">
        <f>AS83*AT81</f>
        <v>5572098.0750000002</v>
      </c>
      <c r="AU83" s="362"/>
      <c r="AV83" s="706">
        <f>+ROUND(AS83,4)</f>
        <v>1.4999999999999999E-2</v>
      </c>
      <c r="AW83" s="707">
        <f>ROUND(AV83*AW81,0)</f>
        <v>5572098</v>
      </c>
      <c r="AX83" s="225"/>
      <c r="AY83" s="950" t="s">
        <v>175</v>
      </c>
      <c r="AZ83" s="951"/>
      <c r="BA83" s="951"/>
      <c r="BB83" s="951"/>
      <c r="BC83" s="272">
        <v>0.01</v>
      </c>
      <c r="BD83" s="273">
        <f>BC83*BD81</f>
        <v>3524680.33</v>
      </c>
      <c r="BE83" s="362"/>
      <c r="BF83" s="706">
        <f>+ROUND(BC83,4)</f>
        <v>0.01</v>
      </c>
      <c r="BG83" s="707">
        <f>ROUND(BF83*BG81,0)</f>
        <v>3524680</v>
      </c>
      <c r="BH83" s="225"/>
      <c r="BI83" s="950" t="s">
        <v>175</v>
      </c>
      <c r="BJ83" s="951"/>
      <c r="BK83" s="951"/>
      <c r="BL83" s="951"/>
      <c r="BM83" s="272">
        <v>0.02</v>
      </c>
      <c r="BN83" s="690">
        <f>BM83*BN81</f>
        <v>7425661.3600000003</v>
      </c>
      <c r="BO83" s="362"/>
      <c r="BP83" s="706">
        <f>+ROUND(BM83,4)</f>
        <v>0.02</v>
      </c>
      <c r="BQ83" s="707">
        <f>ROUND(BP83*BQ81,0)</f>
        <v>7425661</v>
      </c>
      <c r="BR83" s="225"/>
      <c r="BS83" s="950" t="s">
        <v>175</v>
      </c>
      <c r="BT83" s="951"/>
      <c r="BU83" s="951"/>
      <c r="BV83" s="951"/>
      <c r="BW83" s="272">
        <v>0.02</v>
      </c>
      <c r="BX83" s="690">
        <f>BW83*BX81</f>
        <v>7492649.9800000004</v>
      </c>
      <c r="BY83" s="362"/>
      <c r="BZ83" s="706">
        <f>+ROUND(BW83,4)</f>
        <v>0.02</v>
      </c>
      <c r="CA83" s="707">
        <f>ROUND(BZ83*CA81,0)</f>
        <v>7492650</v>
      </c>
      <c r="CB83" s="225"/>
      <c r="CC83" s="950" t="s">
        <v>175</v>
      </c>
      <c r="CD83" s="951"/>
      <c r="CE83" s="951"/>
      <c r="CF83" s="951"/>
      <c r="CG83" s="272">
        <v>1.7999999999999999E-2</v>
      </c>
      <c r="CH83" s="690">
        <f>CG83*CH81</f>
        <v>6707404.7208000002</v>
      </c>
      <c r="CI83" s="362"/>
      <c r="CJ83" s="706">
        <f>+ROUND(CG83,4)</f>
        <v>1.7999999999999999E-2</v>
      </c>
      <c r="CK83" s="707">
        <f>ROUND(CJ83*CK81,0)</f>
        <v>6707405</v>
      </c>
      <c r="CL83" s="225"/>
      <c r="CM83" s="950" t="s">
        <v>175</v>
      </c>
      <c r="CN83" s="951"/>
      <c r="CO83" s="951"/>
      <c r="CP83" s="951"/>
      <c r="CQ83" s="272">
        <v>0.04</v>
      </c>
      <c r="CR83" s="273">
        <f>CQ83*CR81</f>
        <v>14457171.52</v>
      </c>
      <c r="CS83" s="362"/>
      <c r="CT83" s="706">
        <f>+ROUND(CQ83,4)</f>
        <v>0.04</v>
      </c>
      <c r="CU83" s="707">
        <f>ROUND(CT83*CU81,0)</f>
        <v>14457172</v>
      </c>
      <c r="CV83" s="225"/>
    </row>
    <row r="84" spans="1:100" s="209" customFormat="1" ht="21" customHeight="1" thickBot="1">
      <c r="A84" s="958" t="s">
        <v>176</v>
      </c>
      <c r="B84" s="959"/>
      <c r="C84" s="959"/>
      <c r="D84" s="959"/>
      <c r="E84" s="274">
        <v>0.19</v>
      </c>
      <c r="F84" s="455">
        <f>ROUND(E84*F83,0)</f>
        <v>1385581</v>
      </c>
      <c r="G84" s="363"/>
      <c r="H84" s="706">
        <f>+ROUND(E84,4)</f>
        <v>0.19</v>
      </c>
      <c r="I84" s="707">
        <f>ROUND(H84*I83,0)</f>
        <v>1385581</v>
      </c>
      <c r="J84" s="225"/>
      <c r="K84" s="958" t="s">
        <v>176</v>
      </c>
      <c r="L84" s="959"/>
      <c r="M84" s="959"/>
      <c r="N84" s="959"/>
      <c r="O84" s="274">
        <v>0.19</v>
      </c>
      <c r="P84" s="275">
        <f>O84*P83</f>
        <v>1393729.6176</v>
      </c>
      <c r="Q84" s="363"/>
      <c r="R84" s="706">
        <f>+ROUND(O84,4)</f>
        <v>0.19</v>
      </c>
      <c r="S84" s="707">
        <f>ROUND(R84*S83,0)</f>
        <v>1393730</v>
      </c>
      <c r="T84" s="225"/>
      <c r="U84" s="982" t="s">
        <v>176</v>
      </c>
      <c r="V84" s="983"/>
      <c r="W84" s="983"/>
      <c r="X84" s="984"/>
      <c r="Y84" s="549">
        <v>0.19</v>
      </c>
      <c r="Z84" s="550">
        <f>Y84*Z83</f>
        <v>1650009.9505439999</v>
      </c>
      <c r="AA84" s="551"/>
      <c r="AB84" s="706">
        <f>+ROUND(Y84,4)</f>
        <v>0.19</v>
      </c>
      <c r="AC84" s="707">
        <f>ROUND(AB84*AC83,0)</f>
        <v>1650010</v>
      </c>
      <c r="AD84" s="225"/>
      <c r="AE84" s="992" t="s">
        <v>176</v>
      </c>
      <c r="AF84" s="993"/>
      <c r="AG84" s="993"/>
      <c r="AH84" s="993"/>
      <c r="AI84" s="654">
        <v>0.19</v>
      </c>
      <c r="AJ84" s="655">
        <f>AI84*AJ83</f>
        <v>1734082.1864999998</v>
      </c>
      <c r="AK84" s="363"/>
      <c r="AL84" s="706">
        <f>+ROUND(AI84,4)</f>
        <v>0.19</v>
      </c>
      <c r="AM84" s="707">
        <f>ROUND(AL84*AM83,0)</f>
        <v>1734082</v>
      </c>
      <c r="AN84" s="225"/>
      <c r="AO84" s="958" t="s">
        <v>176</v>
      </c>
      <c r="AP84" s="959"/>
      <c r="AQ84" s="959"/>
      <c r="AR84" s="959"/>
      <c r="AS84" s="274">
        <v>0.19</v>
      </c>
      <c r="AT84" s="691">
        <f>AS84*AT83</f>
        <v>1058698.6342500001</v>
      </c>
      <c r="AU84" s="363"/>
      <c r="AV84" s="706">
        <f>+ROUND(AS84,4)</f>
        <v>0.19</v>
      </c>
      <c r="AW84" s="707">
        <f>ROUND(AV84*AW83,0)</f>
        <v>1058699</v>
      </c>
      <c r="AX84" s="225"/>
      <c r="AY84" s="958" t="s">
        <v>176</v>
      </c>
      <c r="AZ84" s="959"/>
      <c r="BA84" s="959"/>
      <c r="BB84" s="959"/>
      <c r="BC84" s="274">
        <v>0.19</v>
      </c>
      <c r="BD84" s="275">
        <f>BC84*BD83</f>
        <v>669689.26270000008</v>
      </c>
      <c r="BE84" s="363"/>
      <c r="BF84" s="706">
        <f>+ROUND(BC84,4)</f>
        <v>0.19</v>
      </c>
      <c r="BG84" s="707">
        <f>ROUND(BF84*BG83,0)</f>
        <v>669689</v>
      </c>
      <c r="BH84" s="225"/>
      <c r="BI84" s="958" t="s">
        <v>176</v>
      </c>
      <c r="BJ84" s="959"/>
      <c r="BK84" s="959"/>
      <c r="BL84" s="959"/>
      <c r="BM84" s="274">
        <v>0.19</v>
      </c>
      <c r="BN84" s="691">
        <f>BM84*BN83</f>
        <v>1410875.6584000001</v>
      </c>
      <c r="BO84" s="363"/>
      <c r="BP84" s="706">
        <f>+ROUND(BM84,4)</f>
        <v>0.19</v>
      </c>
      <c r="BQ84" s="707">
        <f>ROUND(BP84*BQ83,0)</f>
        <v>1410876</v>
      </c>
      <c r="BR84" s="225"/>
      <c r="BS84" s="958" t="s">
        <v>176</v>
      </c>
      <c r="BT84" s="959"/>
      <c r="BU84" s="959"/>
      <c r="BV84" s="959"/>
      <c r="BW84" s="274">
        <v>0.19</v>
      </c>
      <c r="BX84" s="691">
        <f>BW84*BX83</f>
        <v>1423603.4962000002</v>
      </c>
      <c r="BY84" s="363"/>
      <c r="BZ84" s="706">
        <f>+ROUND(BW84,4)</f>
        <v>0.19</v>
      </c>
      <c r="CA84" s="707">
        <f>ROUND(BZ84*CA83,0)</f>
        <v>1423604</v>
      </c>
      <c r="CB84" s="225"/>
      <c r="CC84" s="958" t="s">
        <v>176</v>
      </c>
      <c r="CD84" s="959"/>
      <c r="CE84" s="959"/>
      <c r="CF84" s="959"/>
      <c r="CG84" s="274">
        <v>0.19</v>
      </c>
      <c r="CH84" s="691">
        <f>CG84*CH83</f>
        <v>1274406.896952</v>
      </c>
      <c r="CI84" s="363"/>
      <c r="CJ84" s="706">
        <f>+ROUND(CG84,4)</f>
        <v>0.19</v>
      </c>
      <c r="CK84" s="707">
        <f>ROUND(CJ84*CK83,0)</f>
        <v>1274407</v>
      </c>
      <c r="CL84" s="225"/>
      <c r="CM84" s="958" t="s">
        <v>176</v>
      </c>
      <c r="CN84" s="959"/>
      <c r="CO84" s="959"/>
      <c r="CP84" s="959"/>
      <c r="CQ84" s="274">
        <v>0.19</v>
      </c>
      <c r="CR84" s="275">
        <f>CQ84*CR83</f>
        <v>2746862.5888</v>
      </c>
      <c r="CS84" s="363"/>
      <c r="CT84" s="706">
        <f>+ROUND(CQ84,4)</f>
        <v>0.19</v>
      </c>
      <c r="CU84" s="707">
        <f>ROUND(CT84*CU83,0)</f>
        <v>2746863</v>
      </c>
      <c r="CV84" s="225"/>
    </row>
    <row r="85" spans="1:100" s="209" customFormat="1" ht="21" customHeight="1" thickBot="1">
      <c r="A85" s="960" t="s">
        <v>177</v>
      </c>
      <c r="B85" s="961"/>
      <c r="C85" s="961"/>
      <c r="D85" s="961"/>
      <c r="E85" s="276"/>
      <c r="F85" s="277">
        <f>SUM(F81:F84)</f>
        <v>405975129</v>
      </c>
      <c r="G85" s="364"/>
      <c r="H85" s="708"/>
      <c r="I85" s="709">
        <f>SUM(I81:I84)</f>
        <v>405975129</v>
      </c>
      <c r="J85" s="225"/>
      <c r="K85" s="960" t="s">
        <v>177</v>
      </c>
      <c r="L85" s="961"/>
      <c r="M85" s="961"/>
      <c r="N85" s="961"/>
      <c r="O85" s="276"/>
      <c r="P85" s="277">
        <f>SUM(P81:P84)</f>
        <v>409499767.90800005</v>
      </c>
      <c r="Q85" s="364"/>
      <c r="R85" s="708"/>
      <c r="S85" s="709">
        <f>SUM(S81:S84)</f>
        <v>409499768</v>
      </c>
      <c r="T85" s="225"/>
      <c r="U85" s="985" t="s">
        <v>177</v>
      </c>
      <c r="V85" s="986"/>
      <c r="W85" s="986"/>
      <c r="X85" s="987"/>
      <c r="Y85" s="552"/>
      <c r="Z85" s="553">
        <f>SUM(Z81:Z84)</f>
        <v>403007693.53462398</v>
      </c>
      <c r="AA85" s="554"/>
      <c r="AB85" s="708"/>
      <c r="AC85" s="709">
        <f>SUM(AC81:AC84)</f>
        <v>403007693</v>
      </c>
      <c r="AD85" s="225"/>
      <c r="AE85" s="994" t="s">
        <v>177</v>
      </c>
      <c r="AF85" s="995"/>
      <c r="AG85" s="995"/>
      <c r="AH85" s="995"/>
      <c r="AI85" s="656"/>
      <c r="AJ85" s="657">
        <f>SUM(AJ81:AJ84)</f>
        <v>406961708.92650002</v>
      </c>
      <c r="AK85" s="364"/>
      <c r="AL85" s="708"/>
      <c r="AM85" s="709">
        <f>SUM(AM81:AM84)</f>
        <v>406961708</v>
      </c>
      <c r="AN85" s="225"/>
      <c r="AO85" s="960" t="s">
        <v>177</v>
      </c>
      <c r="AP85" s="961"/>
      <c r="AQ85" s="961"/>
      <c r="AR85" s="961"/>
      <c r="AS85" s="276"/>
      <c r="AT85" s="692">
        <f>SUM(AT81:AT84)</f>
        <v>406744942.70924997</v>
      </c>
      <c r="AU85" s="693"/>
      <c r="AV85" s="708"/>
      <c r="AW85" s="709">
        <f>SUM(AW81:AW84)</f>
        <v>406744586</v>
      </c>
      <c r="AX85" s="225"/>
      <c r="AY85" s="960" t="s">
        <v>177</v>
      </c>
      <c r="AZ85" s="961"/>
      <c r="BA85" s="961"/>
      <c r="BB85" s="961"/>
      <c r="BC85" s="276"/>
      <c r="BD85" s="732">
        <f>SUM(BD81:BD84)</f>
        <v>409532607.54269999</v>
      </c>
      <c r="BE85" s="733"/>
      <c r="BF85" s="708"/>
      <c r="BG85" s="709">
        <f>SUM(BG81:BG84)</f>
        <v>409532607</v>
      </c>
      <c r="BH85" s="225"/>
      <c r="BI85" s="960" t="s">
        <v>177</v>
      </c>
      <c r="BJ85" s="961"/>
      <c r="BK85" s="961"/>
      <c r="BL85" s="961"/>
      <c r="BM85" s="276"/>
      <c r="BN85" s="692">
        <f>SUM(BN81:BN84)</f>
        <v>407902705.01840001</v>
      </c>
      <c r="BO85" s="693"/>
      <c r="BP85" s="708"/>
      <c r="BQ85" s="709">
        <f>SUM(BQ81:BQ84)</f>
        <v>407891578</v>
      </c>
      <c r="BR85" s="225"/>
      <c r="BS85" s="960" t="s">
        <v>177</v>
      </c>
      <c r="BT85" s="961"/>
      <c r="BU85" s="961"/>
      <c r="BV85" s="961"/>
      <c r="BW85" s="276"/>
      <c r="BX85" s="692">
        <f>SUM(BX81:BX84)</f>
        <v>411880724.47620004</v>
      </c>
      <c r="BY85" s="693"/>
      <c r="BZ85" s="708"/>
      <c r="CA85" s="709">
        <f>SUM(CA81:CA84)</f>
        <v>411870970</v>
      </c>
      <c r="CB85" s="225"/>
      <c r="CC85" s="960" t="s">
        <v>177</v>
      </c>
      <c r="CD85" s="961"/>
      <c r="CE85" s="961"/>
      <c r="CF85" s="961"/>
      <c r="CG85" s="276"/>
      <c r="CH85" s="692">
        <f>SUM(CH81:CH84)</f>
        <v>408645750.21775198</v>
      </c>
      <c r="CI85" s="693"/>
      <c r="CJ85" s="708"/>
      <c r="CK85" s="709">
        <f>SUM(CK81:CK84)</f>
        <v>408637454</v>
      </c>
      <c r="CL85" s="225"/>
      <c r="CM85" s="960" t="s">
        <v>177</v>
      </c>
      <c r="CN85" s="961"/>
      <c r="CO85" s="961"/>
      <c r="CP85" s="961"/>
      <c r="CQ85" s="276"/>
      <c r="CR85" s="277">
        <f>SUM(CR81:CR84)</f>
        <v>413728105.97359997</v>
      </c>
      <c r="CS85" s="364"/>
      <c r="CT85" s="708"/>
      <c r="CU85" s="709">
        <f>SUM(CU81:CU84)</f>
        <v>413728107</v>
      </c>
      <c r="CV85" s="225"/>
    </row>
    <row r="86" spans="1:100" s="209" customFormat="1" ht="24" thickTop="1">
      <c r="A86" s="210"/>
      <c r="J86" s="225"/>
      <c r="K86" s="210"/>
      <c r="T86" s="225"/>
      <c r="U86" s="210"/>
      <c r="AD86" s="225"/>
      <c r="AE86" s="210"/>
      <c r="AN86" s="225"/>
      <c r="AO86" s="210"/>
      <c r="AX86" s="225"/>
      <c r="AY86" s="210"/>
      <c r="BH86" s="225"/>
      <c r="BI86" s="210"/>
      <c r="BR86" s="225"/>
      <c r="BS86" s="210"/>
      <c r="CB86" s="225"/>
      <c r="CC86" s="210"/>
      <c r="CL86" s="225"/>
      <c r="CM86" s="210"/>
      <c r="CV86" s="225"/>
    </row>
    <row r="87" spans="1:100" ht="22.5" hidden="1" customHeight="1">
      <c r="E87" s="212" t="s">
        <v>94</v>
      </c>
      <c r="F87" s="213" t="str">
        <f>+IF(SUM(J12:J80)=0,"OK","NO HABILITADO")</f>
        <v>OK</v>
      </c>
      <c r="G87" s="757"/>
      <c r="H87" s="213"/>
      <c r="I87" s="756"/>
      <c r="O87" s="212" t="s">
        <v>94</v>
      </c>
      <c r="P87" s="213" t="str">
        <f>+IF(SUM(T12:T80)=0,"OK","NO HABILITADO")</f>
        <v>OK</v>
      </c>
      <c r="Q87" s="757"/>
      <c r="R87" s="213"/>
      <c r="S87" s="756"/>
      <c r="Y87" s="212" t="s">
        <v>94</v>
      </c>
      <c r="Z87" s="213" t="str">
        <f>+IF(SUM(AD12:AD80)=0,"OK","NO HABILITADO")</f>
        <v>OK</v>
      </c>
      <c r="AA87" s="757"/>
      <c r="AB87" s="213"/>
      <c r="AC87" s="756"/>
      <c r="AI87" s="212" t="s">
        <v>94</v>
      </c>
      <c r="AJ87" s="213" t="str">
        <f>+IF(SUM(AN12:AN80)=0,"OK","NO HABILITADO")</f>
        <v>OK</v>
      </c>
      <c r="AK87" s="757"/>
      <c r="AL87" s="213"/>
      <c r="AM87" s="756"/>
      <c r="AS87" s="212" t="s">
        <v>94</v>
      </c>
      <c r="AT87" s="213" t="str">
        <f>+IF(SUM(AX12:AX80)=0,"OK","NO HABILITADO")</f>
        <v>OK</v>
      </c>
      <c r="AU87" s="757"/>
      <c r="AV87" s="213"/>
      <c r="AW87" s="756"/>
      <c r="BC87" s="212" t="s">
        <v>94</v>
      </c>
      <c r="BD87" s="213" t="str">
        <f>+IF(SUM(BH12:BH80)=0,"OK","NO HABILITADO")</f>
        <v>OK</v>
      </c>
      <c r="BE87" s="757"/>
      <c r="BF87" s="213"/>
      <c r="BG87" s="756"/>
      <c r="BM87" s="212" t="s">
        <v>94</v>
      </c>
      <c r="BN87" s="213" t="str">
        <f>+IF(SUM(BR12:BR80)=0,"OK","NO HABILITADO")</f>
        <v>OK</v>
      </c>
      <c r="BO87" s="757"/>
      <c r="BP87" s="213"/>
      <c r="BQ87" s="756"/>
      <c r="BW87" s="212" t="s">
        <v>94</v>
      </c>
      <c r="BX87" s="213" t="str">
        <f>+IF(SUM(CB12:CB80)=0,"OK","NO HABILITADO")</f>
        <v>OK</v>
      </c>
      <c r="BY87" s="757"/>
      <c r="BZ87" s="213"/>
      <c r="CA87" s="756"/>
      <c r="CG87" s="212" t="s">
        <v>94</v>
      </c>
      <c r="CH87" s="213" t="str">
        <f>+IF(SUM(CL12:CL80)=0,"OK","NO HABILITADO")</f>
        <v>OK</v>
      </c>
      <c r="CI87" s="757"/>
      <c r="CJ87" s="213"/>
      <c r="CK87" s="756"/>
      <c r="CQ87" s="212" t="s">
        <v>94</v>
      </c>
      <c r="CR87" s="213" t="str">
        <f>+IF(SUM(CV12:CV80)=0,"OK","NO HABILITADO")</f>
        <v>OK</v>
      </c>
      <c r="CS87" s="757"/>
      <c r="CT87" s="213"/>
      <c r="CU87" s="756"/>
    </row>
    <row r="88" spans="1:100" s="217" customFormat="1" ht="22.5" hidden="1" customHeight="1">
      <c r="A88" s="214"/>
      <c r="B88" s="215"/>
      <c r="C88" s="216"/>
      <c r="D88" s="216"/>
      <c r="E88" s="212" t="s">
        <v>303</v>
      </c>
      <c r="F88" s="736" t="str">
        <f>+IF(I81&gt;'10. EVALUACIÓN'!$C$8,"NO HABILITADO","OK")</f>
        <v>OK</v>
      </c>
      <c r="G88" s="757"/>
      <c r="H88" s="213"/>
      <c r="I88" s="756"/>
      <c r="J88" s="225"/>
      <c r="K88" s="214"/>
      <c r="L88" s="215"/>
      <c r="M88" s="216"/>
      <c r="N88" s="216"/>
      <c r="O88" s="212" t="s">
        <v>303</v>
      </c>
      <c r="P88" s="736" t="str">
        <f>+IF(P81&gt;'10. EVALUACIÓN'!$C$8,"NO HABILITADO","OK")</f>
        <v>OK</v>
      </c>
      <c r="Q88" s="757"/>
      <c r="R88" s="213"/>
      <c r="S88" s="756"/>
      <c r="T88" s="225"/>
      <c r="U88" s="214"/>
      <c r="V88" s="215"/>
      <c r="W88" s="216"/>
      <c r="X88" s="216"/>
      <c r="Y88" s="212" t="s">
        <v>303</v>
      </c>
      <c r="Z88" s="213" t="str">
        <f>+IF(Z81&gt;'10. EVALUACIÓN'!$C$8,"NO HABILITADO","OK")</f>
        <v>OK</v>
      </c>
      <c r="AA88" s="757"/>
      <c r="AB88" s="213"/>
      <c r="AC88" s="756"/>
      <c r="AD88" s="225"/>
      <c r="AE88" s="214"/>
      <c r="AF88" s="215"/>
      <c r="AG88" s="216"/>
      <c r="AH88" s="216"/>
      <c r="AI88" s="212" t="s">
        <v>303</v>
      </c>
      <c r="AJ88" s="213" t="str">
        <f>+IF(AJ81&gt;'10. EVALUACIÓN'!$C$8,"NO HABILITADO","OK")</f>
        <v>OK</v>
      </c>
      <c r="AK88" s="757"/>
      <c r="AL88" s="213"/>
      <c r="AM88" s="756"/>
      <c r="AN88" s="225"/>
      <c r="AO88" s="214"/>
      <c r="AP88" s="215"/>
      <c r="AQ88" s="216"/>
      <c r="AR88" s="216"/>
      <c r="AS88" s="212" t="s">
        <v>303</v>
      </c>
      <c r="AT88" s="736" t="str">
        <f>+IF(AT81&gt;'10. EVALUACIÓN'!$C$8,"NO HABILITADO","OK")</f>
        <v>OK</v>
      </c>
      <c r="AU88" s="757"/>
      <c r="AV88" s="213"/>
      <c r="AW88" s="756"/>
      <c r="AX88" s="225"/>
      <c r="AY88" s="214"/>
      <c r="AZ88" s="215"/>
      <c r="BA88" s="216"/>
      <c r="BB88" s="216"/>
      <c r="BC88" s="212" t="s">
        <v>303</v>
      </c>
      <c r="BD88" s="213" t="str">
        <f>+IF(BD81&gt;'10. EVALUACIÓN'!$C$8,"NO HABILITADO","OK")</f>
        <v>OK</v>
      </c>
      <c r="BE88" s="757"/>
      <c r="BF88" s="213"/>
      <c r="BG88" s="756"/>
      <c r="BH88" s="225"/>
      <c r="BI88" s="214"/>
      <c r="BJ88" s="215"/>
      <c r="BK88" s="216"/>
      <c r="BL88" s="216"/>
      <c r="BM88" s="212" t="s">
        <v>303</v>
      </c>
      <c r="BN88" s="213" t="str">
        <f>+IF(BN81&gt;'10. EVALUACIÓN'!$C$8,"NO HABILITADO","OK")</f>
        <v>OK</v>
      </c>
      <c r="BO88" s="757"/>
      <c r="BP88" s="213"/>
      <c r="BQ88" s="756"/>
      <c r="BR88" s="225"/>
      <c r="BS88" s="214"/>
      <c r="BT88" s="215"/>
      <c r="BU88" s="216"/>
      <c r="BV88" s="216"/>
      <c r="BW88" s="212" t="s">
        <v>303</v>
      </c>
      <c r="BX88" s="213" t="str">
        <f>+IF(BX81&gt;'10. EVALUACIÓN'!$C$8,"NO HABILITADO","OK")</f>
        <v>OK</v>
      </c>
      <c r="BY88" s="757"/>
      <c r="BZ88" s="213"/>
      <c r="CA88" s="756"/>
      <c r="CB88" s="225"/>
      <c r="CC88" s="214"/>
      <c r="CD88" s="215"/>
      <c r="CE88" s="216"/>
      <c r="CF88" s="216"/>
      <c r="CG88" s="212" t="s">
        <v>303</v>
      </c>
      <c r="CH88" s="213" t="str">
        <f>+IF(CH81&gt;'10. EVALUACIÓN'!$C$8,"NO HABILITADO","OK")</f>
        <v>OK</v>
      </c>
      <c r="CI88" s="757"/>
      <c r="CJ88" s="213"/>
      <c r="CK88" s="756"/>
      <c r="CL88" s="225"/>
      <c r="CM88" s="214"/>
      <c r="CN88" s="215"/>
      <c r="CO88" s="216"/>
      <c r="CP88" s="216"/>
      <c r="CQ88" s="212" t="s">
        <v>303</v>
      </c>
      <c r="CR88" s="213" t="str">
        <f>+IF(CR81&gt;'10. EVALUACIÓN'!$C$8,"NO HABILITADO","OK")</f>
        <v>OK</v>
      </c>
      <c r="CS88" s="757"/>
      <c r="CT88" s="213"/>
      <c r="CU88" s="756"/>
      <c r="CV88" s="225"/>
    </row>
    <row r="89" spans="1:100" hidden="1">
      <c r="E89" s="212" t="s">
        <v>526</v>
      </c>
      <c r="F89" s="736" t="str">
        <f>+IF(OR(I85*0.995&gt;F85,I85*1.005&lt;F85),"NO HABILITADO","OK")</f>
        <v>OK</v>
      </c>
      <c r="G89" s="757"/>
      <c r="I89" s="756"/>
      <c r="O89" s="212" t="s">
        <v>526</v>
      </c>
      <c r="P89" s="736" t="str">
        <f>+IF(OR(S85*0.995&gt;P85,S85*1.005&lt;P85),"NO HABILITADO","OK")</f>
        <v>OK</v>
      </c>
      <c r="Q89" s="757"/>
      <c r="S89" s="756"/>
      <c r="Y89" s="212" t="s">
        <v>526</v>
      </c>
      <c r="Z89" s="736" t="str">
        <f>+IF(OR(AC85*0.995&gt;Z85,AC85*1.005&lt;Z85),"NO HABILITADO","OK")</f>
        <v>OK</v>
      </c>
      <c r="AA89" s="757"/>
      <c r="AC89" s="756"/>
      <c r="AI89" s="212" t="s">
        <v>526</v>
      </c>
      <c r="AJ89" s="736" t="str">
        <f>+IF(OR(AM85*0.995&gt;AJ85,AM85*1.005&lt;AJ85),"NO HABILITADO","OK")</f>
        <v>OK</v>
      </c>
      <c r="AK89" s="757"/>
      <c r="AM89" s="756"/>
      <c r="AS89" s="212" t="s">
        <v>526</v>
      </c>
      <c r="AT89" s="736" t="str">
        <f>+IF(OR(AW85*0.995&gt;AT85,AW85*1.005&lt;AT85),"NO HABILITADO","OK")</f>
        <v>OK</v>
      </c>
      <c r="AU89" s="757"/>
      <c r="AW89" s="756"/>
      <c r="BC89" s="212" t="s">
        <v>526</v>
      </c>
      <c r="BD89" s="736" t="str">
        <f>+IF(OR(BG85*0.995&gt;BD85,BG85*1.005&lt;BD85),"NO HABILITADO","OK")</f>
        <v>OK</v>
      </c>
      <c r="BE89" s="757"/>
      <c r="BG89" s="756"/>
      <c r="BM89" s="212" t="s">
        <v>526</v>
      </c>
      <c r="BN89" s="736" t="str">
        <f>+IF(OR(BQ85*0.995&gt;BN85,BQ85*1.005&lt;BN85),"NO HABILITADO","OK")</f>
        <v>OK</v>
      </c>
      <c r="BO89" s="757"/>
      <c r="BQ89" s="756"/>
      <c r="BW89" s="212" t="s">
        <v>526</v>
      </c>
      <c r="BX89" s="736" t="str">
        <f>+IF(OR(CA85*0.995&gt;BX85,CA85*1.005&lt;BX85),"NO HABILITADO","OK")</f>
        <v>OK</v>
      </c>
      <c r="BY89" s="757"/>
      <c r="CA89" s="756"/>
      <c r="CG89" s="212" t="s">
        <v>526</v>
      </c>
      <c r="CH89" s="736" t="str">
        <f>+IF(OR(CK85*0.995&gt;CH85,CK85*1.005&lt;CH85),"NO HABILITADO","OK")</f>
        <v>OK</v>
      </c>
      <c r="CI89" s="757"/>
      <c r="CK89" s="756"/>
      <c r="CQ89" s="212" t="s">
        <v>526</v>
      </c>
      <c r="CR89" s="736" t="str">
        <f>+IF(OR(CU85*0.995&gt;CR85,CU85*1.005&lt;CR85),"NO HABILITADO","OK")</f>
        <v>OK</v>
      </c>
      <c r="CS89" s="757"/>
      <c r="CU89" s="756"/>
    </row>
    <row r="90" spans="1:100" hidden="1">
      <c r="E90" s="212" t="s">
        <v>100</v>
      </c>
      <c r="F90" s="736" t="str">
        <f>+IF(I85&gt;'10. EVALUACIÓN'!$O$6,"NO HABILITADO","OK")</f>
        <v>OK</v>
      </c>
      <c r="G90" s="757"/>
      <c r="I90" s="756"/>
      <c r="O90" s="212" t="s">
        <v>100</v>
      </c>
      <c r="P90" s="736" t="str">
        <f>+IF(S85&gt;'10. EVALUACIÓN'!$O$6,"NO HABILITADO","OK")</f>
        <v>OK</v>
      </c>
      <c r="Q90" s="757"/>
      <c r="S90" s="756"/>
      <c r="Y90" s="212" t="s">
        <v>100</v>
      </c>
      <c r="Z90" s="736" t="str">
        <f>+IF(AC85&gt;'10. EVALUACIÓN'!$O$6,"NO HABILITADO","OK")</f>
        <v>OK</v>
      </c>
      <c r="AA90" s="757"/>
      <c r="AC90" s="756"/>
      <c r="AI90" s="212" t="s">
        <v>100</v>
      </c>
      <c r="AJ90" s="736" t="str">
        <f>+IF(AM85&gt;'10. EVALUACIÓN'!$O$6,"NO HABILITADO","OK")</f>
        <v>OK</v>
      </c>
      <c r="AK90" s="757"/>
      <c r="AM90" s="756"/>
      <c r="AS90" s="212" t="s">
        <v>100</v>
      </c>
      <c r="AT90" s="736" t="str">
        <f>+IF(AW85&gt;'10. EVALUACIÓN'!$O$6,"NO HABILITADO","OK")</f>
        <v>OK</v>
      </c>
      <c r="AU90" s="757"/>
      <c r="AW90" s="756"/>
      <c r="BC90" s="212" t="s">
        <v>100</v>
      </c>
      <c r="BD90" s="736" t="str">
        <f>+IF(BG85&gt;'10. EVALUACIÓN'!$O$6,"NO HABILITADO","OK")</f>
        <v>OK</v>
      </c>
      <c r="BE90" s="757"/>
      <c r="BG90" s="756"/>
      <c r="BM90" s="212" t="s">
        <v>100</v>
      </c>
      <c r="BN90" s="736" t="str">
        <f>+IF(BQ85&gt;'10. EVALUACIÓN'!$O$6,"NO HABILITADO","OK")</f>
        <v>OK</v>
      </c>
      <c r="BO90" s="757"/>
      <c r="BQ90" s="756"/>
      <c r="BW90" s="212" t="s">
        <v>100</v>
      </c>
      <c r="BX90" s="736" t="str">
        <f>+IF(CA85&gt;'10. EVALUACIÓN'!$O$6,"NO HABILITADO","OK")</f>
        <v>OK</v>
      </c>
      <c r="BY90" s="757"/>
      <c r="CA90" s="756"/>
      <c r="CG90" s="212" t="s">
        <v>100</v>
      </c>
      <c r="CH90" s="736" t="str">
        <f>+IF(CK85&gt;'10. EVALUACIÓN'!$O$6,"NO HABILITADO","OK")</f>
        <v>OK</v>
      </c>
      <c r="CI90" s="757"/>
      <c r="CK90" s="756"/>
      <c r="CQ90" s="212" t="s">
        <v>100</v>
      </c>
      <c r="CR90" s="736" t="str">
        <f>+IF(CU85&gt;'10. EVALUACIÓN'!$O$6,"NO HABILITADO","OK")</f>
        <v>OK</v>
      </c>
      <c r="CS90" s="757"/>
      <c r="CU90" s="756"/>
    </row>
    <row r="91" spans="1:100" hidden="1"/>
    <row r="92" spans="1:100">
      <c r="I92" s="759"/>
    </row>
    <row r="95" spans="1:100">
      <c r="B95" s="217"/>
      <c r="C95" s="217"/>
      <c r="D95" s="217"/>
      <c r="E95" s="217"/>
      <c r="F95" s="217"/>
      <c r="G95" s="217"/>
      <c r="H95" s="217"/>
      <c r="I95" s="217"/>
      <c r="L95" s="217"/>
      <c r="M95" s="217"/>
      <c r="N95" s="217"/>
      <c r="O95" s="217"/>
      <c r="P95" s="217"/>
      <c r="Q95" s="217"/>
      <c r="R95" s="217"/>
      <c r="S95" s="217"/>
      <c r="V95" s="217"/>
      <c r="W95" s="217"/>
      <c r="X95" s="217"/>
      <c r="Y95" s="217"/>
      <c r="Z95" s="217"/>
      <c r="AA95" s="217"/>
      <c r="AB95" s="217"/>
      <c r="AC95" s="217"/>
      <c r="AF95" s="217"/>
      <c r="AG95" s="217"/>
      <c r="AH95" s="217"/>
      <c r="AI95" s="217"/>
      <c r="AJ95" s="217"/>
      <c r="AK95" s="217"/>
      <c r="AL95" s="217"/>
      <c r="AM95" s="217"/>
      <c r="AP95" s="217"/>
      <c r="AQ95" s="217"/>
      <c r="AR95" s="217"/>
      <c r="AS95" s="217"/>
      <c r="AT95" s="217"/>
      <c r="AU95" s="217"/>
      <c r="AV95" s="217"/>
      <c r="AW95" s="217"/>
      <c r="AZ95" s="217"/>
      <c r="BA95" s="217"/>
      <c r="BB95" s="217"/>
      <c r="BC95" s="217"/>
      <c r="BD95" s="217"/>
      <c r="BE95" s="217"/>
      <c r="BF95" s="217"/>
      <c r="BG95" s="217"/>
      <c r="BJ95" s="217"/>
      <c r="BK95" s="217"/>
      <c r="BL95" s="217"/>
      <c r="BM95" s="217"/>
      <c r="BN95" s="217"/>
      <c r="BO95" s="217"/>
      <c r="BP95" s="217"/>
      <c r="BQ95" s="217"/>
      <c r="BT95" s="217"/>
      <c r="BU95" s="217"/>
      <c r="BV95" s="217"/>
      <c r="BW95" s="217"/>
      <c r="BX95" s="217"/>
      <c r="BY95" s="217"/>
      <c r="BZ95" s="217"/>
      <c r="CA95" s="217"/>
      <c r="CD95" s="217"/>
      <c r="CE95" s="217"/>
      <c r="CF95" s="217"/>
      <c r="CG95" s="217"/>
      <c r="CH95" s="217"/>
      <c r="CI95" s="217"/>
      <c r="CJ95" s="217"/>
      <c r="CK95" s="217"/>
      <c r="CN95" s="217"/>
      <c r="CO95" s="217"/>
      <c r="CP95" s="217"/>
      <c r="CQ95" s="217"/>
      <c r="CR95" s="217"/>
      <c r="CS95" s="217"/>
      <c r="CT95" s="217"/>
      <c r="CU95" s="217"/>
    </row>
    <row r="96" spans="1:100">
      <c r="B96" s="217"/>
      <c r="C96" s="217"/>
      <c r="D96" s="217"/>
      <c r="E96" s="217"/>
      <c r="F96" s="217"/>
      <c r="G96" s="217"/>
      <c r="H96" s="217"/>
      <c r="I96" s="217"/>
      <c r="L96" s="217"/>
      <c r="M96" s="217"/>
      <c r="N96" s="217"/>
      <c r="O96" s="217"/>
      <c r="P96" s="217"/>
      <c r="Q96" s="217"/>
      <c r="R96" s="217"/>
      <c r="S96" s="217"/>
      <c r="V96" s="217"/>
      <c r="W96" s="217"/>
      <c r="X96" s="217"/>
      <c r="Y96" s="217"/>
      <c r="Z96" s="217"/>
      <c r="AA96" s="217"/>
      <c r="AB96" s="217"/>
      <c r="AC96" s="217"/>
      <c r="AF96" s="217"/>
      <c r="AG96" s="217"/>
      <c r="AH96" s="217"/>
      <c r="AI96" s="217"/>
      <c r="AJ96" s="217"/>
      <c r="AK96" s="217"/>
      <c r="AL96" s="217"/>
      <c r="AM96" s="217"/>
      <c r="AP96" s="217"/>
      <c r="AQ96" s="217"/>
      <c r="AR96" s="217"/>
      <c r="AS96" s="217"/>
      <c r="AT96" s="217"/>
      <c r="AU96" s="217"/>
      <c r="AV96" s="217"/>
      <c r="AW96" s="217"/>
      <c r="AZ96" s="217"/>
      <c r="BA96" s="217"/>
      <c r="BB96" s="217"/>
      <c r="BC96" s="217"/>
      <c r="BD96" s="217"/>
      <c r="BE96" s="217"/>
      <c r="BF96" s="217"/>
      <c r="BG96" s="217"/>
      <c r="BJ96" s="217"/>
      <c r="BK96" s="217"/>
      <c r="BL96" s="217"/>
      <c r="BM96" s="217"/>
      <c r="BN96" s="217"/>
      <c r="BO96" s="217"/>
      <c r="BP96" s="217"/>
      <c r="BQ96" s="217"/>
      <c r="BT96" s="217"/>
      <c r="BU96" s="217"/>
      <c r="BV96" s="217"/>
      <c r="BW96" s="217"/>
      <c r="BX96" s="217"/>
      <c r="BY96" s="217"/>
      <c r="BZ96" s="217"/>
      <c r="CA96" s="217"/>
      <c r="CD96" s="217"/>
      <c r="CE96" s="217"/>
      <c r="CF96" s="217"/>
      <c r="CG96" s="217"/>
      <c r="CH96" s="217"/>
      <c r="CI96" s="217"/>
      <c r="CJ96" s="217"/>
      <c r="CK96" s="217"/>
      <c r="CN96" s="217"/>
      <c r="CO96" s="217"/>
      <c r="CP96" s="217"/>
      <c r="CQ96" s="217"/>
      <c r="CR96" s="217"/>
      <c r="CS96" s="217"/>
      <c r="CT96" s="217"/>
      <c r="CU96" s="217"/>
    </row>
    <row r="97" spans="2:99">
      <c r="B97" s="217"/>
      <c r="C97" s="217"/>
      <c r="D97" s="217"/>
      <c r="E97" s="217"/>
      <c r="F97" s="217"/>
      <c r="G97" s="217"/>
      <c r="H97" s="217"/>
      <c r="I97" s="217"/>
      <c r="L97" s="217"/>
      <c r="M97" s="217"/>
      <c r="N97" s="217"/>
      <c r="O97" s="217"/>
      <c r="P97" s="217"/>
      <c r="Q97" s="217"/>
      <c r="R97" s="217"/>
      <c r="S97" s="217"/>
      <c r="V97" s="217"/>
      <c r="W97" s="217"/>
      <c r="X97" s="217"/>
      <c r="Y97" s="217"/>
      <c r="Z97" s="217"/>
      <c r="AA97" s="217"/>
      <c r="AB97" s="217"/>
      <c r="AC97" s="217"/>
      <c r="AF97" s="217"/>
      <c r="AG97" s="217"/>
      <c r="AH97" s="217"/>
      <c r="AI97" s="217"/>
      <c r="AJ97" s="217"/>
      <c r="AK97" s="217"/>
      <c r="AL97" s="217"/>
      <c r="AM97" s="217"/>
      <c r="AP97" s="217"/>
      <c r="AQ97" s="217"/>
      <c r="AR97" s="217"/>
      <c r="AS97" s="217"/>
      <c r="AT97" s="217"/>
      <c r="AU97" s="217"/>
      <c r="AV97" s="217"/>
      <c r="AW97" s="217"/>
      <c r="AZ97" s="217"/>
      <c r="BA97" s="217"/>
      <c r="BB97" s="217"/>
      <c r="BC97" s="217"/>
      <c r="BD97" s="217"/>
      <c r="BE97" s="217"/>
      <c r="BF97" s="217"/>
      <c r="BG97" s="217"/>
      <c r="BJ97" s="217"/>
      <c r="BK97" s="217"/>
      <c r="BL97" s="217"/>
      <c r="BM97" s="217"/>
      <c r="BN97" s="217"/>
      <c r="BO97" s="217"/>
      <c r="BP97" s="217"/>
      <c r="BQ97" s="217"/>
      <c r="BT97" s="217"/>
      <c r="BU97" s="217"/>
      <c r="BV97" s="217"/>
      <c r="BW97" s="217"/>
      <c r="BX97" s="217"/>
      <c r="BY97" s="217"/>
      <c r="BZ97" s="217"/>
      <c r="CA97" s="217"/>
      <c r="CD97" s="217"/>
      <c r="CE97" s="217"/>
      <c r="CF97" s="217"/>
      <c r="CG97" s="217"/>
      <c r="CH97" s="217"/>
      <c r="CI97" s="217"/>
      <c r="CJ97" s="217"/>
      <c r="CK97" s="217"/>
      <c r="CN97" s="217"/>
      <c r="CO97" s="217"/>
      <c r="CP97" s="217"/>
      <c r="CQ97" s="217"/>
      <c r="CR97" s="217"/>
      <c r="CS97" s="217"/>
      <c r="CT97" s="217"/>
      <c r="CU97" s="217"/>
    </row>
    <row r="98" spans="2:99">
      <c r="B98" s="217"/>
      <c r="C98" s="217"/>
      <c r="D98" s="217"/>
      <c r="E98" s="217"/>
      <c r="F98" s="217"/>
      <c r="G98" s="217"/>
      <c r="H98" s="217"/>
      <c r="I98" s="217"/>
      <c r="L98" s="217"/>
      <c r="M98" s="217"/>
      <c r="N98" s="217"/>
      <c r="O98" s="217"/>
      <c r="P98" s="217"/>
      <c r="Q98" s="217"/>
      <c r="R98" s="217"/>
      <c r="S98" s="217"/>
      <c r="V98" s="217"/>
      <c r="W98" s="217"/>
      <c r="X98" s="217"/>
      <c r="Y98" s="217"/>
      <c r="Z98" s="217"/>
      <c r="AA98" s="217"/>
      <c r="AB98" s="217"/>
      <c r="AC98" s="217"/>
      <c r="AF98" s="217"/>
      <c r="AG98" s="217"/>
      <c r="AH98" s="217"/>
      <c r="AI98" s="217"/>
      <c r="AJ98" s="217"/>
      <c r="AK98" s="217"/>
      <c r="AL98" s="217"/>
      <c r="AM98" s="217"/>
      <c r="AP98" s="217"/>
      <c r="AQ98" s="217"/>
      <c r="AR98" s="217"/>
      <c r="AS98" s="217"/>
      <c r="AT98" s="217"/>
      <c r="AU98" s="217"/>
      <c r="AV98" s="217"/>
      <c r="AW98" s="217"/>
      <c r="AZ98" s="217"/>
      <c r="BA98" s="217"/>
      <c r="BB98" s="217"/>
      <c r="BC98" s="217"/>
      <c r="BD98" s="217"/>
      <c r="BE98" s="217"/>
      <c r="BF98" s="217"/>
      <c r="BG98" s="217"/>
      <c r="BJ98" s="217"/>
      <c r="BK98" s="217"/>
      <c r="BL98" s="217"/>
      <c r="BM98" s="217"/>
      <c r="BN98" s="217"/>
      <c r="BO98" s="217"/>
      <c r="BP98" s="217"/>
      <c r="BQ98" s="217"/>
      <c r="BT98" s="217"/>
      <c r="BU98" s="217"/>
      <c r="BV98" s="217"/>
      <c r="BW98" s="217"/>
      <c r="BX98" s="217"/>
      <c r="BY98" s="217"/>
      <c r="BZ98" s="217"/>
      <c r="CA98" s="217"/>
      <c r="CD98" s="217"/>
      <c r="CE98" s="217"/>
      <c r="CF98" s="217"/>
      <c r="CG98" s="217"/>
      <c r="CH98" s="217"/>
      <c r="CI98" s="217"/>
      <c r="CJ98" s="217"/>
      <c r="CK98" s="217"/>
      <c r="CN98" s="217"/>
      <c r="CO98" s="217"/>
      <c r="CP98" s="217"/>
      <c r="CQ98" s="217"/>
      <c r="CR98" s="217"/>
      <c r="CS98" s="217"/>
      <c r="CT98" s="217"/>
      <c r="CU98" s="217"/>
    </row>
    <row r="99" spans="2:99">
      <c r="B99" s="217"/>
      <c r="C99" s="217"/>
      <c r="D99" s="217"/>
      <c r="E99" s="217"/>
      <c r="F99" s="217"/>
      <c r="G99" s="217"/>
      <c r="H99" s="217"/>
      <c r="I99" s="217"/>
      <c r="L99" s="217"/>
      <c r="M99" s="217"/>
      <c r="N99" s="217"/>
      <c r="O99" s="217"/>
      <c r="P99" s="217"/>
      <c r="Q99" s="217"/>
      <c r="R99" s="217"/>
      <c r="S99" s="217"/>
      <c r="V99" s="217"/>
      <c r="W99" s="217"/>
      <c r="X99" s="217"/>
      <c r="Y99" s="217"/>
      <c r="Z99" s="217"/>
      <c r="AA99" s="217"/>
      <c r="AB99" s="217"/>
      <c r="AC99" s="217"/>
      <c r="AF99" s="217"/>
      <c r="AG99" s="217"/>
      <c r="AH99" s="217"/>
      <c r="AI99" s="217"/>
      <c r="AJ99" s="217"/>
      <c r="AK99" s="217"/>
      <c r="AL99" s="217"/>
      <c r="AM99" s="217"/>
      <c r="AP99" s="217"/>
      <c r="AQ99" s="217"/>
      <c r="AR99" s="217"/>
      <c r="AS99" s="217"/>
      <c r="AT99" s="217"/>
      <c r="AU99" s="217"/>
      <c r="AV99" s="217"/>
      <c r="AW99" s="217"/>
      <c r="AZ99" s="217"/>
      <c r="BA99" s="217"/>
      <c r="BB99" s="217"/>
      <c r="BC99" s="217"/>
      <c r="BD99" s="217"/>
      <c r="BE99" s="217"/>
      <c r="BF99" s="217"/>
      <c r="BG99" s="217"/>
      <c r="BJ99" s="217"/>
      <c r="BK99" s="217"/>
      <c r="BL99" s="217"/>
      <c r="BM99" s="217"/>
      <c r="BN99" s="217"/>
      <c r="BO99" s="217"/>
      <c r="BP99" s="217"/>
      <c r="BQ99" s="217"/>
      <c r="BT99" s="217"/>
      <c r="BU99" s="217"/>
      <c r="BV99" s="217"/>
      <c r="BW99" s="217"/>
      <c r="BX99" s="217"/>
      <c r="BY99" s="217"/>
      <c r="BZ99" s="217"/>
      <c r="CA99" s="217"/>
      <c r="CD99" s="217"/>
      <c r="CE99" s="217"/>
      <c r="CF99" s="217"/>
      <c r="CG99" s="217"/>
      <c r="CH99" s="217"/>
      <c r="CI99" s="217"/>
      <c r="CJ99" s="217"/>
      <c r="CK99" s="217"/>
      <c r="CN99" s="217"/>
      <c r="CO99" s="217"/>
      <c r="CP99" s="217"/>
      <c r="CQ99" s="217"/>
      <c r="CR99" s="217"/>
      <c r="CS99" s="217"/>
      <c r="CT99" s="217"/>
      <c r="CU99" s="217"/>
    </row>
    <row r="100" spans="2:99">
      <c r="B100" s="217"/>
      <c r="C100" s="217"/>
      <c r="D100" s="217"/>
      <c r="E100" s="217"/>
      <c r="F100" s="217"/>
      <c r="G100" s="217"/>
      <c r="H100" s="217"/>
      <c r="I100" s="217"/>
      <c r="L100" s="217"/>
      <c r="M100" s="217"/>
      <c r="N100" s="217"/>
      <c r="O100" s="217"/>
      <c r="P100" s="217"/>
      <c r="Q100" s="217"/>
      <c r="R100" s="217"/>
      <c r="S100" s="217"/>
      <c r="V100" s="217"/>
      <c r="W100" s="217"/>
      <c r="X100" s="217"/>
      <c r="Y100" s="217"/>
      <c r="Z100" s="217"/>
      <c r="AA100" s="217"/>
      <c r="AB100" s="217"/>
      <c r="AC100" s="217"/>
      <c r="AF100" s="217"/>
      <c r="AG100" s="217"/>
      <c r="AH100" s="217"/>
      <c r="AI100" s="217"/>
      <c r="AJ100" s="217"/>
      <c r="AK100" s="217"/>
      <c r="AL100" s="217"/>
      <c r="AM100" s="217"/>
      <c r="AP100" s="217"/>
      <c r="AQ100" s="217"/>
      <c r="AR100" s="217"/>
      <c r="AS100" s="217"/>
      <c r="AT100" s="217"/>
      <c r="AU100" s="217"/>
      <c r="AV100" s="217"/>
      <c r="AW100" s="217"/>
      <c r="AZ100" s="217"/>
      <c r="BA100" s="217"/>
      <c r="BB100" s="217"/>
      <c r="BC100" s="217"/>
      <c r="BD100" s="217"/>
      <c r="BE100" s="217"/>
      <c r="BF100" s="217"/>
      <c r="BG100" s="217"/>
      <c r="BJ100" s="217"/>
      <c r="BK100" s="217"/>
      <c r="BL100" s="217"/>
      <c r="BM100" s="217"/>
      <c r="BN100" s="217"/>
      <c r="BO100" s="217"/>
      <c r="BP100" s="217"/>
      <c r="BQ100" s="217"/>
      <c r="BT100" s="217"/>
      <c r="BU100" s="217"/>
      <c r="BV100" s="217"/>
      <c r="BW100" s="217"/>
      <c r="BX100" s="217"/>
      <c r="BY100" s="217"/>
      <c r="BZ100" s="217"/>
      <c r="CA100" s="217"/>
      <c r="CD100" s="217"/>
      <c r="CE100" s="217"/>
      <c r="CF100" s="217"/>
      <c r="CG100" s="217"/>
      <c r="CH100" s="217"/>
      <c r="CI100" s="217"/>
      <c r="CJ100" s="217"/>
      <c r="CK100" s="217"/>
      <c r="CN100" s="217"/>
      <c r="CO100" s="217"/>
      <c r="CP100" s="217"/>
      <c r="CQ100" s="217"/>
      <c r="CR100" s="217"/>
      <c r="CS100" s="217"/>
      <c r="CT100" s="217"/>
      <c r="CU100" s="217"/>
    </row>
  </sheetData>
  <mergeCells count="220">
    <mergeCell ref="CS21:CS22"/>
    <mergeCell ref="CS24:CS27"/>
    <mergeCell ref="CS29:CS39"/>
    <mergeCell ref="CS41:CS43"/>
    <mergeCell ref="CS45:CS48"/>
    <mergeCell ref="CS50:CS52"/>
    <mergeCell ref="CS54:CS66"/>
    <mergeCell ref="CC82:CF82"/>
    <mergeCell ref="CC83:CF83"/>
    <mergeCell ref="CC84:CF84"/>
    <mergeCell ref="CC85:CF85"/>
    <mergeCell ref="CS68:CS73"/>
    <mergeCell ref="CS75:CS80"/>
    <mergeCell ref="CM82:CP82"/>
    <mergeCell ref="CM83:CP83"/>
    <mergeCell ref="CM84:CP84"/>
    <mergeCell ref="CM85:CP85"/>
    <mergeCell ref="BO75:BO80"/>
    <mergeCell ref="BI82:BL82"/>
    <mergeCell ref="BI83:BL83"/>
    <mergeCell ref="BI84:BL84"/>
    <mergeCell ref="BI85:BL85"/>
    <mergeCell ref="BU2:BY2"/>
    <mergeCell ref="BU3:BY5"/>
    <mergeCell ref="BU6:BU7"/>
    <mergeCell ref="BV6:BY7"/>
    <mergeCell ref="BU8:BY8"/>
    <mergeCell ref="BY12:BY19"/>
    <mergeCell ref="BY21:BY22"/>
    <mergeCell ref="BY24:BY27"/>
    <mergeCell ref="BY29:BY39"/>
    <mergeCell ref="BY75:BY80"/>
    <mergeCell ref="BS82:BV82"/>
    <mergeCell ref="BS83:BV83"/>
    <mergeCell ref="BS84:BV84"/>
    <mergeCell ref="BS85:BV85"/>
    <mergeCell ref="BK2:BO2"/>
    <mergeCell ref="BK3:BO5"/>
    <mergeCell ref="BK6:BK7"/>
    <mergeCell ref="BL6:BO7"/>
    <mergeCell ref="BK8:BO8"/>
    <mergeCell ref="BO12:BO19"/>
    <mergeCell ref="BO21:BO22"/>
    <mergeCell ref="BO24:BO27"/>
    <mergeCell ref="BO29:BO39"/>
    <mergeCell ref="AO84:AR84"/>
    <mergeCell ref="AO85:AR85"/>
    <mergeCell ref="BA2:BE2"/>
    <mergeCell ref="BA3:BE5"/>
    <mergeCell ref="BA6:BA7"/>
    <mergeCell ref="BB6:BE7"/>
    <mergeCell ref="BA8:BE8"/>
    <mergeCell ref="BE12:BE19"/>
    <mergeCell ref="BE21:BE22"/>
    <mergeCell ref="BE24:BE27"/>
    <mergeCell ref="BE29:BE39"/>
    <mergeCell ref="BE75:BE80"/>
    <mergeCell ref="AY82:BB82"/>
    <mergeCell ref="AY83:BB83"/>
    <mergeCell ref="AY84:BB84"/>
    <mergeCell ref="AY85:BB85"/>
    <mergeCell ref="AQ2:AU2"/>
    <mergeCell ref="AQ3:AU5"/>
    <mergeCell ref="AQ6:AQ7"/>
    <mergeCell ref="AR6:AU7"/>
    <mergeCell ref="AQ8:AU8"/>
    <mergeCell ref="AU12:AU19"/>
    <mergeCell ref="AU21:AU22"/>
    <mergeCell ref="AU24:AU27"/>
    <mergeCell ref="AU29:AU39"/>
    <mergeCell ref="U84:X84"/>
    <mergeCell ref="U85:X85"/>
    <mergeCell ref="AG2:AK2"/>
    <mergeCell ref="AG3:AK5"/>
    <mergeCell ref="AG6:AG7"/>
    <mergeCell ref="AH6:AK7"/>
    <mergeCell ref="AG8:AK8"/>
    <mergeCell ref="AK12:AK19"/>
    <mergeCell ref="AK21:AK22"/>
    <mergeCell ref="AK24:AK27"/>
    <mergeCell ref="AK29:AK39"/>
    <mergeCell ref="AK75:AK80"/>
    <mergeCell ref="AE82:AH82"/>
    <mergeCell ref="AE83:AH83"/>
    <mergeCell ref="AE84:AH84"/>
    <mergeCell ref="AE85:AH85"/>
    <mergeCell ref="G12:G19"/>
    <mergeCell ref="G21:G22"/>
    <mergeCell ref="G24:G27"/>
    <mergeCell ref="G29:G39"/>
    <mergeCell ref="K82:N82"/>
    <mergeCell ref="K83:N83"/>
    <mergeCell ref="K84:N84"/>
    <mergeCell ref="K85:N85"/>
    <mergeCell ref="W2:AA2"/>
    <mergeCell ref="W3:AA5"/>
    <mergeCell ref="W6:W7"/>
    <mergeCell ref="X6:AA7"/>
    <mergeCell ref="W8:AA8"/>
    <mergeCell ref="U82:X82"/>
    <mergeCell ref="M2:Q2"/>
    <mergeCell ref="M3:Q5"/>
    <mergeCell ref="M6:M7"/>
    <mergeCell ref="N6:Q7"/>
    <mergeCell ref="M8:Q8"/>
    <mergeCell ref="Q12:Q19"/>
    <mergeCell ref="Q21:Q22"/>
    <mergeCell ref="Q24:Q27"/>
    <mergeCell ref="Q29:Q39"/>
    <mergeCell ref="H10:I10"/>
    <mergeCell ref="A84:D84"/>
    <mergeCell ref="A85:D85"/>
    <mergeCell ref="G41:G43"/>
    <mergeCell ref="G45:G48"/>
    <mergeCell ref="G50:G52"/>
    <mergeCell ref="G54:G66"/>
    <mergeCell ref="G68:G73"/>
    <mergeCell ref="AK41:AK43"/>
    <mergeCell ref="AK45:AK48"/>
    <mergeCell ref="AK50:AK52"/>
    <mergeCell ref="AK54:AK66"/>
    <mergeCell ref="AK68:AK73"/>
    <mergeCell ref="A81:D81"/>
    <mergeCell ref="G75:G80"/>
    <mergeCell ref="Q41:Q43"/>
    <mergeCell ref="Q45:Q48"/>
    <mergeCell ref="Q50:Q52"/>
    <mergeCell ref="Q54:Q66"/>
    <mergeCell ref="Q68:Q73"/>
    <mergeCell ref="BE54:BE66"/>
    <mergeCell ref="BE68:BE73"/>
    <mergeCell ref="BY41:BY43"/>
    <mergeCell ref="BY45:BY48"/>
    <mergeCell ref="BY50:BY52"/>
    <mergeCell ref="BY54:BY66"/>
    <mergeCell ref="BY68:BY73"/>
    <mergeCell ref="A82:D82"/>
    <mergeCell ref="A83:D83"/>
    <mergeCell ref="Q75:Q80"/>
    <mergeCell ref="U83:X83"/>
    <mergeCell ref="AU41:AU43"/>
    <mergeCell ref="AU45:AU48"/>
    <mergeCell ref="AU50:AU52"/>
    <mergeCell ref="AU54:AU66"/>
    <mergeCell ref="AU68:AU73"/>
    <mergeCell ref="AU75:AU80"/>
    <mergeCell ref="AO82:AR82"/>
    <mergeCell ref="AO83:AR83"/>
    <mergeCell ref="BO41:BO43"/>
    <mergeCell ref="BO45:BO48"/>
    <mergeCell ref="BO50:BO52"/>
    <mergeCell ref="BO54:BO66"/>
    <mergeCell ref="BO68:BO73"/>
    <mergeCell ref="CN1:CR1"/>
    <mergeCell ref="B1:F1"/>
    <mergeCell ref="L1:P1"/>
    <mergeCell ref="V1:Z1"/>
    <mergeCell ref="AF1:AJ1"/>
    <mergeCell ref="AP1:AT1"/>
    <mergeCell ref="AZ1:BD1"/>
    <mergeCell ref="BJ1:BN1"/>
    <mergeCell ref="BT1:BX1"/>
    <mergeCell ref="CD1:CH1"/>
    <mergeCell ref="A2:B7"/>
    <mergeCell ref="K81:N81"/>
    <mergeCell ref="CC81:CF81"/>
    <mergeCell ref="AO2:AP7"/>
    <mergeCell ref="AE81:AH81"/>
    <mergeCell ref="AO81:AR81"/>
    <mergeCell ref="AE2:AF7"/>
    <mergeCell ref="U81:X81"/>
    <mergeCell ref="U2:V7"/>
    <mergeCell ref="BS2:BT7"/>
    <mergeCell ref="BI81:BL81"/>
    <mergeCell ref="BS81:BV81"/>
    <mergeCell ref="BI2:BJ7"/>
    <mergeCell ref="AY2:AZ7"/>
    <mergeCell ref="AY81:BB81"/>
    <mergeCell ref="K2:L7"/>
    <mergeCell ref="C2:G2"/>
    <mergeCell ref="C3:G5"/>
    <mergeCell ref="C6:C7"/>
    <mergeCell ref="D6:G7"/>
    <mergeCell ref="C8:G8"/>
    <mergeCell ref="BE41:BE43"/>
    <mergeCell ref="BE45:BE48"/>
    <mergeCell ref="BE50:BE52"/>
    <mergeCell ref="CC2:CD7"/>
    <mergeCell ref="CM81:CP81"/>
    <mergeCell ref="CM2:CN7"/>
    <mergeCell ref="CE2:CI2"/>
    <mergeCell ref="CE3:CI5"/>
    <mergeCell ref="CE6:CE7"/>
    <mergeCell ref="CF6:CI7"/>
    <mergeCell ref="CE8:CI8"/>
    <mergeCell ref="CI12:CI19"/>
    <mergeCell ref="CI21:CI22"/>
    <mergeCell ref="CI24:CI27"/>
    <mergeCell ref="CI29:CI39"/>
    <mergeCell ref="CI41:CI43"/>
    <mergeCell ref="CI45:CI48"/>
    <mergeCell ref="CI50:CI52"/>
    <mergeCell ref="CI54:CI66"/>
    <mergeCell ref="CI68:CI73"/>
    <mergeCell ref="CI75:CI80"/>
    <mergeCell ref="CO2:CS2"/>
    <mergeCell ref="CO3:CS5"/>
    <mergeCell ref="CO6:CO7"/>
    <mergeCell ref="CP6:CS7"/>
    <mergeCell ref="CO8:CS8"/>
    <mergeCell ref="CS12:CS19"/>
    <mergeCell ref="BP10:BQ10"/>
    <mergeCell ref="BZ10:CA10"/>
    <mergeCell ref="CJ10:CK10"/>
    <mergeCell ref="CT10:CU10"/>
    <mergeCell ref="AV10:AW10"/>
    <mergeCell ref="R10:S10"/>
    <mergeCell ref="AB10:AC10"/>
    <mergeCell ref="AL10:AM10"/>
    <mergeCell ref="BF10:BG10"/>
  </mergeCells>
  <conditionalFormatting sqref="Z20 Z40 Z44 Z23 Z28 Z49 Z53 Z67">
    <cfRule type="top10" dxfId="39" priority="43" rank="15"/>
    <cfRule type="top10" dxfId="38" priority="44" rank="15"/>
  </conditionalFormatting>
  <conditionalFormatting sqref="Z74">
    <cfRule type="top10" dxfId="37" priority="41" rank="15"/>
    <cfRule type="top10" dxfId="36" priority="42" rank="15"/>
  </conditionalFormatting>
  <conditionalFormatting sqref="AJ20 AJ40 AJ44 AJ23 AJ28 AJ49 AJ53 AJ67">
    <cfRule type="top10" dxfId="35" priority="39" rank="15"/>
    <cfRule type="top10" dxfId="34" priority="40" rank="15"/>
  </conditionalFormatting>
  <conditionalFormatting sqref="AJ74">
    <cfRule type="top10" dxfId="33" priority="37" rank="15"/>
    <cfRule type="top10" dxfId="32" priority="38" rank="15"/>
  </conditionalFormatting>
  <conditionalFormatting sqref="AT20 AT40 AT44 AT23 AT28 AT49 AT53 AT67">
    <cfRule type="top10" dxfId="31" priority="35" rank="15"/>
    <cfRule type="top10" dxfId="30" priority="36" rank="15"/>
  </conditionalFormatting>
  <conditionalFormatting sqref="AT74">
    <cfRule type="top10" dxfId="29" priority="33" rank="15"/>
    <cfRule type="top10" dxfId="28" priority="34" rank="15"/>
  </conditionalFormatting>
  <conditionalFormatting sqref="BD20 BD40 BD44 BD23 BD28 BD49 BD53 BD67">
    <cfRule type="top10" dxfId="27" priority="27" rank="15"/>
    <cfRule type="top10" dxfId="26" priority="28" rank="15"/>
  </conditionalFormatting>
  <conditionalFormatting sqref="BD74">
    <cfRule type="top10" dxfId="25" priority="25" rank="15"/>
    <cfRule type="top10" dxfId="24" priority="26" rank="15"/>
  </conditionalFormatting>
  <conditionalFormatting sqref="F20 F40 F44 F23 F28 F49 F53 F67">
    <cfRule type="top10" dxfId="23" priority="23" rank="15"/>
    <cfRule type="top10" dxfId="22" priority="24" rank="15"/>
  </conditionalFormatting>
  <conditionalFormatting sqref="F74">
    <cfRule type="top10" dxfId="21" priority="21" rank="15"/>
    <cfRule type="top10" dxfId="20" priority="22" rank="15"/>
  </conditionalFormatting>
  <conditionalFormatting sqref="P20 P40 P44 P23 P28 P49 P53 P67">
    <cfRule type="top10" dxfId="19" priority="19" rank="15"/>
    <cfRule type="top10" dxfId="18" priority="20" rank="15"/>
  </conditionalFormatting>
  <conditionalFormatting sqref="P74">
    <cfRule type="top10" dxfId="17" priority="17" rank="15"/>
    <cfRule type="top10" dxfId="16" priority="18" rank="15"/>
  </conditionalFormatting>
  <conditionalFormatting sqref="BN20 BN40 BN44 BN23 BN28 BN49 BN53 BN67">
    <cfRule type="top10" dxfId="15" priority="15" rank="15"/>
    <cfRule type="top10" dxfId="14" priority="16" rank="15"/>
  </conditionalFormatting>
  <conditionalFormatting sqref="BN74">
    <cfRule type="top10" dxfId="13" priority="13" rank="15"/>
    <cfRule type="top10" dxfId="12" priority="14" rank="15"/>
  </conditionalFormatting>
  <conditionalFormatting sqref="BX20 BX40 BX44 BX23 BX28 BX49 BX53 BX67">
    <cfRule type="top10" dxfId="11" priority="11" rank="15"/>
    <cfRule type="top10" dxfId="10" priority="12" rank="15"/>
  </conditionalFormatting>
  <conditionalFormatting sqref="BX74">
    <cfRule type="top10" dxfId="9" priority="9" rank="15"/>
    <cfRule type="top10" dxfId="8" priority="10" rank="15"/>
  </conditionalFormatting>
  <conditionalFormatting sqref="CH20 CH40 CH44 CH23 CH28 CH49 CH53 CH67">
    <cfRule type="top10" dxfId="7" priority="7" rank="15"/>
    <cfRule type="top10" dxfId="6" priority="8" rank="15"/>
  </conditionalFormatting>
  <conditionalFormatting sqref="CH74">
    <cfRule type="top10" dxfId="5" priority="5" rank="15"/>
    <cfRule type="top10" dxfId="4" priority="6" rank="15"/>
  </conditionalFormatting>
  <conditionalFormatting sqref="CR20 CR40 CR44 CR23 CR28 CR49 CR53 CR67">
    <cfRule type="top10" dxfId="3" priority="3" rank="15"/>
    <cfRule type="top10" dxfId="2" priority="4" rank="15"/>
  </conditionalFormatting>
  <conditionalFormatting sqref="CR74">
    <cfRule type="top10" dxfId="1" priority="1" rank="15"/>
    <cfRule type="top10" dxfId="0" priority="2" rank="15"/>
  </conditionalFormatting>
  <hyperlinks>
    <hyperlink ref="U29" location="A.P.U.!C248" display="A.P.U.!C248"/>
    <hyperlink ref="U24" location="A.P.U.!C110" display="A.P.U.!C110"/>
    <hyperlink ref="U21" location="A.P.U.!C89" display="A.P.U.!C89"/>
    <hyperlink ref="U22" location="A.P.U.!C89" display="A.P.U.!C89"/>
    <hyperlink ref="U25:U27" location="A.P.U.!C110" display="A.P.U.!C110"/>
    <hyperlink ref="AE29" location="A.P.U.!C248" display="A.P.U.!C248"/>
    <hyperlink ref="AE24" location="A.P.U.!C110" display="A.P.U.!C110"/>
    <hyperlink ref="AE21" location="A.P.U.!C89" display="A.P.U.!C89"/>
    <hyperlink ref="AE22" location="A.P.U.!C89" display="A.P.U.!C89"/>
    <hyperlink ref="AE25:AE27" location="A.P.U.!C110" display="A.P.U.!C110"/>
    <hyperlink ref="AO29" location="A.P.U.!C248" display="A.P.U.!C248"/>
    <hyperlink ref="AO24" location="A.P.U.!C110" display="A.P.U.!C110"/>
    <hyperlink ref="AO21" location="A.P.U.!C89" display="A.P.U.!C89"/>
    <hyperlink ref="AO22" location="A.P.U.!C89" display="A.P.U.!C89"/>
    <hyperlink ref="AO25:AO27" location="A.P.U.!C110" display="A.P.U.!C110"/>
    <hyperlink ref="AY29" location="A.P.U.!C248" display="A.P.U.!C248"/>
    <hyperlink ref="AY24" location="A.P.U.!C110" display="A.P.U.!C110"/>
    <hyperlink ref="AY21" location="A.P.U.!C89" display="A.P.U.!C89"/>
    <hyperlink ref="AY22" location="A.P.U.!C89" display="A.P.U.!C89"/>
    <hyperlink ref="AY25:AY27" location="A.P.U.!C110" display="A.P.U.!C110"/>
    <hyperlink ref="A29" location="A.P.U.!C248" display="A.P.U.!C248"/>
    <hyperlink ref="A24" location="A.P.U.!C110" display="A.P.U.!C110"/>
    <hyperlink ref="A21" location="A.P.U.!C89" display="A.P.U.!C89"/>
    <hyperlink ref="A22" location="A.P.U.!C89" display="A.P.U.!C89"/>
    <hyperlink ref="A25:A27" location="A.P.U.!C110" display="A.P.U.!C110"/>
    <hyperlink ref="K29" location="A.P.U.!C248" display="A.P.U.!C248"/>
    <hyperlink ref="K24" location="A.P.U.!C110" display="A.P.U.!C110"/>
    <hyperlink ref="K21" location="A.P.U.!C89" display="A.P.U.!C89"/>
    <hyperlink ref="K22" location="A.P.U.!C89" display="A.P.U.!C89"/>
    <hyperlink ref="K25:K27" location="A.P.U.!C110" display="A.P.U.!C110"/>
    <hyperlink ref="BI29" location="A.P.U.!C248" display="A.P.U.!C248"/>
    <hyperlink ref="BI24" location="A.P.U.!C110" display="A.P.U.!C110"/>
    <hyperlink ref="BI21" location="A.P.U.!C89" display="A.P.U.!C89"/>
    <hyperlink ref="BI22" location="A.P.U.!C89" display="A.P.U.!C89"/>
    <hyperlink ref="BI25:BI27" location="A.P.U.!C110" display="A.P.U.!C110"/>
    <hyperlink ref="BS29" location="A.P.U.!C248" display="A.P.U.!C248"/>
    <hyperlink ref="BS24" location="A.P.U.!C110" display="A.P.U.!C110"/>
    <hyperlink ref="BS21" location="A.P.U.!C89" display="A.P.U.!C89"/>
    <hyperlink ref="BS22" location="A.P.U.!C89" display="A.P.U.!C89"/>
    <hyperlink ref="BS25:BS27" location="A.P.U.!C110" display="A.P.U.!C110"/>
    <hyperlink ref="CC29" location="A.P.U.!C248" display="A.P.U.!C248"/>
    <hyperlink ref="CC24" location="A.P.U.!C110" display="A.P.U.!C110"/>
    <hyperlink ref="CC21" location="A.P.U.!C89" display="A.P.U.!C89"/>
    <hyperlink ref="CC22" location="A.P.U.!C89" display="A.P.U.!C89"/>
    <hyperlink ref="CC25:CC27" location="A.P.U.!C110" display="A.P.U.!C110"/>
    <hyperlink ref="CM29" location="A.P.U.!C248" display="A.P.U.!C248"/>
    <hyperlink ref="CM24" location="A.P.U.!C110" display="A.P.U.!C110"/>
    <hyperlink ref="CM21" location="A.P.U.!C89" display="A.P.U.!C89"/>
    <hyperlink ref="CM22" location="A.P.U.!C89" display="A.P.U.!C89"/>
    <hyperlink ref="CM25:CM27" location="A.P.U.!C110" display="A.P.U.!C110"/>
  </hyperlinks>
  <printOptions horizontalCentered="1"/>
  <pageMargins left="0.70866141732283472" right="0.70866141732283472" top="0.74803149606299213" bottom="0.74803149606299213" header="0.31496062992125984" footer="0.31496062992125984"/>
  <pageSetup scale="10" fitToHeight="0" orientation="portrait" r:id="rId1"/>
  <headerFooter>
    <oddHeader>&amp;L&amp;D&amp;R&amp;G</oddHeader>
    <oddFooter>&amp;L&amp;"Swis721 LtCn BT,Light"&amp;F
&amp;A&amp;C&amp;"Swis721 LtCn BT,Light"&amp;Pde&amp;N&amp;R&amp;"Swis721 LtCn BT,Light"Presupuesto Obra Civil:
Elaborado por : Viviana  Valencia Montoya</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ENTREGA</vt:lpstr>
      <vt:lpstr>APERTURA DE SOBRES</vt:lpstr>
      <vt:lpstr>3. REQUISITOS JURÍDICOS</vt:lpstr>
      <vt:lpstr>3.2.1 EXPERIENCIA GRAL</vt:lpstr>
      <vt:lpstr>3.3 CAP FINANCIERA</vt:lpstr>
      <vt:lpstr>3.4 REQUISITOS COMERCIALES</vt:lpstr>
      <vt:lpstr>10. EVALUACIÓN</vt:lpstr>
      <vt:lpstr>Cálculo Pt2</vt:lpstr>
      <vt:lpstr>Presupuesto Consolidado</vt:lpstr>
      <vt:lpstr>Analisis A.U.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Marleny.Jimenez</cp:lastModifiedBy>
  <cp:lastPrinted>2018-04-05T13:57:20Z</cp:lastPrinted>
  <dcterms:created xsi:type="dcterms:W3CDTF">2013-08-04T21:27:49Z</dcterms:created>
  <dcterms:modified xsi:type="dcterms:W3CDTF">2019-06-12T15:25:34Z</dcterms:modified>
</cp:coreProperties>
</file>