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STIÓN_ADMINISTRATIVA_2019\PLAN DE ACCIÓN_2018-2021\SOPORTES DEL PLAN\"/>
    </mc:Choice>
  </mc:AlternateContent>
  <bookViews>
    <workbookView xWindow="2790" yWindow="0" windowWidth="19200" windowHeight="8595" firstSheet="4" activeTab="6"/>
  </bookViews>
  <sheets>
    <sheet name="R1 Creación y aprop. conoc" sheetId="4" r:id="rId1"/>
    <sheet name="R1 Paz, equidad y diversidad cu" sheetId="1" r:id="rId2"/>
    <sheet name="R2 Innovación curricular pregra" sheetId="6" r:id="rId3"/>
    <sheet name="costos" sheetId="14" state="hidden" r:id="rId4"/>
    <sheet name="R2 Innovación curricular posgr" sheetId="8" r:id="rId5"/>
    <sheet name="R3 Bienestar" sheetId="9" r:id="rId6"/>
    <sheet name="R3 Adecuación Acad. Adminst" sheetId="13" r:id="rId7"/>
  </sheets>
  <definedNames>
    <definedName name="_xlnm._FilterDatabase" localSheetId="3" hidden="1">costos!$A$1:$P$180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6" l="1"/>
  <c r="F42" i="6"/>
  <c r="H42" i="6"/>
  <c r="D42" i="6"/>
  <c r="H38" i="6"/>
  <c r="F38" i="6"/>
  <c r="F39" i="6"/>
  <c r="J39" i="6" s="1"/>
  <c r="D39" i="6"/>
  <c r="Q183" i="14" l="1"/>
  <c r="P72" i="14"/>
  <c r="P73" i="14"/>
  <c r="H41" i="6"/>
  <c r="F41" i="6"/>
  <c r="H23" i="13" l="1"/>
  <c r="H44" i="8"/>
  <c r="F40" i="8"/>
  <c r="D40" i="8"/>
  <c r="D38" i="6"/>
  <c r="H23" i="1"/>
  <c r="F22" i="1"/>
  <c r="D22" i="1"/>
  <c r="F20" i="1"/>
  <c r="D20" i="1"/>
  <c r="F19" i="1"/>
  <c r="D19" i="1"/>
  <c r="D23" i="1" s="1"/>
  <c r="J19" i="1"/>
  <c r="F24" i="4"/>
  <c r="D24" i="4"/>
  <c r="F23" i="4"/>
  <c r="D23" i="4"/>
  <c r="J23" i="4" s="1"/>
  <c r="J125" i="14"/>
  <c r="M76" i="14"/>
  <c r="F23" i="1" l="1"/>
  <c r="J22" i="1"/>
  <c r="J20" i="1"/>
  <c r="J23" i="1" s="1"/>
  <c r="F21" i="9"/>
  <c r="F20" i="9"/>
  <c r="D21" i="9"/>
  <c r="D20" i="9"/>
  <c r="D24" i="9" s="1"/>
  <c r="F22" i="13"/>
  <c r="F20" i="13"/>
  <c r="F19" i="13"/>
  <c r="D22" i="13"/>
  <c r="D20" i="13"/>
  <c r="D19" i="13"/>
  <c r="M173" i="14"/>
  <c r="J173" i="14"/>
  <c r="L173" i="14" s="1"/>
  <c r="P173" i="14" s="1"/>
  <c r="M172" i="14"/>
  <c r="N172" i="14" s="1"/>
  <c r="O172" i="14" s="1"/>
  <c r="L172" i="14"/>
  <c r="M171" i="14"/>
  <c r="N171" i="14" s="1"/>
  <c r="O171" i="14" s="1"/>
  <c r="L171" i="14"/>
  <c r="M170" i="14"/>
  <c r="N170" i="14" s="1"/>
  <c r="L170" i="14"/>
  <c r="M169" i="14"/>
  <c r="N169" i="14" s="1"/>
  <c r="O169" i="14" s="1"/>
  <c r="L169" i="14"/>
  <c r="M168" i="14"/>
  <c r="N168" i="14" s="1"/>
  <c r="O168" i="14" s="1"/>
  <c r="L168" i="14"/>
  <c r="M167" i="14"/>
  <c r="N167" i="14" s="1"/>
  <c r="O167" i="14" s="1"/>
  <c r="L167" i="14"/>
  <c r="M166" i="14"/>
  <c r="N166" i="14" s="1"/>
  <c r="O166" i="14" s="1"/>
  <c r="L166" i="14"/>
  <c r="O165" i="14"/>
  <c r="L165" i="14"/>
  <c r="M165" i="14" s="1"/>
  <c r="M164" i="14"/>
  <c r="N164" i="14" s="1"/>
  <c r="O164" i="14" s="1"/>
  <c r="L164" i="14"/>
  <c r="M163" i="14"/>
  <c r="N163" i="14" s="1"/>
  <c r="O163" i="14" s="1"/>
  <c r="L163" i="14"/>
  <c r="N162" i="14"/>
  <c r="O162" i="14" s="1"/>
  <c r="M162" i="14"/>
  <c r="L162" i="14"/>
  <c r="N161" i="14"/>
  <c r="O161" i="14" s="1"/>
  <c r="M161" i="14"/>
  <c r="L161" i="14"/>
  <c r="N160" i="14"/>
  <c r="O160" i="14" s="1"/>
  <c r="M160" i="14"/>
  <c r="L160" i="14"/>
  <c r="N159" i="14"/>
  <c r="O159" i="14" s="1"/>
  <c r="M159" i="14"/>
  <c r="L159" i="14"/>
  <c r="M158" i="14"/>
  <c r="N158" i="14" s="1"/>
  <c r="O158" i="14" s="1"/>
  <c r="L158" i="14"/>
  <c r="M157" i="14"/>
  <c r="N157" i="14" s="1"/>
  <c r="O157" i="14" s="1"/>
  <c r="L157" i="14"/>
  <c r="M156" i="14"/>
  <c r="N156" i="14" s="1"/>
  <c r="O156" i="14" s="1"/>
  <c r="L156" i="14"/>
  <c r="M155" i="14"/>
  <c r="N155" i="14" s="1"/>
  <c r="O155" i="14" s="1"/>
  <c r="L155" i="14"/>
  <c r="N154" i="14"/>
  <c r="M154" i="14"/>
  <c r="L154" i="14"/>
  <c r="N153" i="14"/>
  <c r="M153" i="14"/>
  <c r="L153" i="14"/>
  <c r="N152" i="14"/>
  <c r="M152" i="14"/>
  <c r="L152" i="14"/>
  <c r="N151" i="14"/>
  <c r="M151" i="14"/>
  <c r="L151" i="14"/>
  <c r="N150" i="14"/>
  <c r="O150" i="14" s="1"/>
  <c r="M150" i="14"/>
  <c r="J150" i="14"/>
  <c r="L150" i="14" s="1"/>
  <c r="P149" i="14"/>
  <c r="P148" i="14"/>
  <c r="M147" i="14"/>
  <c r="J147" i="14"/>
  <c r="L147" i="14" s="1"/>
  <c r="O146" i="14"/>
  <c r="P146" i="14" s="1"/>
  <c r="P145" i="14"/>
  <c r="P144" i="14"/>
  <c r="N143" i="14"/>
  <c r="O143" i="14" s="1"/>
  <c r="M143" i="14"/>
  <c r="J143" i="14"/>
  <c r="L143" i="14" s="1"/>
  <c r="N142" i="14"/>
  <c r="O142" i="14" s="1"/>
  <c r="M142" i="14"/>
  <c r="J142" i="14"/>
  <c r="L142" i="14" s="1"/>
  <c r="N141" i="14"/>
  <c r="O141" i="14" s="1"/>
  <c r="M141" i="14"/>
  <c r="J141" i="14"/>
  <c r="L141" i="14" s="1"/>
  <c r="N140" i="14"/>
  <c r="O140" i="14" s="1"/>
  <c r="M140" i="14"/>
  <c r="J140" i="14"/>
  <c r="L140" i="14" s="1"/>
  <c r="N139" i="14"/>
  <c r="O139" i="14" s="1"/>
  <c r="M139" i="14"/>
  <c r="J139" i="14"/>
  <c r="L139" i="14" s="1"/>
  <c r="N138" i="14"/>
  <c r="O138" i="14" s="1"/>
  <c r="J138" i="14"/>
  <c r="M138" i="14" s="1"/>
  <c r="N137" i="14"/>
  <c r="O137" i="14" s="1"/>
  <c r="J137" i="14"/>
  <c r="M137" i="14" s="1"/>
  <c r="N136" i="14"/>
  <c r="O136" i="14" s="1"/>
  <c r="M136" i="14"/>
  <c r="J136" i="14"/>
  <c r="L136" i="14" s="1"/>
  <c r="N135" i="14"/>
  <c r="O135" i="14" s="1"/>
  <c r="J135" i="14"/>
  <c r="M135" i="14" s="1"/>
  <c r="N134" i="14"/>
  <c r="O134" i="14" s="1"/>
  <c r="J134" i="14"/>
  <c r="L134" i="14" s="1"/>
  <c r="N133" i="14"/>
  <c r="O133" i="14" s="1"/>
  <c r="M133" i="14"/>
  <c r="L133" i="14"/>
  <c r="N132" i="14"/>
  <c r="O132" i="14" s="1"/>
  <c r="M132" i="14"/>
  <c r="L132" i="14"/>
  <c r="P131" i="14"/>
  <c r="N130" i="14"/>
  <c r="M130" i="14"/>
  <c r="J130" i="14"/>
  <c r="L130" i="14" s="1"/>
  <c r="N129" i="14"/>
  <c r="O129" i="14" s="1"/>
  <c r="M129" i="14"/>
  <c r="J129" i="14"/>
  <c r="L129" i="14" s="1"/>
  <c r="N128" i="14"/>
  <c r="O128" i="14" s="1"/>
  <c r="M128" i="14"/>
  <c r="J128" i="14"/>
  <c r="L128" i="14" s="1"/>
  <c r="N127" i="14"/>
  <c r="O127" i="14" s="1"/>
  <c r="M127" i="14"/>
  <c r="J127" i="14"/>
  <c r="L127" i="14" s="1"/>
  <c r="N126" i="14"/>
  <c r="O126" i="14" s="1"/>
  <c r="J126" i="14"/>
  <c r="M126" i="14" s="1"/>
  <c r="N125" i="14"/>
  <c r="O125" i="14" s="1"/>
  <c r="M125" i="14"/>
  <c r="L125" i="14"/>
  <c r="N124" i="14"/>
  <c r="O124" i="14" s="1"/>
  <c r="M124" i="14"/>
  <c r="N123" i="14"/>
  <c r="M123" i="14"/>
  <c r="J123" i="14"/>
  <c r="L123" i="14" s="1"/>
  <c r="N122" i="14"/>
  <c r="O122" i="14" s="1"/>
  <c r="M122" i="14"/>
  <c r="L122" i="14"/>
  <c r="N121" i="14"/>
  <c r="O121" i="14" s="1"/>
  <c r="M121" i="14"/>
  <c r="L121" i="14"/>
  <c r="J121" i="14"/>
  <c r="M120" i="14"/>
  <c r="M119" i="14"/>
  <c r="N118" i="14"/>
  <c r="O118" i="14" s="1"/>
  <c r="M118" i="14"/>
  <c r="J118" i="14"/>
  <c r="L118" i="14" s="1"/>
  <c r="O117" i="14"/>
  <c r="P117" i="14" s="1"/>
  <c r="N116" i="14"/>
  <c r="O116" i="14" s="1"/>
  <c r="M116" i="14"/>
  <c r="J116" i="14"/>
  <c r="L116" i="14" s="1"/>
  <c r="M115" i="14"/>
  <c r="N115" i="14" s="1"/>
  <c r="O115" i="14" s="1"/>
  <c r="N114" i="14"/>
  <c r="O114" i="14" s="1"/>
  <c r="M114" i="14"/>
  <c r="J114" i="14"/>
  <c r="L114" i="14" s="1"/>
  <c r="M113" i="14"/>
  <c r="P113" i="14" s="1"/>
  <c r="N112" i="14"/>
  <c r="M112" i="14"/>
  <c r="J112" i="14"/>
  <c r="L112" i="14" s="1"/>
  <c r="O111" i="14"/>
  <c r="P111" i="14" s="1"/>
  <c r="N110" i="14"/>
  <c r="O110" i="14" s="1"/>
  <c r="M110" i="14"/>
  <c r="J110" i="14"/>
  <c r="L110" i="14" s="1"/>
  <c r="N109" i="14"/>
  <c r="O109" i="14" s="1"/>
  <c r="M109" i="14"/>
  <c r="L109" i="14"/>
  <c r="N108" i="14"/>
  <c r="O108" i="14" s="1"/>
  <c r="M108" i="14"/>
  <c r="L108" i="14"/>
  <c r="N107" i="14"/>
  <c r="O107" i="14" s="1"/>
  <c r="M107" i="14"/>
  <c r="J107" i="14"/>
  <c r="L107" i="14" s="1"/>
  <c r="N106" i="14"/>
  <c r="O106" i="14" s="1"/>
  <c r="M106" i="14"/>
  <c r="J106" i="14"/>
  <c r="L106" i="14" s="1"/>
  <c r="N105" i="14"/>
  <c r="O105" i="14" s="1"/>
  <c r="M105" i="14"/>
  <c r="J105" i="14"/>
  <c r="L105" i="14" s="1"/>
  <c r="N104" i="14"/>
  <c r="O104" i="14" s="1"/>
  <c r="M104" i="14"/>
  <c r="J104" i="14"/>
  <c r="L104" i="14" s="1"/>
  <c r="N103" i="14"/>
  <c r="O103" i="14" s="1"/>
  <c r="M103" i="14"/>
  <c r="L103" i="14"/>
  <c r="N102" i="14"/>
  <c r="O102" i="14" s="1"/>
  <c r="M102" i="14"/>
  <c r="L102" i="14"/>
  <c r="N101" i="14"/>
  <c r="O101" i="14" s="1"/>
  <c r="M101" i="14"/>
  <c r="J101" i="14"/>
  <c r="L101" i="14" s="1"/>
  <c r="N100" i="14"/>
  <c r="O100" i="14" s="1"/>
  <c r="M100" i="14"/>
  <c r="J100" i="14"/>
  <c r="L100" i="14" s="1"/>
  <c r="N99" i="14"/>
  <c r="O99" i="14" s="1"/>
  <c r="M99" i="14"/>
  <c r="J99" i="14"/>
  <c r="L99" i="14" s="1"/>
  <c r="N98" i="14"/>
  <c r="O98" i="14" s="1"/>
  <c r="M98" i="14"/>
  <c r="J98" i="14"/>
  <c r="L98" i="14" s="1"/>
  <c r="N97" i="14"/>
  <c r="O97" i="14" s="1"/>
  <c r="M97" i="14"/>
  <c r="J97" i="14"/>
  <c r="L97" i="14" s="1"/>
  <c r="N96" i="14"/>
  <c r="O96" i="14" s="1"/>
  <c r="M96" i="14"/>
  <c r="J96" i="14"/>
  <c r="L96" i="14" s="1"/>
  <c r="N95" i="14"/>
  <c r="O95" i="14" s="1"/>
  <c r="M95" i="14"/>
  <c r="J95" i="14"/>
  <c r="L95" i="14" s="1"/>
  <c r="N94" i="14"/>
  <c r="O94" i="14" s="1"/>
  <c r="M94" i="14"/>
  <c r="J94" i="14"/>
  <c r="L94" i="14" s="1"/>
  <c r="N93" i="14"/>
  <c r="O93" i="14" s="1"/>
  <c r="M93" i="14"/>
  <c r="J93" i="14"/>
  <c r="L93" i="14" s="1"/>
  <c r="N92" i="14"/>
  <c r="O92" i="14" s="1"/>
  <c r="M92" i="14"/>
  <c r="J92" i="14"/>
  <c r="L92" i="14" s="1"/>
  <c r="O91" i="14"/>
  <c r="P91" i="14" s="1"/>
  <c r="J91" i="14"/>
  <c r="J90" i="14"/>
  <c r="L90" i="14" s="1"/>
  <c r="P90" i="14" s="1"/>
  <c r="J89" i="14"/>
  <c r="L89" i="14" s="1"/>
  <c r="P89" i="14" s="1"/>
  <c r="N88" i="14"/>
  <c r="O88" i="14" s="1"/>
  <c r="M88" i="14"/>
  <c r="J88" i="14"/>
  <c r="M87" i="14"/>
  <c r="J87" i="14"/>
  <c r="L87" i="14" s="1"/>
  <c r="M86" i="14"/>
  <c r="N86" i="14" s="1"/>
  <c r="O86" i="14" s="1"/>
  <c r="J86" i="14"/>
  <c r="L86" i="14" s="1"/>
  <c r="M85" i="14"/>
  <c r="J85" i="14"/>
  <c r="L85" i="14" s="1"/>
  <c r="P85" i="14" s="1"/>
  <c r="M84" i="14"/>
  <c r="J84" i="14"/>
  <c r="L84" i="14" s="1"/>
  <c r="M83" i="14"/>
  <c r="N83" i="14" s="1"/>
  <c r="O83" i="14" s="1"/>
  <c r="J83" i="14"/>
  <c r="L83" i="14" s="1"/>
  <c r="M82" i="14"/>
  <c r="J82" i="14"/>
  <c r="L82" i="14" s="1"/>
  <c r="M81" i="14"/>
  <c r="J81" i="14"/>
  <c r="L81" i="14" s="1"/>
  <c r="M80" i="14"/>
  <c r="J80" i="14"/>
  <c r="L80" i="14" s="1"/>
  <c r="M79" i="14"/>
  <c r="P79" i="14" s="1"/>
  <c r="J79" i="14"/>
  <c r="J78" i="14"/>
  <c r="J77" i="14"/>
  <c r="J76" i="14"/>
  <c r="L76" i="14" s="1"/>
  <c r="P76" i="14" s="1"/>
  <c r="M75" i="14"/>
  <c r="N75" i="14" s="1"/>
  <c r="J75" i="14"/>
  <c r="M74" i="14"/>
  <c r="J74" i="14"/>
  <c r="L74" i="14" s="1"/>
  <c r="N71" i="14"/>
  <c r="O71" i="14" s="1"/>
  <c r="P71" i="14" s="1"/>
  <c r="L71" i="14"/>
  <c r="N70" i="14"/>
  <c r="O70" i="14" s="1"/>
  <c r="L70" i="14"/>
  <c r="M69" i="14"/>
  <c r="N69" i="14" s="1"/>
  <c r="O69" i="14" s="1"/>
  <c r="L69" i="14"/>
  <c r="M68" i="14"/>
  <c r="L68" i="14"/>
  <c r="M67" i="14"/>
  <c r="L67" i="14"/>
  <c r="M66" i="14"/>
  <c r="L66" i="14"/>
  <c r="P66" i="14" s="1"/>
  <c r="M65" i="14"/>
  <c r="L65" i="14"/>
  <c r="M64" i="14"/>
  <c r="L64" i="14"/>
  <c r="M63" i="14"/>
  <c r="L63" i="14"/>
  <c r="M62" i="14"/>
  <c r="L62" i="14"/>
  <c r="M61" i="14"/>
  <c r="L61" i="14"/>
  <c r="M60" i="14"/>
  <c r="L60" i="14"/>
  <c r="M59" i="14"/>
  <c r="L59" i="14"/>
  <c r="M58" i="14"/>
  <c r="L58" i="14"/>
  <c r="M57" i="14"/>
  <c r="L57" i="14"/>
  <c r="L56" i="14"/>
  <c r="P56" i="14" s="1"/>
  <c r="M55" i="14"/>
  <c r="L55" i="14"/>
  <c r="M54" i="14"/>
  <c r="L54" i="14"/>
  <c r="M53" i="14"/>
  <c r="L53" i="14"/>
  <c r="L52" i="14"/>
  <c r="P52" i="14" s="1"/>
  <c r="O51" i="14"/>
  <c r="M51" i="14"/>
  <c r="L51" i="14"/>
  <c r="N50" i="14"/>
  <c r="O50" i="14" s="1"/>
  <c r="L50" i="14"/>
  <c r="N49" i="14"/>
  <c r="O49" i="14" s="1"/>
  <c r="M49" i="14"/>
  <c r="L49" i="14"/>
  <c r="O48" i="14"/>
  <c r="L48" i="14"/>
  <c r="M47" i="14"/>
  <c r="L47" i="14"/>
  <c r="N46" i="14"/>
  <c r="M46" i="14"/>
  <c r="L46" i="14"/>
  <c r="N45" i="14"/>
  <c r="M45" i="14"/>
  <c r="L45" i="14"/>
  <c r="N44" i="14"/>
  <c r="L44" i="14"/>
  <c r="M43" i="14"/>
  <c r="L43" i="14"/>
  <c r="P42" i="14"/>
  <c r="L42" i="14"/>
  <c r="M41" i="14"/>
  <c r="L41" i="14"/>
  <c r="M40" i="14"/>
  <c r="L40" i="14"/>
  <c r="M39" i="14"/>
  <c r="L39" i="14"/>
  <c r="P38" i="14"/>
  <c r="L38" i="14"/>
  <c r="M37" i="14"/>
  <c r="L37" i="14"/>
  <c r="L36" i="14"/>
  <c r="P36" i="14" s="1"/>
  <c r="M35" i="14"/>
  <c r="L35" i="14"/>
  <c r="M34" i="14"/>
  <c r="L34" i="14"/>
  <c r="M33" i="14"/>
  <c r="L33" i="14"/>
  <c r="L32" i="14"/>
  <c r="P32" i="14" s="1"/>
  <c r="M31" i="14"/>
  <c r="L31" i="14"/>
  <c r="L30" i="14"/>
  <c r="P30" i="14" s="1"/>
  <c r="M29" i="14"/>
  <c r="L29" i="14"/>
  <c r="L28" i="14"/>
  <c r="P28" i="14" s="1"/>
  <c r="M27" i="14"/>
  <c r="L27" i="14"/>
  <c r="M26" i="14"/>
  <c r="L26" i="14"/>
  <c r="M25" i="14"/>
  <c r="L25" i="14"/>
  <c r="L24" i="14"/>
  <c r="P24" i="14" s="1"/>
  <c r="M23" i="14"/>
  <c r="L23" i="14"/>
  <c r="M22" i="14"/>
  <c r="L22" i="14"/>
  <c r="M21" i="14"/>
  <c r="L21" i="14"/>
  <c r="L20" i="14"/>
  <c r="P20" i="14" s="1"/>
  <c r="M19" i="14"/>
  <c r="L19" i="14"/>
  <c r="M18" i="14"/>
  <c r="L18" i="14"/>
  <c r="M17" i="14"/>
  <c r="L17" i="14"/>
  <c r="M16" i="14"/>
  <c r="L16" i="14"/>
  <c r="M15" i="14"/>
  <c r="N15" i="14" s="1"/>
  <c r="J15" i="14"/>
  <c r="L15" i="14" s="1"/>
  <c r="M14" i="14"/>
  <c r="J14" i="14"/>
  <c r="L14" i="14" s="1"/>
  <c r="M13" i="14"/>
  <c r="J13" i="14"/>
  <c r="L13" i="14" s="1"/>
  <c r="M12" i="14"/>
  <c r="J12" i="14"/>
  <c r="L12" i="14" s="1"/>
  <c r="P12" i="14" s="1"/>
  <c r="M11" i="14"/>
  <c r="J11" i="14"/>
  <c r="L11" i="14" s="1"/>
  <c r="N10" i="14"/>
  <c r="O10" i="14" s="1"/>
  <c r="M10" i="14"/>
  <c r="J10" i="14"/>
  <c r="L10" i="14" s="1"/>
  <c r="N9" i="14"/>
  <c r="M9" i="14"/>
  <c r="J9" i="14"/>
  <c r="L9" i="14" s="1"/>
  <c r="P9" i="14" s="1"/>
  <c r="M8" i="14"/>
  <c r="J8" i="14"/>
  <c r="L8" i="14" s="1"/>
  <c r="M7" i="14"/>
  <c r="J7" i="14"/>
  <c r="L7" i="14" s="1"/>
  <c r="P7" i="14" s="1"/>
  <c r="M6" i="14"/>
  <c r="J6" i="14"/>
  <c r="L6" i="14" s="1"/>
  <c r="M5" i="14"/>
  <c r="J5" i="14"/>
  <c r="L5" i="14" s="1"/>
  <c r="P5" i="14" s="1"/>
  <c r="M4" i="14"/>
  <c r="J4" i="14"/>
  <c r="L4" i="14" s="1"/>
  <c r="M3" i="14"/>
  <c r="J3" i="14"/>
  <c r="L3" i="14" s="1"/>
  <c r="P3" i="14" s="1"/>
  <c r="M2" i="14"/>
  <c r="J2" i="14"/>
  <c r="L2" i="14" s="1"/>
  <c r="F41" i="8"/>
  <c r="F44" i="8" s="1"/>
  <c r="D41" i="8"/>
  <c r="D44" i="8" s="1"/>
  <c r="D27" i="4"/>
  <c r="O15" i="14" l="1"/>
  <c r="O181" i="14" s="1"/>
  <c r="P4" i="14"/>
  <c r="P8" i="14"/>
  <c r="P80" i="14"/>
  <c r="P82" i="14"/>
  <c r="P87" i="14"/>
  <c r="L78" i="14"/>
  <c r="M78" i="14"/>
  <c r="P27" i="14"/>
  <c r="P62" i="14"/>
  <c r="P81" i="14"/>
  <c r="D23" i="13"/>
  <c r="F23" i="13"/>
  <c r="P50" i="14"/>
  <c r="L77" i="14"/>
  <c r="L181" i="14" s="1"/>
  <c r="M77" i="14"/>
  <c r="M181" i="14" s="1"/>
  <c r="P121" i="14"/>
  <c r="P122" i="14"/>
  <c r="P37" i="14"/>
  <c r="P21" i="14"/>
  <c r="P51" i="14"/>
  <c r="P33" i="14"/>
  <c r="P54" i="14"/>
  <c r="L138" i="14"/>
  <c r="P138" i="14" s="1"/>
  <c r="P16" i="14"/>
  <c r="P18" i="14"/>
  <c r="P22" i="14"/>
  <c r="P26" i="14"/>
  <c r="P40" i="14"/>
  <c r="P48" i="14"/>
  <c r="P55" i="14"/>
  <c r="P70" i="14"/>
  <c r="P84" i="14"/>
  <c r="P110" i="14"/>
  <c r="L126" i="14"/>
  <c r="P126" i="14" s="1"/>
  <c r="M134" i="14"/>
  <c r="P134" i="14" s="1"/>
  <c r="P159" i="14"/>
  <c r="P17" i="14"/>
  <c r="P2" i="14"/>
  <c r="P6" i="14"/>
  <c r="P11" i="14"/>
  <c r="P13" i="14"/>
  <c r="P34" i="14"/>
  <c r="P58" i="14"/>
  <c r="P112" i="14"/>
  <c r="P142" i="14"/>
  <c r="P147" i="14"/>
  <c r="P46" i="14"/>
  <c r="P53" i="14"/>
  <c r="P60" i="14"/>
  <c r="P65" i="14"/>
  <c r="P67" i="14"/>
  <c r="P95" i="14"/>
  <c r="P129" i="14"/>
  <c r="P140" i="14"/>
  <c r="P156" i="14"/>
  <c r="P166" i="14"/>
  <c r="P39" i="14"/>
  <c r="P41" i="14"/>
  <c r="P47" i="14"/>
  <c r="P101" i="14"/>
  <c r="P125" i="14"/>
  <c r="P127" i="14"/>
  <c r="P128" i="14"/>
  <c r="P133" i="14"/>
  <c r="P169" i="14"/>
  <c r="P14" i="14"/>
  <c r="P35" i="14"/>
  <c r="P94" i="14"/>
  <c r="P99" i="14"/>
  <c r="P109" i="14"/>
  <c r="P165" i="14"/>
  <c r="P10" i="14"/>
  <c r="P29" i="14"/>
  <c r="P45" i="14"/>
  <c r="P57" i="14"/>
  <c r="P61" i="14"/>
  <c r="P63" i="14"/>
  <c r="P92" i="14"/>
  <c r="P93" i="14"/>
  <c r="P96" i="14"/>
  <c r="P104" i="14"/>
  <c r="P132" i="14"/>
  <c r="P154" i="14"/>
  <c r="P160" i="14"/>
  <c r="P49" i="14"/>
  <c r="P86" i="14"/>
  <c r="P114" i="14"/>
  <c r="P153" i="14"/>
  <c r="P23" i="14"/>
  <c r="P25" i="14"/>
  <c r="P64" i="14"/>
  <c r="P74" i="14"/>
  <c r="P102" i="14"/>
  <c r="P103" i="14"/>
  <c r="P136" i="14"/>
  <c r="P143" i="14"/>
  <c r="P150" i="14"/>
  <c r="P152" i="14"/>
  <c r="P161" i="14"/>
  <c r="P107" i="14"/>
  <c r="P98" i="14"/>
  <c r="P100" i="14"/>
  <c r="P105" i="14"/>
  <c r="P139" i="14"/>
  <c r="P141" i="14"/>
  <c r="P157" i="14"/>
  <c r="P108" i="14"/>
  <c r="O75" i="14"/>
  <c r="P75" i="14" s="1"/>
  <c r="P88" i="14"/>
  <c r="P97" i="14"/>
  <c r="P106" i="14"/>
  <c r="P118" i="14"/>
  <c r="O123" i="14"/>
  <c r="P124" i="14"/>
  <c r="P168" i="14"/>
  <c r="O170" i="14"/>
  <c r="P170" i="14" s="1"/>
  <c r="P69" i="14"/>
  <c r="P158" i="14"/>
  <c r="P162" i="14"/>
  <c r="P163" i="14"/>
  <c r="P44" i="14"/>
  <c r="N68" i="14"/>
  <c r="O68" i="14" s="1"/>
  <c r="P83" i="14"/>
  <c r="N120" i="14"/>
  <c r="O120" i="14" s="1"/>
  <c r="L137" i="14"/>
  <c r="P137" i="14" s="1"/>
  <c r="P164" i="14"/>
  <c r="P167" i="14"/>
  <c r="P115" i="14"/>
  <c r="N119" i="14"/>
  <c r="O119" i="14" s="1"/>
  <c r="P155" i="14"/>
  <c r="P19" i="14"/>
  <c r="P31" i="14"/>
  <c r="P43" i="14"/>
  <c r="P59" i="14"/>
  <c r="P116" i="14"/>
  <c r="P130" i="14"/>
  <c r="L135" i="14"/>
  <c r="P135" i="14" s="1"/>
  <c r="P151" i="14"/>
  <c r="P171" i="14"/>
  <c r="P172" i="14"/>
  <c r="J22" i="13"/>
  <c r="J21" i="13"/>
  <c r="J20" i="13"/>
  <c r="J19" i="13"/>
  <c r="A14" i="13"/>
  <c r="A15" i="13" s="1"/>
  <c r="F24" i="9"/>
  <c r="P15" i="14" l="1"/>
  <c r="N181" i="14"/>
  <c r="P77" i="14"/>
  <c r="P78" i="14"/>
  <c r="M179" i="14"/>
  <c r="M178" i="14"/>
  <c r="N179" i="14"/>
  <c r="L179" i="14"/>
  <c r="O178" i="14"/>
  <c r="P120" i="14"/>
  <c r="L178" i="14"/>
  <c r="J23" i="13"/>
  <c r="P119" i="14"/>
  <c r="N178" i="14"/>
  <c r="O179" i="14"/>
  <c r="P123" i="14"/>
  <c r="P68" i="14"/>
  <c r="H24" i="9"/>
  <c r="J23" i="9"/>
  <c r="J22" i="9"/>
  <c r="J21" i="9"/>
  <c r="J20" i="9"/>
  <c r="A14" i="9"/>
  <c r="A15" i="9" s="1"/>
  <c r="J43" i="8"/>
  <c r="J42" i="8"/>
  <c r="J41" i="8"/>
  <c r="J40" i="8"/>
  <c r="J44" i="8" s="1"/>
  <c r="A15" i="8"/>
  <c r="A16" i="8" s="1"/>
  <c r="J41" i="6"/>
  <c r="J40" i="6"/>
  <c r="J38" i="6"/>
  <c r="A15" i="6"/>
  <c r="A16" i="6" s="1"/>
  <c r="A17" i="6" s="1"/>
  <c r="A20" i="6" s="1"/>
  <c r="P178" i="14" l="1"/>
  <c r="P181" i="14"/>
  <c r="P183" i="14" s="1"/>
  <c r="P179" i="14"/>
  <c r="J24" i="9"/>
  <c r="A14" i="4" l="1"/>
  <c r="A15" i="4" s="1"/>
  <c r="A16" i="4" s="1"/>
  <c r="A17" i="4" s="1"/>
  <c r="A18" i="4" s="1"/>
  <c r="A19" i="4" s="1"/>
  <c r="A20" i="4" s="1"/>
  <c r="H27" i="4"/>
  <c r="F27" i="4"/>
  <c r="J26" i="4"/>
  <c r="J25" i="4"/>
  <c r="J24" i="4"/>
  <c r="J27" i="4" l="1"/>
  <c r="A14" i="1" l="1"/>
  <c r="A15" i="1" s="1"/>
  <c r="A16" i="1" s="1"/>
</calcChain>
</file>

<file path=xl/comments1.xml><?xml version="1.0" encoding="utf-8"?>
<comments xmlns="http://schemas.openxmlformats.org/spreadsheetml/2006/main">
  <authors>
    <author>JOVANNY ESTRADA HERNANDEZ</author>
    <author>Jeovani.Estrada</author>
    <author>Gloria.Granda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La columna deberá sumar 100%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De acuerdo con los tiempos de inicio y finalización de los componentes (etapas o fases) del proyecto, registre el porcentaje estimado de ejecución para cada una de ellas
Ejemplo: si una etapa dura 3 meses, identifíquelos en estas columnas y en cada mes registre un porcentaje de ejecución; tenga en cuenta que la suma de de las ejecuciones (horizontal) de la etapa deberá ser de 100%</t>
        </r>
      </text>
    </comment>
    <comment ref="A21" authorId="2" shapeId="0">
      <text>
        <r>
          <rPr>
            <sz val="9"/>
            <color indexed="81"/>
            <rFont val="Tahoma"/>
            <family val="2"/>
          </rPr>
          <t>Por ejemplo:
$5.000.000 se registran como $5
$500.000 se registran como $0,5
$50.000 se registran como $0,05</t>
        </r>
      </text>
    </comment>
  </commentList>
</comments>
</file>

<file path=xl/comments2.xml><?xml version="1.0" encoding="utf-8"?>
<comments xmlns="http://schemas.openxmlformats.org/spreadsheetml/2006/main">
  <authors>
    <author>JOVANNY ESTRADA HERNANDEZ</author>
    <author>Jeovani.Estrada</author>
    <author>Gloria.Granda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La columna deberá sumar 100%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De acuerdo con los tiempos de inicio y finalización de los componentes (etapas o fases) del proyecto, registre el porcentaje estimado de ejecución para cada una de ellas
Ejemplo: si una etapa dura 3 meses, identifíquelos en estas columnas y en cada mes registre un porcentaje de ejecución; tenga en cuenta que la suma de de las ejecuciones (horizontal) de la etapa deberá ser de 100%</t>
        </r>
      </text>
    </comment>
    <comment ref="A17" authorId="2" shapeId="0">
      <text>
        <r>
          <rPr>
            <sz val="9"/>
            <color indexed="81"/>
            <rFont val="Tahoma"/>
            <family val="2"/>
          </rPr>
          <t>Por ejemplo:
$5.000.000 se registran como $5
$500.000 se registran como $0,5
$50.000 se registran como $0,05</t>
        </r>
      </text>
    </comment>
  </commentList>
</comments>
</file>

<file path=xl/comments3.xml><?xml version="1.0" encoding="utf-8"?>
<comments xmlns="http://schemas.openxmlformats.org/spreadsheetml/2006/main">
  <authors>
    <author>JOVANNY ESTRADA HERNANDEZ</author>
    <author>Jeovani.Estrada</author>
    <author>Gloria.Granda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La columna deberá sumar 100%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De acuerdo con los tiempos de inicio y finalización de los componentes (etapas o fases) del proyecto, registre el porcentaje estimado de ejecución para cada una de ellas
Ejemplo: si una etapa dura 3 meses, identifíquelos en estas columnas y en cada mes registre un porcentaje de ejecución; tenga en cuenta que la suma de de las ejecuciones (horizontal) de la etapa deberá ser de 100%</t>
        </r>
      </text>
    </comment>
    <comment ref="A36" authorId="2" shapeId="0">
      <text>
        <r>
          <rPr>
            <sz val="9"/>
            <color indexed="81"/>
            <rFont val="Tahoma"/>
            <family val="2"/>
          </rPr>
          <t>Por ejemplo:
$5.000.000 se registran como $5
$500.000 se registran como $0,5
$50.000 se registran como $0,05</t>
        </r>
      </text>
    </comment>
  </commentList>
</comments>
</file>

<file path=xl/comments4.xml><?xml version="1.0" encoding="utf-8"?>
<comments xmlns="http://schemas.openxmlformats.org/spreadsheetml/2006/main">
  <authors>
    <author>JOVANNY ESTRADA HERNANDEZ</author>
    <author>Jeovani.Estrada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La columna deberá sumar 100%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De acuerdo con los tiempos de inicio y finalización de los componentes (etapas o fases) del proyecto, registre el porcentaje estimado de ejecución para cada una de ellas
Ejemplo: si una etapa dura 3 meses, identifíquelos en estas columnas y en cada mes registre un porcentaje de ejecución; tenga en cuenta que la suma de de las ejecuciones (horizontal) de la etapa deberá ser de 100%</t>
        </r>
      </text>
    </comment>
  </commentList>
</comments>
</file>

<file path=xl/comments5.xml><?xml version="1.0" encoding="utf-8"?>
<comments xmlns="http://schemas.openxmlformats.org/spreadsheetml/2006/main">
  <authors>
    <author>Jeovani.Estrada</author>
    <author>Gloria.Granda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De acuerdo con los tiempos de inicio y finalización de los componentes (etapas o fases) del proyecto, registre el porcentaje estimado de ejecución para cada una de ellas
Ejemplo: si una etapa dura 3 meses, identifíquelos en estas columnas y en cada mes registre un porcentaje de ejecución; tenga en cuenta que la suma de de las ejecuciones (horizontal) de la etapa deberá ser de 100%</t>
        </r>
      </text>
    </comment>
    <comment ref="A18" authorId="1" shapeId="0">
      <text>
        <r>
          <rPr>
            <sz val="9"/>
            <color indexed="81"/>
            <rFont val="Tahoma"/>
            <family val="2"/>
          </rPr>
          <t>Por ejemplo:
$5.000.000 se registran como $5
$500.000 se registran como $0,5
$50.000 se registran como $0,05</t>
        </r>
      </text>
    </comment>
  </commentList>
</comments>
</file>

<file path=xl/comments6.xml><?xml version="1.0" encoding="utf-8"?>
<comments xmlns="http://schemas.openxmlformats.org/spreadsheetml/2006/main">
  <authors>
    <author>JOVANNY ESTRADA HERNANDEZ</author>
    <author>Jeovani.Estrada</author>
    <author>Gloria.Granda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La columna deberá sumar 100%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De acuerdo con los tiempos de inicio y finalización de los componentes (etapas o fases) del proyecto, registre el porcentaje estimado de ejecución para cada una de ellas
Ejemplo: si una etapa dura 3 meses, identifíquelos en estas columnas y en cada mes registre un porcentaje de ejecución; tenga en cuenta que la suma de de las ejecuciones (horizontal) de la etapa deberá ser de 100%</t>
        </r>
      </text>
    </comment>
    <comment ref="A17" authorId="2" shapeId="0">
      <text>
        <r>
          <rPr>
            <sz val="9"/>
            <color indexed="81"/>
            <rFont val="Tahoma"/>
            <family val="2"/>
          </rPr>
          <t>Por ejemplo:
$5.000.000 se registran como $5
$500.000 se registran como $0,5
$50.000 se registran como $0,05</t>
        </r>
      </text>
    </comment>
  </commentList>
</comments>
</file>

<file path=xl/sharedStrings.xml><?xml version="1.0" encoding="utf-8"?>
<sst xmlns="http://schemas.openxmlformats.org/spreadsheetml/2006/main" count="1839" uniqueCount="321">
  <si>
    <t>Perfilamiento de proyectos</t>
  </si>
  <si>
    <t>Nombre del proyecto</t>
  </si>
  <si>
    <t>#</t>
  </si>
  <si>
    <t>Principal producto o entregable</t>
  </si>
  <si>
    <t>Inicia</t>
  </si>
  <si>
    <t>Finaliza</t>
  </si>
  <si>
    <t>Mes</t>
  </si>
  <si>
    <t>Año</t>
  </si>
  <si>
    <t>Año 2018</t>
  </si>
  <si>
    <t>Año 2019</t>
  </si>
  <si>
    <t>Año 2020</t>
  </si>
  <si>
    <t>Año 2021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</si>
  <si>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</si>
  <si>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</si>
  <si>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</si>
  <si>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</si>
  <si>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</si>
  <si>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</si>
  <si>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</si>
  <si>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</si>
  <si>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</si>
  <si>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</si>
  <si>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</si>
  <si>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</si>
  <si>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Fuentes de financiación</t>
  </si>
  <si>
    <t>2020-21</t>
  </si>
  <si>
    <t xml:space="preserve">Total </t>
  </si>
  <si>
    <t>Fondos Especiales
(Recursos propios)</t>
  </si>
  <si>
    <t>Totales</t>
  </si>
  <si>
    <t>Fondos Generales</t>
  </si>
  <si>
    <t>Nombre de la unidad académica</t>
  </si>
  <si>
    <t>Formulación del plan de acción de la unidad académica</t>
  </si>
  <si>
    <t>Responsable del proyecto</t>
  </si>
  <si>
    <t>Fondos externos a la Universidad
(Cuál?)</t>
  </si>
  <si>
    <t>Presupuesto de inversión del proyecto por origen de los recursos (registre las cifras en millones de pesos)</t>
  </si>
  <si>
    <t>Reto de la unidad académica</t>
  </si>
  <si>
    <t>% de importancia del componente</t>
  </si>
  <si>
    <t>Componentes
(Fases o etapas)</t>
  </si>
  <si>
    <r>
      <rPr>
        <sz val="12"/>
        <color indexed="8"/>
        <rFont val="Calibri"/>
        <family val="2"/>
        <scheme val="minor"/>
      </rPr>
      <t>Descripción</t>
    </r>
    <r>
      <rPr>
        <b/>
        <sz val="12"/>
        <color indexed="8"/>
        <rFont val="Calibri"/>
        <family val="2"/>
        <scheme val="minor"/>
      </rPr>
      <t xml:space="preserve">
</t>
    </r>
    <r>
      <rPr>
        <sz val="12"/>
        <color indexed="8"/>
        <rFont val="Calibri"/>
        <family val="2"/>
        <scheme val="minor"/>
      </rPr>
      <t>(¿En qué consiste el proyecto?)</t>
    </r>
  </si>
  <si>
    <t>Fondos de la Universidad (Estampilla)</t>
  </si>
  <si>
    <t>Nota: utilice el archivo auxiliar de costos como apoyo</t>
  </si>
  <si>
    <t>Trimestre 1</t>
  </si>
  <si>
    <t>Trimestre 2</t>
  </si>
  <si>
    <t>Trimestre 3</t>
  </si>
  <si>
    <t>Trimestre 4</t>
  </si>
  <si>
    <t>Distribución de porcentajes de ejecución por componente y período</t>
  </si>
  <si>
    <t xml:space="preserve">Consolidación de la investigación y extensión en la Facultad
</t>
  </si>
  <si>
    <t xml:space="preserve">Creación, apropiación y difusión del conocimiento.
</t>
  </si>
  <si>
    <t>Decano</t>
  </si>
  <si>
    <t xml:space="preserve">Consolidación de los semilleros de investigación de la Facultad
</t>
  </si>
  <si>
    <t xml:space="preserve">Estímulos para la investigación formativa en pregrado
</t>
  </si>
  <si>
    <t xml:space="preserve">Creación del Fondo Editorial de la Facultad
</t>
  </si>
  <si>
    <t xml:space="preserve">Apoyo para la permanencia y difusión de las revistas académicas de la Facultad
</t>
  </si>
  <si>
    <t xml:space="preserve">Proyección y fortalecimiento de la oferta de educación continua y de servicios de extensión
</t>
  </si>
  <si>
    <t xml:space="preserve">Fortalecimiento del programa Hacemos memoria (convenio de cooperación entre la Facultad de Comunicaciones y la Deutsche Welle Akademie)
</t>
  </si>
  <si>
    <t xml:space="preserve">Consolidación del proyecto Memorias y Archivos Literarios en los territorios
</t>
  </si>
  <si>
    <t xml:space="preserve">Desarrollo de la propuesta académica para el estudio y la conservación de las lenguas y culturas ancestrales del territorio nacional
</t>
  </si>
  <si>
    <t>Consolidación de los grupos de investigación de la Facultad</t>
  </si>
  <si>
    <t>Convocatorias de apoyo a trabajos de grado y pequeños proyectos de investigación</t>
  </si>
  <si>
    <t>Creación Fondo Editorial</t>
  </si>
  <si>
    <t xml:space="preserve">Nuevas propuestas y proyectos de educación no formal y diplomas </t>
  </si>
  <si>
    <t>Nuevas alianzas de intercambio y movilidad académica</t>
  </si>
  <si>
    <t>Fortalecimiento de los servicios de Extensión</t>
  </si>
  <si>
    <t>Nuevos semilleros de investigación y apoyo a los existentes para contribuir con el desarrollo de sus actividades y consolidación</t>
  </si>
  <si>
    <t>Creación de la cátedra Pensar la Paz desde la Comunicación, el Lenguaje y la Literatura</t>
  </si>
  <si>
    <t>Ejecución del contrato con la Deutsche Welle Akademie</t>
  </si>
  <si>
    <t>Implementación de la cátedra Pensar la Paz</t>
  </si>
  <si>
    <t>Fortalecimiento de la propuesta de conservación de las lenguas y culturas ancestrales</t>
  </si>
  <si>
    <t>Publicación de libros, realización de eventos regionales, blogs y formalización del proyecto ante el SUI y la Dirección Nacional de Derechos de autor.</t>
  </si>
  <si>
    <t xml:space="preserve">Pregrado Filología Hispánica </t>
  </si>
  <si>
    <t xml:space="preserve">Plan de mejoramiento como producto de la autoevaluación y en la relación con la innovación curricular.
</t>
  </si>
  <si>
    <t xml:space="preserve">Acreditación de alta calidad </t>
  </si>
  <si>
    <t>Reactivación de la Ruta Curricular Especial de Doble Titulación entre los programas de Licenciatura en Educación Básica con énfasis en Humanidades, Lengua Castellana de la Facultad de Educación y Filología Hispánica de la Facultad de Comunicaciones</t>
  </si>
  <si>
    <t>Ampliación del lugar de desarrollo del programa Filología Hispánica a la Seccional de Oriente (El Carmen de Viboral y Sonsón)</t>
  </si>
  <si>
    <t>Pregrado de Comunicaciones</t>
  </si>
  <si>
    <t xml:space="preserve">Innovación curricular </t>
  </si>
  <si>
    <t xml:space="preserve">Reacreditación de alta calidad </t>
  </si>
  <si>
    <t>Pregrado en Comunicación Audiovisual y Multimedial</t>
  </si>
  <si>
    <t xml:space="preserve">Autoevaluación </t>
  </si>
  <si>
    <t>Pregrado de Periodismo</t>
  </si>
  <si>
    <t xml:space="preserve">Renovación del registro calificado </t>
  </si>
  <si>
    <t xml:space="preserve">Comunicación Social - Periodismo </t>
  </si>
  <si>
    <t xml:space="preserve">Innovación curricular 
</t>
  </si>
  <si>
    <t>Autoevaluación interna</t>
  </si>
  <si>
    <t>Renovación del registro calificado o creación de nuevo registro para otra seccional</t>
  </si>
  <si>
    <t xml:space="preserve">Fortalecimiento de la cultura curricular y creación y estudio de nuevos programas
 para el desarrollo académico de la Facultad de Comunicaciones
</t>
  </si>
  <si>
    <t xml:space="preserve">Innovación curricular, acreditación de calidad y ampliación de cobertura académica en pregrado.
</t>
  </si>
  <si>
    <t>Fomento de la cultura curricular que propenda por el seguimiento a los procesos de formación, por la innovación y acreditación de calidad de los programas de pregrado de la Facultad de Comunicaciones.</t>
  </si>
  <si>
    <t>Documento de doble titulación</t>
  </si>
  <si>
    <t xml:space="preserve">Plan de formación del pregrado Filología Hispánica
</t>
  </si>
  <si>
    <t>Acreditación de alta calidad</t>
  </si>
  <si>
    <t>Resolución del MEN que aprueba la ampliación del lugar de desarrollo y puesta en marcha del programa en Oriente</t>
  </si>
  <si>
    <t>Propuesta e implementación para la innovación curricular</t>
  </si>
  <si>
    <t>Resolución del MEN que reacredita al programa</t>
  </si>
  <si>
    <t>Propuesta e implementación de la innovación curricular en el pregrado de CAM</t>
  </si>
  <si>
    <t>Documento maestro de autoevaluación del programa</t>
  </si>
  <si>
    <t>Resolución del MEN que acredita al programa</t>
  </si>
  <si>
    <t>Plan de formación del pregrado Periodismo</t>
  </si>
  <si>
    <t>Documento maestro de renovación de registro calificado y Resolución del MEN</t>
  </si>
  <si>
    <t>Propuesta e implementación de la innovación curricular en el pregrado de Comunicación Social -Periodismo</t>
  </si>
  <si>
    <t>Documento maestro de renovación o creación de registro calificado, según el caso, y Resolución del MEN</t>
  </si>
  <si>
    <t xml:space="preserve">Innovación curricular, acreditación de calidad y ampliación de cobertura académica en posgrado
</t>
  </si>
  <si>
    <t>Fomento de la cultura curricular que propenda por el seguimiento a los procesos de formación, por la innovación y acreditación de calidad de los programas de posgrado de la Facultad de Comunicaciones.</t>
  </si>
  <si>
    <t>Doctorado en Literatura</t>
  </si>
  <si>
    <t>Innovación curricular</t>
  </si>
  <si>
    <t>Maestría en Comunicaciones</t>
  </si>
  <si>
    <t>Plan de mejoramiento como producto de la autoevaluación interna</t>
  </si>
  <si>
    <t>Maestría en Creación y Estudios Audiovisuales</t>
  </si>
  <si>
    <t>Maestría en Literatura</t>
  </si>
  <si>
    <t>Creación de la Maestría en Periodismo</t>
  </si>
  <si>
    <t>Aprobación por parte del Consejo Académico</t>
  </si>
  <si>
    <t>Aprobación por parte del MEN</t>
  </si>
  <si>
    <t>Maestría en Lingüística</t>
  </si>
  <si>
    <t xml:space="preserve">Elaboración del diagnóstico y documento maestro para la creación del Doctorado en Comunicaciones </t>
  </si>
  <si>
    <t>Elaboración del diagnóstico y del Documento Maestro para la extensión de la Maestría en Lingüística en la seccional de Urabá</t>
  </si>
  <si>
    <t>Elaboración del diagnóstico y del Documento Maestro para la creación de la Especialización en Literatura y Arte en Medellín y en varias seccionales de la Universidad</t>
  </si>
  <si>
    <t>Seguimiento a la implementación del proceso de evaluación del plan de formación del Doctorado en Literatura</t>
  </si>
  <si>
    <t>Seguimiento a la implementación del proceso de autoevaluación del plan de formación de la Maestría en Comunicaciones</t>
  </si>
  <si>
    <t xml:space="preserve">Seguimiento a la implementación del proceso de evaluación del plan de formación de la Maestría en Literatura </t>
  </si>
  <si>
    <t>Documento maestro de creación del programa y aprobación del Consejo Académico</t>
  </si>
  <si>
    <t>Resolución del MEN que aprueba el programa</t>
  </si>
  <si>
    <t>Documento de diagnóstico de creación del programa</t>
  </si>
  <si>
    <t>Documentos de diagnóstico y de creación del programa</t>
  </si>
  <si>
    <t>Implementación de la propuesta técnica para la adopción de un modelo de trabajo por procesos en la Facultad, con el fin de mejorar la gestión administrativa, la capacidad instalada y la infraestructura, aportando así al desarrollo de las competencias del ser, el saber y el hacer en concordancia con las necesidades de bienestar y las condiciones normativas académicas, sociales y culturales, y enmarcadas en el trabajo en equipo, apertura al cambio, el sentido de lo colectivo y la corresponsabilidad</t>
  </si>
  <si>
    <t>Remodelación de la infraestructura física del núcleo central del bloque 10 para la integración de los laboratorios de docencia, investigación y extensión</t>
  </si>
  <si>
    <t xml:space="preserve">Adecuación inmobiliaria de las oficinas administrativas del bloque 12 y adquisición y renovación tecnológica con fines misionales
</t>
  </si>
  <si>
    <t xml:space="preserve">Promoción de una estrategia de transparencia, optimización y equidad en el manejo y gestión de los recursos públicos de la Facultad
</t>
  </si>
  <si>
    <t>Reportes de avance de la obra para la remodelación del bloque 10</t>
  </si>
  <si>
    <t>Reportes de avance de la obra para la adecuación inmobiliaria y renovación tecnológica</t>
  </si>
  <si>
    <t xml:space="preserve">Seguimiento a las acciones de austeridad </t>
  </si>
  <si>
    <t>Doctorado en Lingüística </t>
  </si>
  <si>
    <t>Autoevaluación  interna</t>
  </si>
  <si>
    <t>Centro de costos</t>
  </si>
  <si>
    <t>Clase Centro de Costos</t>
  </si>
  <si>
    <t>Iniciativa</t>
  </si>
  <si>
    <t>Actividad</t>
  </si>
  <si>
    <t>Programa</t>
  </si>
  <si>
    <t>Rubro</t>
  </si>
  <si>
    <t>Detalle</t>
  </si>
  <si>
    <t xml:space="preserve">Fecha de inicio </t>
  </si>
  <si>
    <t>Fecha de terminación</t>
  </si>
  <si>
    <t>valor unitario</t>
  </si>
  <si>
    <t>unidades semestre</t>
  </si>
  <si>
    <t>totales año 2018-abril a diciembre</t>
  </si>
  <si>
    <t>totales año 2019</t>
  </si>
  <si>
    <t>totales año 2020</t>
  </si>
  <si>
    <t>totales año 2021</t>
  </si>
  <si>
    <t>totales centro de costos especiales</t>
  </si>
  <si>
    <t>Fondos generales</t>
  </si>
  <si>
    <t xml:space="preserve">Plan de mejoramiento a la autoevaluación e innovación curricular </t>
  </si>
  <si>
    <t>Filología Hispánica</t>
  </si>
  <si>
    <t>Personal</t>
  </si>
  <si>
    <t>profesora Adriana Arboleda</t>
  </si>
  <si>
    <t>profesor Edissón Mora</t>
  </si>
  <si>
    <t>Comunicaciones</t>
  </si>
  <si>
    <t>profesora María Helena Vivas</t>
  </si>
  <si>
    <t>profesor Ernesto Correa</t>
  </si>
  <si>
    <t>Periodismo</t>
  </si>
  <si>
    <t>profesor Juan Camilo Arboleda</t>
  </si>
  <si>
    <t>profesor Juan David Londoño</t>
  </si>
  <si>
    <t>profesora Sara Carmona</t>
  </si>
  <si>
    <t>profesora Alba Lucía Pérez</t>
  </si>
  <si>
    <t>Oficina</t>
  </si>
  <si>
    <t>Equipo</t>
  </si>
  <si>
    <t>Especiales-recursos propios-AF-041</t>
  </si>
  <si>
    <t>materiales</t>
  </si>
  <si>
    <t>impresos</t>
  </si>
  <si>
    <t>Reactivación de la Ruta Curricular Especial de Doble Titulación entre los programas de Licenciatura en Educación Básica con énfasis en Humanidades, Lengua Castellana de la Facultad de Educación y Filología</t>
  </si>
  <si>
    <t>profesor Edisson Mora</t>
  </si>
  <si>
    <t>profesor Mario Martín Botero</t>
  </si>
  <si>
    <t>profesor Tetsuji</t>
  </si>
  <si>
    <t>Plan de mejoramiento a la autoevaluación interna</t>
  </si>
  <si>
    <t>profesor Juan Carlos Ramírez</t>
  </si>
  <si>
    <t>profesora María Fernada Arias</t>
  </si>
  <si>
    <t>profesor Juan Fernando Taborda</t>
  </si>
  <si>
    <t>profesor Adriana Ortiz</t>
  </si>
  <si>
    <t>Creación de la Maestría en Periodismo en Medellín</t>
  </si>
  <si>
    <t>profesor Raúl Osorio</t>
  </si>
  <si>
    <t xml:space="preserve">Elaboración del diagnóstico para la creación del Doctorado en Comunicaciones </t>
  </si>
  <si>
    <t xml:space="preserve">Doctorado en Comunicaciones </t>
  </si>
  <si>
    <t>profesor Paula Restrepo</t>
  </si>
  <si>
    <t>Elaboración del diagnóstico para la creación de la Especialización en Literatura y Arte</t>
  </si>
  <si>
    <t>Especialización en Literatura y Arte</t>
  </si>
  <si>
    <t>profesor Pedro Agudelo</t>
  </si>
  <si>
    <t>Investigación y extensión</t>
  </si>
  <si>
    <t>50% Contrato asistente investigación</t>
  </si>
  <si>
    <t>1</t>
  </si>
  <si>
    <t>Edison Neira</t>
  </si>
  <si>
    <t>Juan Guillermo Gómez</t>
  </si>
  <si>
    <t>Ana María Agudelo</t>
  </si>
  <si>
    <t>Mauricio  Molina</t>
  </si>
  <si>
    <t>Paula Restrepo</t>
  </si>
  <si>
    <t>Patricia Nieto</t>
  </si>
  <si>
    <t>María Fernanda</t>
  </si>
  <si>
    <t>Mercedes Muñetón</t>
  </si>
  <si>
    <t>Consolidación de los semilleros de investigación de la Facultad</t>
  </si>
  <si>
    <t xml:space="preserve">Félix Antonio Gallego </t>
  </si>
  <si>
    <t>Juan Camilo Arboleda Alzate</t>
  </si>
  <si>
    <t>Oswaldo Osorio Mejía</t>
  </si>
  <si>
    <t>Jorge Mauricio Molina Mejía</t>
  </si>
  <si>
    <t>Ana María Agudelo Ochoa</t>
  </si>
  <si>
    <t>María Claudia González Rátiva</t>
  </si>
  <si>
    <t>regiones</t>
  </si>
  <si>
    <t>Fondos generales-Regionalización</t>
  </si>
  <si>
    <t>Diana Ramírez Jiménez</t>
  </si>
  <si>
    <t>Carlos Augusto Giraldo Castro</t>
  </si>
  <si>
    <t>Deyanira Aguilar Vélez</t>
  </si>
  <si>
    <t>Especiles - proyectos</t>
  </si>
  <si>
    <t>Esteban Tavera Martínez</t>
  </si>
  <si>
    <t>Laura Aristizabal Jaramillo</t>
  </si>
  <si>
    <t>Estímulos para la investigación formativa en pregrado</t>
  </si>
  <si>
    <t>Estímulos investigación</t>
  </si>
  <si>
    <t>Coofinanciación trabajos de grado estudiantes y pago de evaluadores</t>
  </si>
  <si>
    <t>Creación del Fondo Editorial de la Facultad</t>
  </si>
  <si>
    <t xml:space="preserve">Coordinador del fondo editorial </t>
  </si>
  <si>
    <t>Especiales-recursos propios-posgrados</t>
  </si>
  <si>
    <t>Aporte posgrados fondo editorial</t>
  </si>
  <si>
    <t>Apoyo para la permanencia y difusión de las revistas académicas de la Facultad</t>
  </si>
  <si>
    <t>Promedio salarios de los profesores: Andrés Vergara, Selnich Vivas y Raúl Osorio</t>
  </si>
  <si>
    <t>funcionamiento</t>
  </si>
  <si>
    <t>promedio gastos revistas 2016-2017</t>
  </si>
  <si>
    <t>Fortalecimiento y ampliación de la cobertura de los convenios existentes con universidades nacionales e internacionales</t>
  </si>
  <si>
    <t>Kristina Müler</t>
  </si>
  <si>
    <t>Viáticos</t>
  </si>
  <si>
    <t xml:space="preserve">viáticos nacionales e  internacionales para cinco profesores al año </t>
  </si>
  <si>
    <t>Fortacimiento de la estrategia de movilidad académica nacional e internacional</t>
  </si>
  <si>
    <t>Movilidad docente</t>
  </si>
  <si>
    <t>Movilidad docente AF. 041</t>
  </si>
  <si>
    <t>Movilidad docente AF.  049</t>
  </si>
  <si>
    <t>Proyección y fortalecimiento de la oferta de educación continua y de servicios de extensión</t>
  </si>
  <si>
    <t>1/3 tiempo de la coordinadora Diana Taborda</t>
  </si>
  <si>
    <t>Contratos de la Coordinadora de la Línea y su auxiliar</t>
  </si>
  <si>
    <t>Consolidación del proyecto Memorias y Archivos Literarios</t>
  </si>
  <si>
    <t xml:space="preserve">profesora María Stella Girón </t>
  </si>
  <si>
    <t>Ciclos de Vida</t>
  </si>
  <si>
    <t>Impulso al programa Estímulo Académico Coterminal para la continuidad de los estudiantes de pregrado en su formación posgradual</t>
  </si>
  <si>
    <t>iniciativa Ciclos de Vida</t>
  </si>
  <si>
    <t>Cofinanciamiento de las actividades académicas de los estudiantes de pregrado y posgrado en Medellín y en las seccionales</t>
  </si>
  <si>
    <t>Asistente administrativa Diana Sanmartín</t>
  </si>
  <si>
    <t>Creación de acciones que favorezcan los desarrollos académicos, culturales y artísticos de profesores y personal administrativo; así como a estudiantes de la Facultad y sus familias</t>
  </si>
  <si>
    <t>profesora Adriana Ruíz</t>
  </si>
  <si>
    <t>Consolidación del programa Acompañamiento entre pares</t>
  </si>
  <si>
    <t>Diseño e implementación de una estrategia  de seguimiento y acompañamiento a egresados de la Facultad de Comunicaciones</t>
  </si>
  <si>
    <t>profesora Astrid Carrasquilla</t>
  </si>
  <si>
    <t>Paz, equidad e inclusión</t>
  </si>
  <si>
    <t>Fortalecimiento del programa Hacemos memoria (convenio de cooperación entre la Facultad de Comunicaciones y la Deutsche Welle Akademie)</t>
  </si>
  <si>
    <t>Iniciativa Paz, equidad e inclusión</t>
  </si>
  <si>
    <t>profesora Patricia Nieto Nieto</t>
  </si>
  <si>
    <t>fuentes externas</t>
  </si>
  <si>
    <t>Gestión de recursos entidades externas - Convenio DW</t>
  </si>
  <si>
    <t>Conferencias</t>
  </si>
  <si>
    <t>Realización de conferencias</t>
  </si>
  <si>
    <t>Desarrollo de la propuesta académica para el estudio y la conservación de las lenguas y culturas ancestrales del territorio nacional</t>
  </si>
  <si>
    <t>Cursos lenguas ancestrales-profesora Carmen Estefanía Frias Epinayu</t>
  </si>
  <si>
    <t>Cursos lenguas ancestrales-Lisandro Euclides Jaramillo Urdaneta</t>
  </si>
  <si>
    <t>Gestión administrativa</t>
  </si>
  <si>
    <t>Desarrollo del diagnóstico y la propuesta de reestructuración orgánica y adecuación académico-administrativa de la Facultad</t>
  </si>
  <si>
    <t>iniciativa Gestión administrativa</t>
  </si>
  <si>
    <t>profesora Olga Vallejo</t>
  </si>
  <si>
    <t>profesor Manuel Bermúdez</t>
  </si>
  <si>
    <t>profesor Juan Carlos Pimienta</t>
  </si>
  <si>
    <t xml:space="preserve">profesora María Claudia González </t>
  </si>
  <si>
    <t>profesora Adriana Ruiz</t>
  </si>
  <si>
    <t>profesor Mauricio Naranjo</t>
  </si>
  <si>
    <t>Jefe de Producción y Medios - Carlos Arboledad</t>
  </si>
  <si>
    <t>Gestión de recursos</t>
  </si>
  <si>
    <t>Gestión de recursos fuentes externas</t>
  </si>
  <si>
    <t>Estampilla UdeA</t>
  </si>
  <si>
    <t>Gestión de recursos fuentes internas - Estampilla</t>
  </si>
  <si>
    <t>Especiales-recursos propios-Provisión Bloque 10</t>
  </si>
  <si>
    <t>Aporte recursos propios de la Facultad</t>
  </si>
  <si>
    <t>Adecuación inmobiliaria de las oficinas administrativas del bloque 12 y adquisición y renovación tecnológica con fines misionales</t>
  </si>
  <si>
    <t>Promoción de una estrategia de transparencia, optimización y equidad en el manejo y gestión de los recursos públicos de la Facultad</t>
  </si>
  <si>
    <t>Consolidado actividades</t>
  </si>
  <si>
    <t>iniciativa Formación Integral Posgrados</t>
  </si>
  <si>
    <t>Costo oficina desarrollo 18 actividades, ejecutadas durante 3 años</t>
  </si>
  <si>
    <t>Costos</t>
  </si>
  <si>
    <t>Utilización de los espacios de la Universidad</t>
  </si>
  <si>
    <t>Apoyos económicos pregrados</t>
  </si>
  <si>
    <t>Promedio ejecución de los 2 últimos años</t>
  </si>
  <si>
    <t>Apoyos económicos estudiantes de posgrados</t>
  </si>
  <si>
    <t>Extensión de la Maestría en Lingüística en la seccional de Urabá</t>
  </si>
  <si>
    <t xml:space="preserve">Impulso al programa Estímulo Académico Coterminal para la continuidad de los estudiantes de pregrado en su formación posgradual
</t>
  </si>
  <si>
    <t xml:space="preserve">Cofinanciamiento de las actividades académicas de los estudiantes de pregrado y posgrado en Medellín y en las seccionales
</t>
  </si>
  <si>
    <t xml:space="preserve">Creación de acciones que favorezcan los desarrollos académicos, culturales y artísticos de profesores y personal administrativo; así como a estudiantes de la Facultad y sus familias
</t>
  </si>
  <si>
    <t xml:space="preserve">Diseño e implementación de una estrategia  de integración y de desarrollo profesional contínuo a egresados de la Facultad de Comunicaciones
</t>
  </si>
  <si>
    <t>Seguimiento y reporte de los apoyos económicos a estudiantes</t>
  </si>
  <si>
    <t xml:space="preserve">Reporte de programas y actividades de Bienestar </t>
  </si>
  <si>
    <t xml:space="preserve">Reporte de programas y actividades de permanencia estudiantil </t>
  </si>
  <si>
    <t>Reporte de programas y actividades de seguimiento a egresados</t>
  </si>
  <si>
    <t xml:space="preserve">Informe de avance del Programa Estímulo Académico Coterminal  </t>
  </si>
  <si>
    <t>Mejora de las condiciones del Bienestar de la comunidad de la Facultad, desde la gestión académico administrativa</t>
  </si>
  <si>
    <t xml:space="preserve">Implementación de acciones que favorezcan el bienestar de los estudiantes, egresados, profesores y personal administrativo, en lo relacionado con los procesos de mejoramiento en lo académico, deportivo, cultural y artistico. </t>
  </si>
  <si>
    <t>Creación, apropiación y difusión del conocimiento</t>
  </si>
  <si>
    <t>Paz, equidad y diversidad cultural</t>
  </si>
  <si>
    <t>Innovación curricular, acreditación de calidad y ampliación de cobertura académica en pregrado.</t>
  </si>
  <si>
    <t>Innovación curricular, acreditación de calidad y ampliación de cobertura académica en posgrado</t>
  </si>
  <si>
    <t>31/06/2019</t>
  </si>
  <si>
    <t>Acciones para el bienestar de la Facultad</t>
  </si>
  <si>
    <t>Adecuación Académico Administrativa</t>
  </si>
  <si>
    <t xml:space="preserve">Desarrollo de estrategias que contribuyan al fortalecimiento de la investigación, la extensión, la difusión del nuevo conocimiento y el intercambio académico nacional e internacional, con miras a la proyección social que impacte de forma positiva los diferentes territorios y que aporte a la construcción de la paz.
</t>
  </si>
  <si>
    <t>Posicionamiento de los grupos de investigación</t>
  </si>
  <si>
    <t xml:space="preserve">Publicación de nuevas ediciones de las revistas académicas de la Facultad </t>
  </si>
  <si>
    <t xml:space="preserve">Fortalecimiento de la estrategia de movilidad académica nacional e internacional y ampliación de la cobertura de los convenios existentes con universidades nacionales e internacionales 
</t>
  </si>
  <si>
    <t>Nuevos proyectos de extensión con los sectores público y privado</t>
  </si>
  <si>
    <t xml:space="preserve">Desarrollo de estrategias con miras a la proyección social que impacte de forma positiva los diferentes territorios y que aporte a la construcción de la paz.
</t>
  </si>
  <si>
    <t>Informe de los apoyos económicos a estudiantes</t>
  </si>
  <si>
    <t>Diagnóstico y propuesta de la Adecuación Académico-Administrativa de la Facultad</t>
  </si>
  <si>
    <t xml:space="preserve">Desarrollo del diagnóstico y la propuesta de  adecuación académico-administrativa de la Facultad
</t>
  </si>
  <si>
    <t>Desarrollo el proyecto  “PROPUESTA DE REGIONALIZACIÓN DE FILOLOGÍA HISPÁNICA, SUBREGIÓN OCCIDENTE,
MODALIDAD VIRTUAL</t>
  </si>
  <si>
    <t>Capítua en libro resultado de investigación- Artículo de investigación-Producto  Tecnológico certificado o validado- Estrategias pedagógicas para le fomento de la CT y la creación- Productos de apropiación social del conocimiento - Comunicación social del conocimiento- Estudiante de doctorado</t>
  </si>
  <si>
    <t>Fondos externos a la Universidad
(Colciencias)</t>
  </si>
  <si>
    <t>Desarrollo el proyecto  “Ruta de apropiación de las TIC para cualificar las prácticas docentes en educación superior para la modalidad virtual"</t>
  </si>
  <si>
    <t>Capítua en libro resultado de investigación- Artículo de investigación-Producto  Tecnológico certificado o validado- Estrategias pedagógicas para le fomento de la CT y la creación- Productos de apropiación social del conocimiento - Comunicación social del conocimiento</t>
  </si>
  <si>
    <t>Desarrollo el proyecto  “PROPUESTA DE REGIONALIZACIÓN DE FILOLOGÍA HISPÁNICA, SUBREGIÓN OCCIDENTE,</t>
  </si>
  <si>
    <t>Costo contrato Colciencias</t>
  </si>
  <si>
    <t>Alianza Colciencias Convocatoria 804</t>
  </si>
  <si>
    <t>Implementación del Programa de Español Universidad de Antioquia con sus tres componentes esenciales: Español como segunda lengua, Español Académico y Espanol para la sociedad en general.</t>
  </si>
  <si>
    <t>Juan David Martinez</t>
  </si>
  <si>
    <t>Informes de avance de la implementación del programa Español Universidad de Antioquia, con sus tres componentes en sus tres componentes.</t>
  </si>
  <si>
    <t>Consolidación del Programa  de Acompañamiento entre pares para la permanencia estudiantil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</si>
</sst>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  <numFmt numFmtId="165" formatCode="[$$-240A]\ #,##0"/>
    <numFmt numFmtId="166" formatCode="[$$-240A]\ #,##0.0"/>
    <numFmt numFmtId="167" formatCode="&quot;$&quot;#,##0.0"/>
    <numFmt numFmtId="168" formatCode="_(&quot;$&quot;\ * #,##0_);_(&quot;$&quot;\ * \(#,##0\);_(&quot;$&quot;\ * &quot;-&quot;??_);_(@_)"/>
    <numFmt numFmtId="169" formatCode="_-&quot;$&quot;* #,##0_-;\-&quot;$&quot;* #,##0_-;_-&quot;$&quot;* &quot;-&quot;??_-;_-@_-"/>
    <numFmt numFmtId="170" formatCode="_(&quot;$&quot;\ * #,##0.0_);_(&quot;$&quot;\ * \(#,##0.0\);_(&quot;$&quot;\ * &quot;-&quot;??_);_(@_)"/>
    <numFmt numFmtId="171" formatCode="_-&quot;$&quot;* #,##0.0_-;\-&quot;$&quot;* #,##0.0_-;_-&quot;$&quot;* &quot;-&quot;?_-;_-@_-"/>
    <numFmt numFmtId="172" formatCode="&quot;$&quot;\ #,##0.0"/>
  </numFmts>
  <fonts count="30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Segoe U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9" fillId="0" borderId="0" xfId="0" applyFont="1"/>
    <xf numFmtId="9" fontId="6" fillId="4" borderId="1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9" fontId="6" fillId="4" borderId="12" xfId="1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9" fontId="17" fillId="4" borderId="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24" fillId="0" borderId="0" xfId="0" applyFont="1" applyFill="1"/>
    <xf numFmtId="0" fontId="0" fillId="0" borderId="0" xfId="0" applyFill="1"/>
    <xf numFmtId="168" fontId="0" fillId="0" borderId="0" xfId="2" applyNumberFormat="1" applyFont="1" applyFill="1"/>
    <xf numFmtId="49" fontId="0" fillId="0" borderId="0" xfId="0" applyNumberFormat="1" applyFill="1" applyAlignment="1">
      <alignment horizontal="right"/>
    </xf>
    <xf numFmtId="168" fontId="0" fillId="7" borderId="0" xfId="2" applyNumberFormat="1" applyFont="1" applyFill="1"/>
    <xf numFmtId="168" fontId="0" fillId="7" borderId="0" xfId="0" applyNumberFormat="1" applyFill="1"/>
    <xf numFmtId="0" fontId="0" fillId="8" borderId="0" xfId="0" applyFill="1"/>
    <xf numFmtId="15" fontId="21" fillId="8" borderId="6" xfId="0" applyNumberFormat="1" applyFont="1" applyFill="1" applyBorder="1" applyAlignment="1">
      <alignment horizontal="center" vertical="top" wrapText="1"/>
    </xf>
    <xf numFmtId="168" fontId="0" fillId="8" borderId="0" xfId="2" applyNumberFormat="1" applyFont="1" applyFill="1"/>
    <xf numFmtId="49" fontId="0" fillId="8" borderId="0" xfId="2" applyNumberFormat="1" applyFont="1" applyFill="1" applyAlignment="1">
      <alignment horizontal="right"/>
    </xf>
    <xf numFmtId="168" fontId="0" fillId="8" borderId="0" xfId="0" applyNumberFormat="1" applyFill="1"/>
    <xf numFmtId="49" fontId="0" fillId="8" borderId="0" xfId="0" applyNumberFormat="1" applyFill="1" applyAlignment="1">
      <alignment horizontal="right"/>
    </xf>
    <xf numFmtId="169" fontId="0" fillId="8" borderId="0" xfId="3" applyNumberFormat="1" applyFont="1" applyFill="1"/>
    <xf numFmtId="168" fontId="24" fillId="0" borderId="0" xfId="2" applyNumberFormat="1" applyFont="1" applyFill="1"/>
    <xf numFmtId="0" fontId="24" fillId="0" borderId="0" xfId="0" applyFont="1" applyFill="1" applyBorder="1"/>
    <xf numFmtId="15" fontId="27" fillId="0" borderId="0" xfId="0" applyNumberFormat="1" applyFont="1" applyFill="1" applyBorder="1" applyAlignment="1">
      <alignment horizontal="center" vertical="top" wrapText="1"/>
    </xf>
    <xf numFmtId="15" fontId="21" fillId="0" borderId="0" xfId="0" applyNumberFormat="1" applyFont="1" applyFill="1" applyBorder="1" applyAlignment="1">
      <alignment horizontal="center" vertical="top" wrapText="1"/>
    </xf>
    <xf numFmtId="169" fontId="23" fillId="6" borderId="10" xfId="3" applyNumberFormat="1" applyFont="1" applyFill="1" applyBorder="1"/>
    <xf numFmtId="0" fontId="24" fillId="0" borderId="0" xfId="0" applyFont="1"/>
    <xf numFmtId="169" fontId="23" fillId="6" borderId="20" xfId="3" applyNumberFormat="1" applyFont="1" applyFill="1" applyBorder="1"/>
    <xf numFmtId="169" fontId="24" fillId="0" borderId="0" xfId="3" applyNumberFormat="1" applyFont="1" applyFill="1"/>
    <xf numFmtId="44" fontId="23" fillId="9" borderId="21" xfId="2" applyFont="1" applyFill="1" applyBorder="1"/>
    <xf numFmtId="168" fontId="24" fillId="0" borderId="0" xfId="0" applyNumberFormat="1" applyFont="1" applyFill="1"/>
    <xf numFmtId="170" fontId="23" fillId="10" borderId="0" xfId="0" applyNumberFormat="1" applyFont="1" applyFill="1"/>
    <xf numFmtId="0" fontId="24" fillId="8" borderId="0" xfId="0" applyFont="1" applyFill="1"/>
    <xf numFmtId="15" fontId="27" fillId="8" borderId="6" xfId="0" applyNumberFormat="1" applyFont="1" applyFill="1" applyBorder="1" applyAlignment="1">
      <alignment horizontal="center" vertical="top" wrapText="1"/>
    </xf>
    <xf numFmtId="168" fontId="24" fillId="8" borderId="0" xfId="2" applyNumberFormat="1" applyFont="1" applyFill="1"/>
    <xf numFmtId="49" fontId="24" fillId="8" borderId="0" xfId="0" applyNumberFormat="1" applyFont="1" applyFill="1" applyAlignment="1">
      <alignment horizontal="right"/>
    </xf>
    <xf numFmtId="49" fontId="24" fillId="8" borderId="0" xfId="2" applyNumberFormat="1" applyFont="1" applyFill="1" applyAlignment="1">
      <alignment horizontal="right"/>
    </xf>
    <xf numFmtId="0" fontId="24" fillId="8" borderId="0" xfId="0" applyFont="1" applyFill="1" applyAlignment="1">
      <alignment wrapText="1"/>
    </xf>
    <xf numFmtId="0" fontId="24" fillId="8" borderId="0" xfId="0" applyFont="1" applyFill="1" applyAlignment="1">
      <alignment horizontal="left" wrapText="1"/>
    </xf>
    <xf numFmtId="168" fontId="24" fillId="8" borderId="0" xfId="0" applyNumberFormat="1" applyFont="1" applyFill="1"/>
    <xf numFmtId="0" fontId="24" fillId="8" borderId="0" xfId="0" applyFont="1" applyFill="1" applyBorder="1"/>
    <xf numFmtId="168" fontId="22" fillId="8" borderId="0" xfId="2" applyNumberFormat="1" applyFont="1" applyFill="1"/>
    <xf numFmtId="0" fontId="25" fillId="8" borderId="0" xfId="0" applyFont="1" applyFill="1"/>
    <xf numFmtId="0" fontId="26" fillId="8" borderId="0" xfId="0" applyFont="1" applyFill="1"/>
    <xf numFmtId="0" fontId="0" fillId="8" borderId="0" xfId="0" applyFont="1" applyFill="1"/>
    <xf numFmtId="0" fontId="0" fillId="8" borderId="0" xfId="0" applyFill="1" applyBorder="1"/>
    <xf numFmtId="171" fontId="24" fillId="0" borderId="0" xfId="0" applyNumberFormat="1" applyFont="1" applyFill="1"/>
    <xf numFmtId="0" fontId="0" fillId="0" borderId="1" xfId="0" applyFont="1" applyBorder="1" applyAlignment="1">
      <alignment horizontal="center" vertical="center"/>
    </xf>
    <xf numFmtId="9" fontId="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/>
    </xf>
    <xf numFmtId="0" fontId="20" fillId="4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15" fontId="21" fillId="4" borderId="1" xfId="0" applyNumberFormat="1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left" vertical="top" wrapText="1"/>
    </xf>
    <xf numFmtId="15" fontId="21" fillId="4" borderId="1" xfId="0" applyNumberFormat="1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15" fontId="21" fillId="4" borderId="1" xfId="0" applyNumberFormat="1" applyFont="1" applyFill="1" applyBorder="1" applyAlignment="1">
      <alignment horizontal="center" vertical="top" wrapText="1"/>
    </xf>
    <xf numFmtId="15" fontId="21" fillId="4" borderId="11" xfId="0" applyNumberFormat="1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left" vertical="top" wrapText="1"/>
    </xf>
    <xf numFmtId="0" fontId="20" fillId="4" borderId="7" xfId="0" applyFont="1" applyFill="1" applyBorder="1" applyAlignment="1">
      <alignment horizontal="left" vertical="top" wrapText="1"/>
    </xf>
    <xf numFmtId="0" fontId="20" fillId="4" borderId="9" xfId="0" applyFont="1" applyFill="1" applyBorder="1" applyAlignment="1">
      <alignment horizontal="left" vertical="top" wrapText="1"/>
    </xf>
    <xf numFmtId="15" fontId="21" fillId="4" borderId="16" xfId="0" applyNumberFormat="1" applyFont="1" applyFill="1" applyBorder="1" applyAlignment="1">
      <alignment horizontal="center" vertical="top" wrapText="1"/>
    </xf>
    <xf numFmtId="15" fontId="21" fillId="4" borderId="1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7" fontId="2" fillId="3" borderId="5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top" wrapText="1"/>
    </xf>
    <xf numFmtId="1" fontId="28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 wrapText="1"/>
    </xf>
    <xf numFmtId="0" fontId="29" fillId="0" borderId="0" xfId="0" applyFont="1"/>
    <xf numFmtId="9" fontId="17" fillId="4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6" fontId="10" fillId="4" borderId="1" xfId="0" applyNumberFormat="1" applyFont="1" applyFill="1" applyBorder="1" applyAlignment="1">
      <alignment horizontal="center" vertical="center" wrapText="1"/>
    </xf>
  </cellXfs>
  <cellStyles count="4">
    <cellStyle name="Moneda 2" xfId="2"/>
    <cellStyle name="Moneda 3" xfId="3"/>
    <cellStyle name="Normal" xfId="0" builtinId="0"/>
    <cellStyle name="Porcentaje 2" xfId="1"/>
  </cellStyles>
  <dxfs count="0"/>
  <tableStyles count="0" defaultTableStyle="TableStyleMedium2" defaultPivotStyle="PivotStyleLight16"/>
  <colors>
    <mruColors>
      <color rgb="FFFFFFCC"/>
      <color rgb="FF3333FF"/>
      <color rgb="FFFF99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96612</xdr:colOff>
      <xdr:row>0</xdr:row>
      <xdr:rowOff>47625</xdr:rowOff>
    </xdr:from>
    <xdr:to>
      <xdr:col>1</xdr:col>
      <xdr:colOff>631371</xdr:colOff>
      <xdr:row>1</xdr:row>
      <xdr:rowOff>381000</xdr:rowOff>
    </xdr:to>
    <xdr:pic>
      <xdr:nvPicPr>
        <xdr:cNvPr id="2" name="Imagen 1" descr="log-ude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2" y="47625"/>
          <a:ext cx="534759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96612</xdr:colOff>
      <xdr:row>0</xdr:row>
      <xdr:rowOff>47625</xdr:rowOff>
    </xdr:from>
    <xdr:to>
      <xdr:col>1</xdr:col>
      <xdr:colOff>631371</xdr:colOff>
      <xdr:row>1</xdr:row>
      <xdr:rowOff>381000</xdr:rowOff>
    </xdr:to>
    <xdr:pic>
      <xdr:nvPicPr>
        <xdr:cNvPr id="2" name="Imagen 1" descr="log-ude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887" y="47625"/>
          <a:ext cx="534759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96612</xdr:colOff>
      <xdr:row>0</xdr:row>
      <xdr:rowOff>47625</xdr:rowOff>
    </xdr:from>
    <xdr:to>
      <xdr:col>1</xdr:col>
      <xdr:colOff>631371</xdr:colOff>
      <xdr:row>1</xdr:row>
      <xdr:rowOff>381000</xdr:rowOff>
    </xdr:to>
    <xdr:pic>
      <xdr:nvPicPr>
        <xdr:cNvPr id="2" name="Imagen 1" descr="log-udea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887" y="47625"/>
          <a:ext cx="53475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96612</xdr:colOff>
      <xdr:row>0</xdr:row>
      <xdr:rowOff>47625</xdr:rowOff>
    </xdr:from>
    <xdr:to>
      <xdr:col>1</xdr:col>
      <xdr:colOff>631371</xdr:colOff>
      <xdr:row>1</xdr:row>
      <xdr:rowOff>381000</xdr:rowOff>
    </xdr:to>
    <xdr:pic>
      <xdr:nvPicPr>
        <xdr:cNvPr id="2" name="Imagen 1" descr="log-udea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887" y="47625"/>
          <a:ext cx="53475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96612</xdr:colOff>
      <xdr:row>0</xdr:row>
      <xdr:rowOff>47625</xdr:rowOff>
    </xdr:from>
    <xdr:to>
      <xdr:col>1</xdr:col>
      <xdr:colOff>631371</xdr:colOff>
      <xdr:row>1</xdr:row>
      <xdr:rowOff>381000</xdr:rowOff>
    </xdr:to>
    <xdr:pic>
      <xdr:nvPicPr>
        <xdr:cNvPr id="2" name="Imagen 1" descr="log-udea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887" y="47625"/>
          <a:ext cx="53475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96612</xdr:colOff>
      <xdr:row>0</xdr:row>
      <xdr:rowOff>47625</xdr:rowOff>
    </xdr:from>
    <xdr:to>
      <xdr:col>1</xdr:col>
      <xdr:colOff>631371</xdr:colOff>
      <xdr:row>1</xdr:row>
      <xdr:rowOff>381000</xdr:rowOff>
    </xdr:to>
    <xdr:pic>
      <xdr:nvPicPr>
        <xdr:cNvPr id="2" name="Imagen 1" descr="log-udea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887" y="47625"/>
          <a:ext cx="53475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8"/>
  <sheetViews>
    <sheetView showGridLines="0" topLeftCell="A19" zoomScaleNormal="100" workbookViewId="0">
      <selection activeCell="F33" sqref="F33"/>
    </sheetView>
  </sheetViews>
  <sheetFormatPr baseColWidth="10" defaultColWidth="11.42578125" defaultRowHeight="15" outlineLevelCol="1" x14ac:dyDescent="0.25"/>
  <cols>
    <col min="1" max="1" width="4.42578125" style="2" customWidth="1"/>
    <col min="2" max="2" width="15.42578125" style="1" customWidth="1"/>
    <col min="3" max="3" width="11" style="1" customWidth="1"/>
    <col min="4" max="4" width="11.42578125" style="1"/>
    <col min="5" max="6" width="10.7109375" style="1" customWidth="1"/>
    <col min="7" max="7" width="15.140625" style="1" customWidth="1"/>
    <col min="8" max="8" width="10.7109375" style="1" customWidth="1"/>
    <col min="9" max="9" width="12" style="1" customWidth="1"/>
    <col min="10" max="11" width="10.7109375" style="1" customWidth="1"/>
    <col min="12" max="50" width="5.7109375" style="1" customWidth="1" outlineLevel="1"/>
    <col min="51" max="16384" width="11.42578125" style="1"/>
  </cols>
  <sheetData>
    <row r="1" spans="1:50" ht="32.1" customHeight="1" x14ac:dyDescent="0.25">
      <c r="A1" s="92"/>
      <c r="B1" s="92"/>
      <c r="C1" s="93" t="s">
        <v>30</v>
      </c>
      <c r="D1" s="93"/>
      <c r="E1" s="93"/>
      <c r="F1" s="93"/>
      <c r="G1" s="93"/>
      <c r="H1" s="93"/>
      <c r="I1" s="93"/>
      <c r="J1" s="93"/>
      <c r="K1" s="9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32.25" customHeight="1" x14ac:dyDescent="0.25">
      <c r="A2" s="92"/>
      <c r="B2" s="92"/>
      <c r="C2" s="93" t="s">
        <v>31</v>
      </c>
      <c r="D2" s="93"/>
      <c r="E2" s="93"/>
      <c r="F2" s="93"/>
      <c r="G2" s="93"/>
      <c r="H2" s="93"/>
      <c r="I2" s="93"/>
      <c r="J2" s="93"/>
      <c r="K2" s="9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1" customHeight="1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33.75" customHeight="1" x14ac:dyDescent="0.25">
      <c r="A4" s="95" t="s">
        <v>35</v>
      </c>
      <c r="B4" s="95"/>
      <c r="C4" s="95"/>
      <c r="D4" s="96" t="s">
        <v>46</v>
      </c>
      <c r="E4" s="96"/>
      <c r="F4" s="96"/>
      <c r="G4" s="96"/>
      <c r="H4" s="96"/>
      <c r="I4" s="96"/>
      <c r="J4" s="96"/>
      <c r="K4" s="96"/>
    </row>
    <row r="5" spans="1:50" ht="28.5" customHeight="1" x14ac:dyDescent="0.25">
      <c r="A5" s="95" t="s">
        <v>1</v>
      </c>
      <c r="B5" s="95"/>
      <c r="C5" s="95"/>
      <c r="D5" s="96" t="s">
        <v>47</v>
      </c>
      <c r="E5" s="96"/>
      <c r="F5" s="96"/>
      <c r="G5" s="96"/>
      <c r="H5" s="96"/>
      <c r="I5" s="96"/>
      <c r="J5" s="96"/>
      <c r="K5" s="96"/>
    </row>
    <row r="6" spans="1:50" ht="18" customHeight="1" x14ac:dyDescent="0.25">
      <c r="A6" s="95" t="s">
        <v>32</v>
      </c>
      <c r="B6" s="95"/>
      <c r="C6" s="95"/>
      <c r="D6" s="96" t="s">
        <v>48</v>
      </c>
      <c r="E6" s="96"/>
      <c r="F6" s="96"/>
      <c r="G6" s="96"/>
      <c r="H6" s="96"/>
      <c r="I6" s="96"/>
      <c r="J6" s="96"/>
      <c r="K6" s="96"/>
    </row>
    <row r="7" spans="1:50" ht="33" customHeight="1" x14ac:dyDescent="0.25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50" ht="61.5" customHeight="1" x14ac:dyDescent="0.25">
      <c r="A8" s="89" t="s">
        <v>300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50" ht="15.75" customHeight="1" x14ac:dyDescent="0.25">
      <c r="A9" s="98" t="s">
        <v>2</v>
      </c>
      <c r="B9" s="85" t="s">
        <v>37</v>
      </c>
      <c r="C9" s="85"/>
      <c r="D9" s="85"/>
      <c r="E9" s="85" t="s">
        <v>3</v>
      </c>
      <c r="F9" s="85"/>
      <c r="G9" s="85" t="s">
        <v>36</v>
      </c>
      <c r="H9" s="85" t="s">
        <v>4</v>
      </c>
      <c r="I9" s="85"/>
      <c r="J9" s="85" t="s">
        <v>5</v>
      </c>
      <c r="K9" s="85"/>
      <c r="L9" s="86" t="s">
        <v>45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15" customHeight="1" x14ac:dyDescent="0.25">
      <c r="A10" s="98"/>
      <c r="B10" s="85"/>
      <c r="C10" s="85"/>
      <c r="D10" s="85"/>
      <c r="E10" s="85"/>
      <c r="F10" s="85"/>
      <c r="G10" s="85"/>
      <c r="H10" s="85" t="s">
        <v>6</v>
      </c>
      <c r="I10" s="85" t="s">
        <v>7</v>
      </c>
      <c r="J10" s="85" t="s">
        <v>6</v>
      </c>
      <c r="K10" s="85" t="s">
        <v>7</v>
      </c>
      <c r="L10" s="85" t="s">
        <v>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 t="s">
        <v>9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 t="s">
        <v>10</v>
      </c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 t="s">
        <v>11</v>
      </c>
      <c r="AW10" s="85"/>
      <c r="AX10" s="85"/>
    </row>
    <row r="11" spans="1:50" ht="15" customHeight="1" x14ac:dyDescent="0.25">
      <c r="A11" s="9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2" t="s">
        <v>41</v>
      </c>
      <c r="M11" s="83"/>
      <c r="N11" s="84"/>
      <c r="O11" s="82" t="s">
        <v>42</v>
      </c>
      <c r="P11" s="83"/>
      <c r="Q11" s="84"/>
      <c r="R11" s="82" t="s">
        <v>43</v>
      </c>
      <c r="S11" s="83"/>
      <c r="T11" s="84"/>
      <c r="U11" s="82" t="s">
        <v>44</v>
      </c>
      <c r="V11" s="83"/>
      <c r="W11" s="84"/>
      <c r="X11" s="82" t="s">
        <v>41</v>
      </c>
      <c r="Y11" s="83"/>
      <c r="Z11" s="84"/>
      <c r="AA11" s="82" t="s">
        <v>42</v>
      </c>
      <c r="AB11" s="83"/>
      <c r="AC11" s="84"/>
      <c r="AD11" s="82" t="s">
        <v>43</v>
      </c>
      <c r="AE11" s="83"/>
      <c r="AF11" s="84"/>
      <c r="AG11" s="82" t="s">
        <v>44</v>
      </c>
      <c r="AH11" s="83"/>
      <c r="AI11" s="84"/>
      <c r="AJ11" s="82" t="s">
        <v>41</v>
      </c>
      <c r="AK11" s="83"/>
      <c r="AL11" s="84"/>
      <c r="AM11" s="82" t="s">
        <v>42</v>
      </c>
      <c r="AN11" s="83"/>
      <c r="AO11" s="84"/>
      <c r="AP11" s="82" t="s">
        <v>43</v>
      </c>
      <c r="AQ11" s="83"/>
      <c r="AR11" s="84"/>
      <c r="AS11" s="82" t="s">
        <v>44</v>
      </c>
      <c r="AT11" s="83"/>
      <c r="AU11" s="84"/>
      <c r="AV11" s="82" t="s">
        <v>41</v>
      </c>
      <c r="AW11" s="83"/>
      <c r="AX11" s="84"/>
    </row>
    <row r="12" spans="1:50" ht="15" customHeight="1" x14ac:dyDescent="0.25">
      <c r="A12" s="9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 t="s">
        <v>12</v>
      </c>
      <c r="M12" s="9" t="s">
        <v>13</v>
      </c>
      <c r="N12" s="9" t="s">
        <v>14</v>
      </c>
      <c r="O12" s="9" t="s">
        <v>15</v>
      </c>
      <c r="P12" s="9" t="s">
        <v>16</v>
      </c>
      <c r="Q12" s="9" t="s">
        <v>17</v>
      </c>
      <c r="R12" s="9" t="s">
        <v>18</v>
      </c>
      <c r="S12" s="9" t="s">
        <v>19</v>
      </c>
      <c r="T12" s="9" t="s">
        <v>20</v>
      </c>
      <c r="U12" s="9" t="s">
        <v>21</v>
      </c>
      <c r="V12" s="9" t="s">
        <v>22</v>
      </c>
      <c r="W12" s="9" t="s">
        <v>23</v>
      </c>
      <c r="X12" s="9" t="s">
        <v>12</v>
      </c>
      <c r="Y12" s="9" t="s">
        <v>13</v>
      </c>
      <c r="Z12" s="9" t="s">
        <v>14</v>
      </c>
      <c r="AA12" s="9" t="s">
        <v>15</v>
      </c>
      <c r="AB12" s="9" t="s">
        <v>16</v>
      </c>
      <c r="AC12" s="9" t="s">
        <v>17</v>
      </c>
      <c r="AD12" s="9" t="s">
        <v>18</v>
      </c>
      <c r="AE12" s="9" t="s">
        <v>19</v>
      </c>
      <c r="AF12" s="9" t="s">
        <v>20</v>
      </c>
      <c r="AG12" s="9" t="s">
        <v>21</v>
      </c>
      <c r="AH12" s="9" t="s">
        <v>22</v>
      </c>
      <c r="AI12" s="9" t="s">
        <v>23</v>
      </c>
      <c r="AJ12" s="9" t="s">
        <v>12</v>
      </c>
      <c r="AK12" s="9" t="s">
        <v>13</v>
      </c>
      <c r="AL12" s="9" t="s">
        <v>14</v>
      </c>
      <c r="AM12" s="9" t="s">
        <v>15</v>
      </c>
      <c r="AN12" s="9" t="s">
        <v>16</v>
      </c>
      <c r="AO12" s="9" t="s">
        <v>17</v>
      </c>
      <c r="AP12" s="9" t="s">
        <v>18</v>
      </c>
      <c r="AQ12" s="9" t="s">
        <v>19</v>
      </c>
      <c r="AR12" s="9" t="s">
        <v>20</v>
      </c>
      <c r="AS12" s="9" t="s">
        <v>21</v>
      </c>
      <c r="AT12" s="9" t="s">
        <v>22</v>
      </c>
      <c r="AU12" s="9" t="s">
        <v>23</v>
      </c>
      <c r="AV12" s="9" t="s">
        <v>12</v>
      </c>
      <c r="AW12" s="9" t="s">
        <v>13</v>
      </c>
      <c r="AX12" s="9" t="s">
        <v>14</v>
      </c>
    </row>
    <row r="13" spans="1:50" ht="36" customHeight="1" x14ac:dyDescent="0.25">
      <c r="A13" s="66">
        <v>1</v>
      </c>
      <c r="B13" s="74" t="s">
        <v>57</v>
      </c>
      <c r="C13" s="74"/>
      <c r="D13" s="74"/>
      <c r="E13" s="74" t="s">
        <v>301</v>
      </c>
      <c r="F13" s="74"/>
      <c r="G13" s="5">
        <v>0.15</v>
      </c>
      <c r="H13" s="6" t="s">
        <v>15</v>
      </c>
      <c r="I13" s="6">
        <v>2018</v>
      </c>
      <c r="J13" s="6" t="s">
        <v>14</v>
      </c>
      <c r="K13" s="6">
        <v>2021</v>
      </c>
      <c r="L13" s="7">
        <v>0</v>
      </c>
      <c r="M13" s="7">
        <v>0</v>
      </c>
      <c r="N13" s="7">
        <v>0</v>
      </c>
      <c r="O13" s="7">
        <v>0.02</v>
      </c>
      <c r="P13" s="7">
        <v>0.03</v>
      </c>
      <c r="Q13" s="7">
        <v>0.03</v>
      </c>
      <c r="R13" s="7">
        <v>0.02</v>
      </c>
      <c r="S13" s="7">
        <v>0.03</v>
      </c>
      <c r="T13" s="7">
        <v>0.03</v>
      </c>
      <c r="U13" s="7">
        <v>0.03</v>
      </c>
      <c r="V13" s="7">
        <v>0.03</v>
      </c>
      <c r="W13" s="7">
        <v>0.03</v>
      </c>
      <c r="X13" s="7">
        <v>0.02</v>
      </c>
      <c r="Y13" s="7">
        <v>0.03</v>
      </c>
      <c r="Z13" s="7">
        <v>0.03</v>
      </c>
      <c r="AA13" s="7">
        <v>0.03</v>
      </c>
      <c r="AB13" s="7">
        <v>0.03</v>
      </c>
      <c r="AC13" s="7">
        <v>0.03</v>
      </c>
      <c r="AD13" s="7">
        <v>0.02</v>
      </c>
      <c r="AE13" s="7">
        <v>0.03</v>
      </c>
      <c r="AF13" s="7">
        <v>0.03</v>
      </c>
      <c r="AG13" s="7">
        <v>0.03</v>
      </c>
      <c r="AH13" s="7">
        <v>0.03</v>
      </c>
      <c r="AI13" s="7">
        <v>0.03</v>
      </c>
      <c r="AJ13" s="7">
        <v>0.02</v>
      </c>
      <c r="AK13" s="7">
        <v>0.03</v>
      </c>
      <c r="AL13" s="7">
        <v>0.03</v>
      </c>
      <c r="AM13" s="7">
        <v>0.02</v>
      </c>
      <c r="AN13" s="7">
        <v>0.03</v>
      </c>
      <c r="AO13" s="7">
        <v>0.03</v>
      </c>
      <c r="AP13" s="7">
        <v>0.02</v>
      </c>
      <c r="AQ13" s="7">
        <v>0.03</v>
      </c>
      <c r="AR13" s="7">
        <v>0.03</v>
      </c>
      <c r="AS13" s="7">
        <v>0.02</v>
      </c>
      <c r="AT13" s="7">
        <v>0.03</v>
      </c>
      <c r="AU13" s="7">
        <v>0.03</v>
      </c>
      <c r="AV13" s="7">
        <v>0.03</v>
      </c>
      <c r="AW13" s="7">
        <v>0.03</v>
      </c>
      <c r="AX13" s="7">
        <v>0.03</v>
      </c>
    </row>
    <row r="14" spans="1:50" ht="36" customHeight="1" x14ac:dyDescent="0.25">
      <c r="A14" s="10">
        <f>A13+1</f>
        <v>2</v>
      </c>
      <c r="B14" s="74" t="s">
        <v>49</v>
      </c>
      <c r="C14" s="74"/>
      <c r="D14" s="74"/>
      <c r="E14" s="74" t="s">
        <v>63</v>
      </c>
      <c r="F14" s="74"/>
      <c r="G14" s="5">
        <v>0.15</v>
      </c>
      <c r="H14" s="6" t="s">
        <v>15</v>
      </c>
      <c r="I14" s="6">
        <v>2018</v>
      </c>
      <c r="J14" s="6" t="s">
        <v>14</v>
      </c>
      <c r="K14" s="6">
        <v>2021</v>
      </c>
      <c r="L14" s="7">
        <v>0</v>
      </c>
      <c r="M14" s="7">
        <v>0</v>
      </c>
      <c r="N14" s="7">
        <v>0</v>
      </c>
      <c r="O14" s="7">
        <v>0.02</v>
      </c>
      <c r="P14" s="7">
        <v>0.03</v>
      </c>
      <c r="Q14" s="7">
        <v>0.03</v>
      </c>
      <c r="R14" s="7">
        <v>0.02</v>
      </c>
      <c r="S14" s="7">
        <v>0.03</v>
      </c>
      <c r="T14" s="7">
        <v>0.03</v>
      </c>
      <c r="U14" s="7">
        <v>0.03</v>
      </c>
      <c r="V14" s="7">
        <v>0.03</v>
      </c>
      <c r="W14" s="7">
        <v>0.03</v>
      </c>
      <c r="X14" s="7">
        <v>0.02</v>
      </c>
      <c r="Y14" s="7">
        <v>0.03</v>
      </c>
      <c r="Z14" s="7">
        <v>0.03</v>
      </c>
      <c r="AA14" s="7">
        <v>0.03</v>
      </c>
      <c r="AB14" s="7">
        <v>0.03</v>
      </c>
      <c r="AC14" s="7">
        <v>0.03</v>
      </c>
      <c r="AD14" s="7">
        <v>0.02</v>
      </c>
      <c r="AE14" s="7">
        <v>0.03</v>
      </c>
      <c r="AF14" s="7">
        <v>0.03</v>
      </c>
      <c r="AG14" s="7">
        <v>0.03</v>
      </c>
      <c r="AH14" s="7">
        <v>0.03</v>
      </c>
      <c r="AI14" s="7">
        <v>0.03</v>
      </c>
      <c r="AJ14" s="7">
        <v>0.02</v>
      </c>
      <c r="AK14" s="7">
        <v>0.03</v>
      </c>
      <c r="AL14" s="7">
        <v>0.03</v>
      </c>
      <c r="AM14" s="7">
        <v>0.02</v>
      </c>
      <c r="AN14" s="7">
        <v>0.03</v>
      </c>
      <c r="AO14" s="7">
        <v>0.03</v>
      </c>
      <c r="AP14" s="7">
        <v>0.02</v>
      </c>
      <c r="AQ14" s="7">
        <v>0.03</v>
      </c>
      <c r="AR14" s="7">
        <v>0.03</v>
      </c>
      <c r="AS14" s="7">
        <v>0.02</v>
      </c>
      <c r="AT14" s="7">
        <v>0.03</v>
      </c>
      <c r="AU14" s="7">
        <v>0.03</v>
      </c>
      <c r="AV14" s="7">
        <v>0.03</v>
      </c>
      <c r="AW14" s="7">
        <v>0.03</v>
      </c>
      <c r="AX14" s="7">
        <v>0.03</v>
      </c>
    </row>
    <row r="15" spans="1:50" ht="36" customHeight="1" x14ac:dyDescent="0.25">
      <c r="A15" s="10">
        <f t="shared" ref="A15:A20" si="0">A14+1</f>
        <v>3</v>
      </c>
      <c r="B15" s="71" t="s">
        <v>50</v>
      </c>
      <c r="C15" s="72"/>
      <c r="D15" s="73"/>
      <c r="E15" s="74" t="s">
        <v>58</v>
      </c>
      <c r="F15" s="74"/>
      <c r="G15" s="5">
        <v>0.1</v>
      </c>
      <c r="H15" s="6" t="s">
        <v>15</v>
      </c>
      <c r="I15" s="6">
        <v>2018</v>
      </c>
      <c r="J15" s="6" t="s">
        <v>14</v>
      </c>
      <c r="K15" s="6">
        <v>2021</v>
      </c>
      <c r="L15" s="7">
        <v>0</v>
      </c>
      <c r="M15" s="7">
        <v>0</v>
      </c>
      <c r="N15" s="7">
        <v>0</v>
      </c>
      <c r="O15" s="7">
        <v>0.02</v>
      </c>
      <c r="P15" s="7">
        <v>0.03</v>
      </c>
      <c r="Q15" s="7">
        <v>0.03</v>
      </c>
      <c r="R15" s="7">
        <v>0.02</v>
      </c>
      <c r="S15" s="7">
        <v>0.03</v>
      </c>
      <c r="T15" s="7">
        <v>0.03</v>
      </c>
      <c r="U15" s="7">
        <v>0.03</v>
      </c>
      <c r="V15" s="7">
        <v>0.03</v>
      </c>
      <c r="W15" s="7">
        <v>0.03</v>
      </c>
      <c r="X15" s="7">
        <v>0.02</v>
      </c>
      <c r="Y15" s="7">
        <v>0.03</v>
      </c>
      <c r="Z15" s="7">
        <v>0.03</v>
      </c>
      <c r="AA15" s="7">
        <v>0.03</v>
      </c>
      <c r="AB15" s="7">
        <v>0.03</v>
      </c>
      <c r="AC15" s="7">
        <v>0.03</v>
      </c>
      <c r="AD15" s="7">
        <v>0.02</v>
      </c>
      <c r="AE15" s="7">
        <v>0.03</v>
      </c>
      <c r="AF15" s="7">
        <v>0.03</v>
      </c>
      <c r="AG15" s="7">
        <v>0.03</v>
      </c>
      <c r="AH15" s="7">
        <v>0.03</v>
      </c>
      <c r="AI15" s="7">
        <v>0.03</v>
      </c>
      <c r="AJ15" s="7">
        <v>0.02</v>
      </c>
      <c r="AK15" s="7">
        <v>0.03</v>
      </c>
      <c r="AL15" s="7">
        <v>0.03</v>
      </c>
      <c r="AM15" s="7">
        <v>0.02</v>
      </c>
      <c r="AN15" s="7">
        <v>0.03</v>
      </c>
      <c r="AO15" s="7">
        <v>0.03</v>
      </c>
      <c r="AP15" s="7">
        <v>0.02</v>
      </c>
      <c r="AQ15" s="7">
        <v>0.03</v>
      </c>
      <c r="AR15" s="7">
        <v>0.03</v>
      </c>
      <c r="AS15" s="7">
        <v>0.02</v>
      </c>
      <c r="AT15" s="7">
        <v>0.03</v>
      </c>
      <c r="AU15" s="7">
        <v>0.03</v>
      </c>
      <c r="AV15" s="7">
        <v>0.03</v>
      </c>
      <c r="AW15" s="7">
        <v>0.03</v>
      </c>
      <c r="AX15" s="7">
        <v>0.03</v>
      </c>
    </row>
    <row r="16" spans="1:50" ht="36" customHeight="1" x14ac:dyDescent="0.25">
      <c r="A16" s="10">
        <f t="shared" si="0"/>
        <v>4</v>
      </c>
      <c r="B16" s="71" t="s">
        <v>51</v>
      </c>
      <c r="C16" s="72"/>
      <c r="D16" s="73"/>
      <c r="E16" s="74" t="s">
        <v>59</v>
      </c>
      <c r="F16" s="74"/>
      <c r="G16" s="5">
        <v>0.2</v>
      </c>
      <c r="H16" s="6" t="s">
        <v>15</v>
      </c>
      <c r="I16" s="6">
        <v>2018</v>
      </c>
      <c r="J16" s="6" t="s">
        <v>17</v>
      </c>
      <c r="K16" s="6">
        <v>2019</v>
      </c>
      <c r="L16" s="7">
        <v>0</v>
      </c>
      <c r="M16" s="7">
        <v>0</v>
      </c>
      <c r="N16" s="7">
        <v>0</v>
      </c>
      <c r="O16" s="7">
        <v>0.11</v>
      </c>
      <c r="P16" s="7">
        <v>0.11</v>
      </c>
      <c r="Q16" s="7">
        <v>0.11</v>
      </c>
      <c r="R16" s="7">
        <v>0.11</v>
      </c>
      <c r="S16" s="7">
        <v>0.11</v>
      </c>
      <c r="T16" s="7">
        <v>0.12</v>
      </c>
      <c r="U16" s="7">
        <v>0.04</v>
      </c>
      <c r="V16" s="7">
        <v>0.04</v>
      </c>
      <c r="W16" s="7">
        <v>0.04</v>
      </c>
      <c r="X16" s="7">
        <v>0.04</v>
      </c>
      <c r="Y16" s="7">
        <v>0.04</v>
      </c>
      <c r="Z16" s="7">
        <v>0.03</v>
      </c>
      <c r="AA16" s="7">
        <v>0.03</v>
      </c>
      <c r="AB16" s="7">
        <v>0.03</v>
      </c>
      <c r="AC16" s="7">
        <v>0.04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</row>
    <row r="17" spans="1:50" ht="36" customHeight="1" x14ac:dyDescent="0.25">
      <c r="A17" s="10">
        <f t="shared" si="0"/>
        <v>5</v>
      </c>
      <c r="B17" s="71" t="s">
        <v>52</v>
      </c>
      <c r="C17" s="72"/>
      <c r="D17" s="73"/>
      <c r="E17" s="74" t="s">
        <v>302</v>
      </c>
      <c r="F17" s="74"/>
      <c r="G17" s="5">
        <v>0.1</v>
      </c>
      <c r="H17" s="6" t="s">
        <v>15</v>
      </c>
      <c r="I17" s="6">
        <v>2018</v>
      </c>
      <c r="J17" s="6" t="s">
        <v>14</v>
      </c>
      <c r="K17" s="6">
        <v>2021</v>
      </c>
      <c r="L17" s="7">
        <v>0</v>
      </c>
      <c r="M17" s="7">
        <v>0</v>
      </c>
      <c r="N17" s="7">
        <v>0</v>
      </c>
      <c r="O17" s="7">
        <v>0.02</v>
      </c>
      <c r="P17" s="7">
        <v>0.03</v>
      </c>
      <c r="Q17" s="7">
        <v>0.03</v>
      </c>
      <c r="R17" s="7">
        <v>0.02</v>
      </c>
      <c r="S17" s="7">
        <v>0.03</v>
      </c>
      <c r="T17" s="7">
        <v>0.03</v>
      </c>
      <c r="U17" s="7">
        <v>0.03</v>
      </c>
      <c r="V17" s="7">
        <v>0.03</v>
      </c>
      <c r="W17" s="7">
        <v>0.03</v>
      </c>
      <c r="X17" s="7">
        <v>0.02</v>
      </c>
      <c r="Y17" s="7">
        <v>0.03</v>
      </c>
      <c r="Z17" s="7">
        <v>0.03</v>
      </c>
      <c r="AA17" s="7">
        <v>0.03</v>
      </c>
      <c r="AB17" s="7">
        <v>0.03</v>
      </c>
      <c r="AC17" s="7">
        <v>0.03</v>
      </c>
      <c r="AD17" s="7">
        <v>0.02</v>
      </c>
      <c r="AE17" s="7">
        <v>0.03</v>
      </c>
      <c r="AF17" s="7">
        <v>0.03</v>
      </c>
      <c r="AG17" s="7">
        <v>0.03</v>
      </c>
      <c r="AH17" s="7">
        <v>0.03</v>
      </c>
      <c r="AI17" s="7">
        <v>0.03</v>
      </c>
      <c r="AJ17" s="7">
        <v>0.02</v>
      </c>
      <c r="AK17" s="7">
        <v>0.03</v>
      </c>
      <c r="AL17" s="7">
        <v>0.03</v>
      </c>
      <c r="AM17" s="7">
        <v>0.02</v>
      </c>
      <c r="AN17" s="7">
        <v>0.03</v>
      </c>
      <c r="AO17" s="7">
        <v>0.03</v>
      </c>
      <c r="AP17" s="7">
        <v>0.02</v>
      </c>
      <c r="AQ17" s="7">
        <v>0.03</v>
      </c>
      <c r="AR17" s="7">
        <v>0.03</v>
      </c>
      <c r="AS17" s="7">
        <v>0.02</v>
      </c>
      <c r="AT17" s="7">
        <v>0.03</v>
      </c>
      <c r="AU17" s="7">
        <v>0.03</v>
      </c>
      <c r="AV17" s="7">
        <v>0.03</v>
      </c>
      <c r="AW17" s="7">
        <v>0.03</v>
      </c>
      <c r="AX17" s="7">
        <v>0.03</v>
      </c>
    </row>
    <row r="18" spans="1:50" ht="36" customHeight="1" x14ac:dyDescent="0.25">
      <c r="A18" s="10">
        <f t="shared" si="0"/>
        <v>6</v>
      </c>
      <c r="B18" s="71" t="s">
        <v>62</v>
      </c>
      <c r="C18" s="72"/>
      <c r="D18" s="73"/>
      <c r="E18" s="74" t="s">
        <v>304</v>
      </c>
      <c r="F18" s="74"/>
      <c r="G18" s="5">
        <v>0.1</v>
      </c>
      <c r="H18" s="6" t="s">
        <v>15</v>
      </c>
      <c r="I18" s="6">
        <v>2018</v>
      </c>
      <c r="J18" s="6" t="s">
        <v>14</v>
      </c>
      <c r="K18" s="6">
        <v>2021</v>
      </c>
      <c r="L18" s="7">
        <v>0</v>
      </c>
      <c r="M18" s="7">
        <v>0</v>
      </c>
      <c r="N18" s="7">
        <v>0</v>
      </c>
      <c r="O18" s="7">
        <v>0.02</v>
      </c>
      <c r="P18" s="7">
        <v>0.03</v>
      </c>
      <c r="Q18" s="7">
        <v>0.03</v>
      </c>
      <c r="R18" s="7">
        <v>0.02</v>
      </c>
      <c r="S18" s="7">
        <v>0.03</v>
      </c>
      <c r="T18" s="7">
        <v>0.03</v>
      </c>
      <c r="U18" s="7">
        <v>0.03</v>
      </c>
      <c r="V18" s="7">
        <v>0.03</v>
      </c>
      <c r="W18" s="7">
        <v>0.03</v>
      </c>
      <c r="X18" s="7">
        <v>0.02</v>
      </c>
      <c r="Y18" s="7">
        <v>0.03</v>
      </c>
      <c r="Z18" s="7">
        <v>0.03</v>
      </c>
      <c r="AA18" s="7">
        <v>0.03</v>
      </c>
      <c r="AB18" s="7">
        <v>0.03</v>
      </c>
      <c r="AC18" s="7">
        <v>0.03</v>
      </c>
      <c r="AD18" s="7">
        <v>0.02</v>
      </c>
      <c r="AE18" s="7">
        <v>0.03</v>
      </c>
      <c r="AF18" s="7">
        <v>0.03</v>
      </c>
      <c r="AG18" s="7">
        <v>0.03</v>
      </c>
      <c r="AH18" s="7">
        <v>0.03</v>
      </c>
      <c r="AI18" s="7">
        <v>0.03</v>
      </c>
      <c r="AJ18" s="7">
        <v>0.02</v>
      </c>
      <c r="AK18" s="7">
        <v>0.03</v>
      </c>
      <c r="AL18" s="7">
        <v>0.03</v>
      </c>
      <c r="AM18" s="7">
        <v>0.02</v>
      </c>
      <c r="AN18" s="7">
        <v>0.03</v>
      </c>
      <c r="AO18" s="7">
        <v>0.03</v>
      </c>
      <c r="AP18" s="7">
        <v>0.02</v>
      </c>
      <c r="AQ18" s="7">
        <v>0.03</v>
      </c>
      <c r="AR18" s="7">
        <v>0.03</v>
      </c>
      <c r="AS18" s="7">
        <v>0.02</v>
      </c>
      <c r="AT18" s="7">
        <v>0.03</v>
      </c>
      <c r="AU18" s="7">
        <v>0.03</v>
      </c>
      <c r="AV18" s="7">
        <v>0.03</v>
      </c>
      <c r="AW18" s="7">
        <v>0.03</v>
      </c>
      <c r="AX18" s="7">
        <v>0.03</v>
      </c>
    </row>
    <row r="19" spans="1:50" ht="36" customHeight="1" x14ac:dyDescent="0.25">
      <c r="A19" s="10">
        <f t="shared" si="0"/>
        <v>7</v>
      </c>
      <c r="B19" s="71" t="s">
        <v>303</v>
      </c>
      <c r="C19" s="72"/>
      <c r="D19" s="73"/>
      <c r="E19" s="74" t="s">
        <v>61</v>
      </c>
      <c r="F19" s="74"/>
      <c r="G19" s="5">
        <v>0.1</v>
      </c>
      <c r="H19" s="6" t="s">
        <v>15</v>
      </c>
      <c r="I19" s="6">
        <v>2018</v>
      </c>
      <c r="J19" s="6" t="s">
        <v>14</v>
      </c>
      <c r="K19" s="6">
        <v>2021</v>
      </c>
      <c r="L19" s="7">
        <v>0</v>
      </c>
      <c r="M19" s="7">
        <v>0</v>
      </c>
      <c r="N19" s="7">
        <v>0</v>
      </c>
      <c r="O19" s="7">
        <v>0.02</v>
      </c>
      <c r="P19" s="7">
        <v>0.03</v>
      </c>
      <c r="Q19" s="7">
        <v>0.03</v>
      </c>
      <c r="R19" s="7">
        <v>0.02</v>
      </c>
      <c r="S19" s="7">
        <v>0.03</v>
      </c>
      <c r="T19" s="7">
        <v>0.03</v>
      </c>
      <c r="U19" s="7">
        <v>0.03</v>
      </c>
      <c r="V19" s="7">
        <v>0.03</v>
      </c>
      <c r="W19" s="7">
        <v>0.03</v>
      </c>
      <c r="X19" s="7">
        <v>0.02</v>
      </c>
      <c r="Y19" s="7">
        <v>0.03</v>
      </c>
      <c r="Z19" s="7">
        <v>0.03</v>
      </c>
      <c r="AA19" s="7">
        <v>0.03</v>
      </c>
      <c r="AB19" s="7">
        <v>0.03</v>
      </c>
      <c r="AC19" s="7">
        <v>0.03</v>
      </c>
      <c r="AD19" s="7">
        <v>0.02</v>
      </c>
      <c r="AE19" s="7">
        <v>0.03</v>
      </c>
      <c r="AF19" s="7">
        <v>0.03</v>
      </c>
      <c r="AG19" s="7">
        <v>0.03</v>
      </c>
      <c r="AH19" s="7">
        <v>0.03</v>
      </c>
      <c r="AI19" s="7">
        <v>0.03</v>
      </c>
      <c r="AJ19" s="7">
        <v>0.02</v>
      </c>
      <c r="AK19" s="7">
        <v>0.03</v>
      </c>
      <c r="AL19" s="7">
        <v>0.03</v>
      </c>
      <c r="AM19" s="7">
        <v>0.02</v>
      </c>
      <c r="AN19" s="7">
        <v>0.03</v>
      </c>
      <c r="AO19" s="7">
        <v>0.03</v>
      </c>
      <c r="AP19" s="7">
        <v>0.02</v>
      </c>
      <c r="AQ19" s="7">
        <v>0.03</v>
      </c>
      <c r="AR19" s="7">
        <v>0.03</v>
      </c>
      <c r="AS19" s="7">
        <v>0.02</v>
      </c>
      <c r="AT19" s="7">
        <v>0.03</v>
      </c>
      <c r="AU19" s="7">
        <v>0.03</v>
      </c>
      <c r="AV19" s="7">
        <v>0.03</v>
      </c>
      <c r="AW19" s="7">
        <v>0.03</v>
      </c>
      <c r="AX19" s="7">
        <v>0.03</v>
      </c>
    </row>
    <row r="20" spans="1:50" ht="36" customHeight="1" x14ac:dyDescent="0.25">
      <c r="A20" s="10">
        <f t="shared" si="0"/>
        <v>8</v>
      </c>
      <c r="B20" s="71" t="s">
        <v>53</v>
      </c>
      <c r="C20" s="72"/>
      <c r="D20" s="73"/>
      <c r="E20" s="74" t="s">
        <v>60</v>
      </c>
      <c r="F20" s="74"/>
      <c r="G20" s="5">
        <v>0.1</v>
      </c>
      <c r="H20" s="6" t="s">
        <v>15</v>
      </c>
      <c r="I20" s="6">
        <v>2018</v>
      </c>
      <c r="J20" s="6" t="s">
        <v>14</v>
      </c>
      <c r="K20" s="6">
        <v>2021</v>
      </c>
      <c r="L20" s="7">
        <v>0</v>
      </c>
      <c r="M20" s="7">
        <v>0</v>
      </c>
      <c r="N20" s="7">
        <v>0</v>
      </c>
      <c r="O20" s="7">
        <v>0.02</v>
      </c>
      <c r="P20" s="7">
        <v>0.03</v>
      </c>
      <c r="Q20" s="7">
        <v>0.03</v>
      </c>
      <c r="R20" s="7">
        <v>0.02</v>
      </c>
      <c r="S20" s="7">
        <v>0.03</v>
      </c>
      <c r="T20" s="7">
        <v>0.03</v>
      </c>
      <c r="U20" s="7">
        <v>0.03</v>
      </c>
      <c r="V20" s="7">
        <v>0.03</v>
      </c>
      <c r="W20" s="7">
        <v>0.03</v>
      </c>
      <c r="X20" s="7">
        <v>0.02</v>
      </c>
      <c r="Y20" s="7">
        <v>0.03</v>
      </c>
      <c r="Z20" s="7">
        <v>0.03</v>
      </c>
      <c r="AA20" s="7">
        <v>0.03</v>
      </c>
      <c r="AB20" s="7">
        <v>0.03</v>
      </c>
      <c r="AC20" s="7">
        <v>0.03</v>
      </c>
      <c r="AD20" s="7">
        <v>0.02</v>
      </c>
      <c r="AE20" s="7">
        <v>0.03</v>
      </c>
      <c r="AF20" s="7">
        <v>0.03</v>
      </c>
      <c r="AG20" s="7">
        <v>0.03</v>
      </c>
      <c r="AH20" s="7">
        <v>0.03</v>
      </c>
      <c r="AI20" s="7">
        <v>0.03</v>
      </c>
      <c r="AJ20" s="7">
        <v>0.02</v>
      </c>
      <c r="AK20" s="7">
        <v>0.03</v>
      </c>
      <c r="AL20" s="7">
        <v>0.03</v>
      </c>
      <c r="AM20" s="7">
        <v>0.02</v>
      </c>
      <c r="AN20" s="7">
        <v>0.03</v>
      </c>
      <c r="AO20" s="7">
        <v>0.03</v>
      </c>
      <c r="AP20" s="7">
        <v>0.02</v>
      </c>
      <c r="AQ20" s="7">
        <v>0.03</v>
      </c>
      <c r="AR20" s="7">
        <v>0.03</v>
      </c>
      <c r="AS20" s="7">
        <v>0.02</v>
      </c>
      <c r="AT20" s="7">
        <v>0.03</v>
      </c>
      <c r="AU20" s="7">
        <v>0.03</v>
      </c>
      <c r="AV20" s="7">
        <v>0.03</v>
      </c>
      <c r="AW20" s="7">
        <v>0.03</v>
      </c>
      <c r="AX20" s="7">
        <v>0.03</v>
      </c>
    </row>
    <row r="21" spans="1:50" ht="15.75" customHeight="1" x14ac:dyDescent="0.25">
      <c r="A21" s="70" t="s">
        <v>34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50" ht="15.75" x14ac:dyDescent="0.25">
      <c r="A22" s="81" t="s">
        <v>24</v>
      </c>
      <c r="B22" s="81"/>
      <c r="C22" s="81"/>
      <c r="D22" s="70">
        <v>2018</v>
      </c>
      <c r="E22" s="70"/>
      <c r="F22" s="70">
        <v>2019</v>
      </c>
      <c r="G22" s="70"/>
      <c r="H22" s="70" t="s">
        <v>25</v>
      </c>
      <c r="I22" s="70"/>
      <c r="J22" s="70" t="s">
        <v>26</v>
      </c>
      <c r="K22" s="70"/>
    </row>
    <row r="23" spans="1:50" ht="27.75" customHeight="1" x14ac:dyDescent="0.25">
      <c r="A23" s="77" t="s">
        <v>29</v>
      </c>
      <c r="B23" s="77"/>
      <c r="C23" s="77"/>
      <c r="D23" s="78">
        <f>250756324/1000000</f>
        <v>250.75632400000001</v>
      </c>
      <c r="E23" s="78"/>
      <c r="F23" s="78">
        <f>361520433/1000000</f>
        <v>361.52043300000003</v>
      </c>
      <c r="G23" s="78"/>
      <c r="H23" s="78">
        <v>481.72</v>
      </c>
      <c r="I23" s="78"/>
      <c r="J23" s="79">
        <f>SUM(D23:I23)</f>
        <v>1093.9967570000001</v>
      </c>
      <c r="K23" s="79"/>
    </row>
    <row r="24" spans="1:50" ht="33.75" customHeight="1" x14ac:dyDescent="0.25">
      <c r="A24" s="77" t="s">
        <v>27</v>
      </c>
      <c r="B24" s="77"/>
      <c r="C24" s="77"/>
      <c r="D24" s="78">
        <f>240437000/1000000</f>
        <v>240.43700000000001</v>
      </c>
      <c r="E24" s="78"/>
      <c r="F24" s="78">
        <f>274833390/1000000</f>
        <v>274.83339000000001</v>
      </c>
      <c r="G24" s="78"/>
      <c r="H24" s="78">
        <v>426.9</v>
      </c>
      <c r="I24" s="78"/>
      <c r="J24" s="79">
        <f t="shared" ref="J24:J26" si="1">SUM(D24:I24)</f>
        <v>942.17039</v>
      </c>
      <c r="K24" s="79"/>
    </row>
    <row r="25" spans="1:50" ht="33.75" customHeight="1" x14ac:dyDescent="0.25">
      <c r="A25" s="77" t="s">
        <v>39</v>
      </c>
      <c r="B25" s="77"/>
      <c r="C25" s="77"/>
      <c r="D25" s="78">
        <v>0</v>
      </c>
      <c r="E25" s="78"/>
      <c r="F25" s="78">
        <v>0</v>
      </c>
      <c r="G25" s="78"/>
      <c r="H25" s="78">
        <v>0</v>
      </c>
      <c r="I25" s="78"/>
      <c r="J25" s="79">
        <f t="shared" si="1"/>
        <v>0</v>
      </c>
      <c r="K25" s="79"/>
    </row>
    <row r="26" spans="1:50" ht="47.25" customHeight="1" x14ac:dyDescent="0.25">
      <c r="A26" s="77" t="s">
        <v>33</v>
      </c>
      <c r="B26" s="77"/>
      <c r="C26" s="77"/>
      <c r="D26" s="78">
        <v>0</v>
      </c>
      <c r="E26" s="78"/>
      <c r="F26" s="78">
        <v>0</v>
      </c>
      <c r="G26" s="78"/>
      <c r="H26" s="78">
        <v>0</v>
      </c>
      <c r="I26" s="78"/>
      <c r="J26" s="79">
        <f t="shared" si="1"/>
        <v>0</v>
      </c>
      <c r="K26" s="79"/>
    </row>
    <row r="27" spans="1:50" ht="15.75" customHeight="1" x14ac:dyDescent="0.25">
      <c r="A27" s="80" t="s">
        <v>28</v>
      </c>
      <c r="B27" s="80"/>
      <c r="C27" s="80"/>
      <c r="D27" s="75">
        <f>SUM(D23:E26)</f>
        <v>491.19332400000002</v>
      </c>
      <c r="E27" s="75"/>
      <c r="F27" s="75">
        <f>SUM(F23:G26)</f>
        <v>636.35382300000003</v>
      </c>
      <c r="G27" s="75"/>
      <c r="H27" s="75">
        <f>SUM(H23:I26)</f>
        <v>908.62</v>
      </c>
      <c r="I27" s="75"/>
      <c r="J27" s="75">
        <f>SUM(J23:K26)</f>
        <v>2036.1671470000001</v>
      </c>
      <c r="K27" s="75"/>
      <c r="M27" s="87"/>
      <c r="N27" s="88"/>
      <c r="O27" s="88"/>
      <c r="P27" s="88"/>
    </row>
    <row r="28" spans="1:50" x14ac:dyDescent="0.25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</sheetData>
  <mergeCells count="89">
    <mergeCell ref="M27:P27"/>
    <mergeCell ref="A8:K8"/>
    <mergeCell ref="A1:B2"/>
    <mergeCell ref="C1:K1"/>
    <mergeCell ref="C2:K2"/>
    <mergeCell ref="A3:K3"/>
    <mergeCell ref="A4:C4"/>
    <mergeCell ref="D4:K4"/>
    <mergeCell ref="A5:C5"/>
    <mergeCell ref="D5:K5"/>
    <mergeCell ref="A6:C6"/>
    <mergeCell ref="D6:K6"/>
    <mergeCell ref="A7:K7"/>
    <mergeCell ref="A9:A12"/>
    <mergeCell ref="B9:D12"/>
    <mergeCell ref="E9:F12"/>
    <mergeCell ref="X10:AI10"/>
    <mergeCell ref="AJ10:AU10"/>
    <mergeCell ref="AV10:AX10"/>
    <mergeCell ref="L11:N11"/>
    <mergeCell ref="J9:K9"/>
    <mergeCell ref="AV11:AX11"/>
    <mergeCell ref="O11:Q11"/>
    <mergeCell ref="R11:T11"/>
    <mergeCell ref="AP11:AR11"/>
    <mergeCell ref="AS11:AU11"/>
    <mergeCell ref="B14:D14"/>
    <mergeCell ref="E14:F14"/>
    <mergeCell ref="AD11:AF11"/>
    <mergeCell ref="AG11:AI11"/>
    <mergeCell ref="AJ11:AL11"/>
    <mergeCell ref="AM11:AO11"/>
    <mergeCell ref="G9:G12"/>
    <mergeCell ref="H9:I9"/>
    <mergeCell ref="L9:AX9"/>
    <mergeCell ref="H10:H12"/>
    <mergeCell ref="I10:I12"/>
    <mergeCell ref="J10:J12"/>
    <mergeCell ref="K10:K12"/>
    <mergeCell ref="L10:W10"/>
    <mergeCell ref="B15:D15"/>
    <mergeCell ref="E15:F15"/>
    <mergeCell ref="B13:D13"/>
    <mergeCell ref="E13:F13"/>
    <mergeCell ref="AA11:AC11"/>
    <mergeCell ref="U11:W11"/>
    <mergeCell ref="X11:Z11"/>
    <mergeCell ref="B16:D16"/>
    <mergeCell ref="E16:F16"/>
    <mergeCell ref="B17:D17"/>
    <mergeCell ref="E17:F17"/>
    <mergeCell ref="B18:D18"/>
    <mergeCell ref="E18:F18"/>
    <mergeCell ref="B19:D19"/>
    <mergeCell ref="E19:F19"/>
    <mergeCell ref="H23:I23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A21:K21"/>
    <mergeCell ref="A22:C22"/>
    <mergeCell ref="D22:E22"/>
    <mergeCell ref="F22:G22"/>
    <mergeCell ref="A28:K28"/>
    <mergeCell ref="A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A27:C27"/>
    <mergeCell ref="D27:E27"/>
    <mergeCell ref="F27:G27"/>
    <mergeCell ref="H22:I22"/>
    <mergeCell ref="J22:K22"/>
    <mergeCell ref="B20:D20"/>
    <mergeCell ref="E20:F20"/>
    <mergeCell ref="H27:I27"/>
    <mergeCell ref="J27:K27"/>
  </mergeCells>
  <dataValidations xWindow="1201" yWindow="456" count="3">
    <dataValidation type="list" allowBlank="1" showInputMessage="1" showErrorMessage="1" sqref="J13:J20 H13:H20">
      <formula1>"Ene,Feb,Mar,Abr,May,Jun,Jul,Ago,Sep,Oct,Nov,Dic"</formula1>
    </dataValidation>
    <dataValidation type="list" allowBlank="1" showInputMessage="1" showErrorMessage="1" sqref="K13:K20 I13:I20">
      <formula1>"2018,2019,2020,2021"</formula1>
    </dataValidation>
    <dataValidation allowBlank="1" showInputMessage="1" showErrorMessage="1" prompt="Registre para el período en cuestión, el valor de las inversiones de acuerdo con la fuente de recursos" sqref="D23:E26 F23:G24 F26:G26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4"/>
  <sheetViews>
    <sheetView showGridLines="0" topLeftCell="A25" zoomScaleNormal="100" workbookViewId="0">
      <selection activeCell="N23" sqref="N23:P23"/>
    </sheetView>
  </sheetViews>
  <sheetFormatPr baseColWidth="10" defaultColWidth="11.42578125" defaultRowHeight="45" customHeight="1" outlineLevelCol="1" x14ac:dyDescent="0.25"/>
  <cols>
    <col min="1" max="1" width="4.42578125" style="2" customWidth="1"/>
    <col min="2" max="2" width="15.42578125" style="1" customWidth="1"/>
    <col min="3" max="3" width="11" style="1" customWidth="1"/>
    <col min="4" max="4" width="11.42578125" style="1"/>
    <col min="5" max="6" width="10.7109375" style="1" customWidth="1"/>
    <col min="7" max="7" width="15.140625" style="1" customWidth="1"/>
    <col min="8" max="8" width="10.7109375" style="1" customWidth="1"/>
    <col min="9" max="9" width="12" style="1" customWidth="1"/>
    <col min="10" max="11" width="10.7109375" style="1" customWidth="1"/>
    <col min="12" max="50" width="5.7109375" style="1" customWidth="1" outlineLevel="1"/>
    <col min="51" max="16384" width="11.42578125" style="1"/>
  </cols>
  <sheetData>
    <row r="1" spans="1:50" ht="45" customHeight="1" x14ac:dyDescent="0.25">
      <c r="A1" s="92"/>
      <c r="B1" s="92"/>
      <c r="C1" s="93" t="s">
        <v>30</v>
      </c>
      <c r="D1" s="93"/>
      <c r="E1" s="93"/>
      <c r="F1" s="93"/>
      <c r="G1" s="93"/>
      <c r="H1" s="93"/>
      <c r="I1" s="93"/>
      <c r="J1" s="93"/>
      <c r="K1" s="9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5" customHeight="1" x14ac:dyDescent="0.25">
      <c r="A2" s="92"/>
      <c r="B2" s="92"/>
      <c r="C2" s="93" t="s">
        <v>31</v>
      </c>
      <c r="D2" s="93"/>
      <c r="E2" s="93"/>
      <c r="F2" s="93"/>
      <c r="G2" s="93"/>
      <c r="H2" s="93"/>
      <c r="I2" s="93"/>
      <c r="J2" s="93"/>
      <c r="K2" s="9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45" customHeight="1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45" customHeight="1" x14ac:dyDescent="0.25">
      <c r="A4" s="95" t="s">
        <v>35</v>
      </c>
      <c r="B4" s="95"/>
      <c r="C4" s="95"/>
      <c r="D4" s="96" t="s">
        <v>46</v>
      </c>
      <c r="E4" s="96"/>
      <c r="F4" s="96"/>
      <c r="G4" s="96"/>
      <c r="H4" s="96"/>
      <c r="I4" s="96"/>
      <c r="J4" s="96"/>
      <c r="K4" s="96"/>
    </row>
    <row r="5" spans="1:50" ht="45" customHeight="1" x14ac:dyDescent="0.25">
      <c r="A5" s="95" t="s">
        <v>1</v>
      </c>
      <c r="B5" s="95"/>
      <c r="C5" s="95"/>
      <c r="D5" s="96" t="s">
        <v>294</v>
      </c>
      <c r="E5" s="96"/>
      <c r="F5" s="96"/>
      <c r="G5" s="96"/>
      <c r="H5" s="96"/>
      <c r="I5" s="96"/>
      <c r="J5" s="96"/>
      <c r="K5" s="96"/>
    </row>
    <row r="6" spans="1:50" ht="45" customHeight="1" x14ac:dyDescent="0.25">
      <c r="A6" s="95" t="s">
        <v>32</v>
      </c>
      <c r="B6" s="95"/>
      <c r="C6" s="95"/>
      <c r="D6" s="96" t="s">
        <v>48</v>
      </c>
      <c r="E6" s="96"/>
      <c r="F6" s="96"/>
      <c r="G6" s="96"/>
      <c r="H6" s="96"/>
      <c r="I6" s="96"/>
      <c r="J6" s="96"/>
      <c r="K6" s="96"/>
    </row>
    <row r="7" spans="1:50" ht="45" customHeight="1" x14ac:dyDescent="0.25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50" ht="72" customHeight="1" x14ac:dyDescent="0.25">
      <c r="A8" s="89" t="s">
        <v>305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50" ht="45" customHeight="1" x14ac:dyDescent="0.25">
      <c r="A9" s="98" t="s">
        <v>2</v>
      </c>
      <c r="B9" s="85" t="s">
        <v>37</v>
      </c>
      <c r="C9" s="85"/>
      <c r="D9" s="85"/>
      <c r="E9" s="85" t="s">
        <v>3</v>
      </c>
      <c r="F9" s="85"/>
      <c r="G9" s="85" t="s">
        <v>36</v>
      </c>
      <c r="H9" s="85" t="s">
        <v>4</v>
      </c>
      <c r="I9" s="85"/>
      <c r="J9" s="85" t="s">
        <v>5</v>
      </c>
      <c r="K9" s="85"/>
      <c r="L9" s="86" t="s">
        <v>45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45" customHeight="1" x14ac:dyDescent="0.25">
      <c r="A10" s="98"/>
      <c r="B10" s="85"/>
      <c r="C10" s="85"/>
      <c r="D10" s="85"/>
      <c r="E10" s="85"/>
      <c r="F10" s="85"/>
      <c r="G10" s="85"/>
      <c r="H10" s="85" t="s">
        <v>6</v>
      </c>
      <c r="I10" s="85" t="s">
        <v>7</v>
      </c>
      <c r="J10" s="85" t="s">
        <v>6</v>
      </c>
      <c r="K10" s="85" t="s">
        <v>7</v>
      </c>
      <c r="L10" s="85" t="s">
        <v>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 t="s">
        <v>9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 t="s">
        <v>10</v>
      </c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 t="s">
        <v>11</v>
      </c>
      <c r="AW10" s="85"/>
      <c r="AX10" s="85"/>
    </row>
    <row r="11" spans="1:50" ht="45" customHeight="1" x14ac:dyDescent="0.25">
      <c r="A11" s="9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2" t="s">
        <v>41</v>
      </c>
      <c r="M11" s="83"/>
      <c r="N11" s="84"/>
      <c r="O11" s="82" t="s">
        <v>42</v>
      </c>
      <c r="P11" s="83"/>
      <c r="Q11" s="84"/>
      <c r="R11" s="82" t="s">
        <v>43</v>
      </c>
      <c r="S11" s="83"/>
      <c r="T11" s="84"/>
      <c r="U11" s="82" t="s">
        <v>44</v>
      </c>
      <c r="V11" s="83"/>
      <c r="W11" s="84"/>
      <c r="X11" s="82" t="s">
        <v>41</v>
      </c>
      <c r="Y11" s="83"/>
      <c r="Z11" s="84"/>
      <c r="AA11" s="82" t="s">
        <v>42</v>
      </c>
      <c r="AB11" s="83"/>
      <c r="AC11" s="84"/>
      <c r="AD11" s="82" t="s">
        <v>43</v>
      </c>
      <c r="AE11" s="83"/>
      <c r="AF11" s="84"/>
      <c r="AG11" s="82" t="s">
        <v>44</v>
      </c>
      <c r="AH11" s="83"/>
      <c r="AI11" s="84"/>
      <c r="AJ11" s="82" t="s">
        <v>41</v>
      </c>
      <c r="AK11" s="83"/>
      <c r="AL11" s="84"/>
      <c r="AM11" s="82" t="s">
        <v>42</v>
      </c>
      <c r="AN11" s="83"/>
      <c r="AO11" s="84"/>
      <c r="AP11" s="82" t="s">
        <v>43</v>
      </c>
      <c r="AQ11" s="83"/>
      <c r="AR11" s="84"/>
      <c r="AS11" s="82" t="s">
        <v>44</v>
      </c>
      <c r="AT11" s="83"/>
      <c r="AU11" s="84"/>
      <c r="AV11" s="82" t="s">
        <v>41</v>
      </c>
      <c r="AW11" s="83"/>
      <c r="AX11" s="84"/>
    </row>
    <row r="12" spans="1:50" ht="45" customHeight="1" x14ac:dyDescent="0.25">
      <c r="A12" s="9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" t="s">
        <v>12</v>
      </c>
      <c r="M12" s="8" t="s">
        <v>13</v>
      </c>
      <c r="N12" s="8" t="s">
        <v>14</v>
      </c>
      <c r="O12" s="8" t="s">
        <v>15</v>
      </c>
      <c r="P12" s="8" t="s">
        <v>16</v>
      </c>
      <c r="Q12" s="8" t="s">
        <v>17</v>
      </c>
      <c r="R12" s="8" t="s">
        <v>18</v>
      </c>
      <c r="S12" s="8" t="s">
        <v>19</v>
      </c>
      <c r="T12" s="8" t="s">
        <v>20</v>
      </c>
      <c r="U12" s="8" t="s">
        <v>21</v>
      </c>
      <c r="V12" s="8" t="s">
        <v>22</v>
      </c>
      <c r="W12" s="8" t="s">
        <v>23</v>
      </c>
      <c r="X12" s="8" t="s">
        <v>12</v>
      </c>
      <c r="Y12" s="8" t="s">
        <v>13</v>
      </c>
      <c r="Z12" s="8" t="s">
        <v>14</v>
      </c>
      <c r="AA12" s="8" t="s">
        <v>15</v>
      </c>
      <c r="AB12" s="8" t="s">
        <v>16</v>
      </c>
      <c r="AC12" s="8" t="s">
        <v>17</v>
      </c>
      <c r="AD12" s="8" t="s">
        <v>18</v>
      </c>
      <c r="AE12" s="8" t="s">
        <v>19</v>
      </c>
      <c r="AF12" s="8" t="s">
        <v>20</v>
      </c>
      <c r="AG12" s="8" t="s">
        <v>21</v>
      </c>
      <c r="AH12" s="8" t="s">
        <v>22</v>
      </c>
      <c r="AI12" s="8" t="s">
        <v>23</v>
      </c>
      <c r="AJ12" s="8" t="s">
        <v>12</v>
      </c>
      <c r="AK12" s="8" t="s">
        <v>13</v>
      </c>
      <c r="AL12" s="8" t="s">
        <v>14</v>
      </c>
      <c r="AM12" s="8" t="s">
        <v>15</v>
      </c>
      <c r="AN12" s="8" t="s">
        <v>16</v>
      </c>
      <c r="AO12" s="8" t="s">
        <v>17</v>
      </c>
      <c r="AP12" s="8" t="s">
        <v>18</v>
      </c>
      <c r="AQ12" s="8" t="s">
        <v>19</v>
      </c>
      <c r="AR12" s="8" t="s">
        <v>20</v>
      </c>
      <c r="AS12" s="8" t="s">
        <v>21</v>
      </c>
      <c r="AT12" s="8" t="s">
        <v>22</v>
      </c>
      <c r="AU12" s="8" t="s">
        <v>23</v>
      </c>
      <c r="AV12" s="8" t="s">
        <v>12</v>
      </c>
      <c r="AW12" s="8" t="s">
        <v>13</v>
      </c>
      <c r="AX12" s="8" t="s">
        <v>14</v>
      </c>
    </row>
    <row r="13" spans="1:50" ht="45" customHeight="1" x14ac:dyDescent="0.25">
      <c r="A13" s="4">
        <v>1</v>
      </c>
      <c r="B13" s="100" t="s">
        <v>55</v>
      </c>
      <c r="C13" s="100"/>
      <c r="D13" s="100"/>
      <c r="E13" s="74" t="s">
        <v>68</v>
      </c>
      <c r="F13" s="74"/>
      <c r="G13" s="5">
        <v>0.2</v>
      </c>
      <c r="H13" s="6" t="s">
        <v>15</v>
      </c>
      <c r="I13" s="6">
        <v>2018</v>
      </c>
      <c r="J13" s="6" t="s">
        <v>14</v>
      </c>
      <c r="K13" s="6">
        <v>2021</v>
      </c>
      <c r="L13" s="7">
        <v>0</v>
      </c>
      <c r="M13" s="7">
        <v>0</v>
      </c>
      <c r="N13" s="7">
        <v>0</v>
      </c>
      <c r="O13" s="7">
        <v>0.02</v>
      </c>
      <c r="P13" s="7">
        <v>0.03</v>
      </c>
      <c r="Q13" s="7">
        <v>0.03</v>
      </c>
      <c r="R13" s="7">
        <v>0.02</v>
      </c>
      <c r="S13" s="7">
        <v>0.03</v>
      </c>
      <c r="T13" s="7">
        <v>0.03</v>
      </c>
      <c r="U13" s="7">
        <v>0.03</v>
      </c>
      <c r="V13" s="7">
        <v>0.03</v>
      </c>
      <c r="W13" s="7">
        <v>0.03</v>
      </c>
      <c r="X13" s="7">
        <v>0.02</v>
      </c>
      <c r="Y13" s="7">
        <v>0.03</v>
      </c>
      <c r="Z13" s="7">
        <v>0.03</v>
      </c>
      <c r="AA13" s="7">
        <v>0.03</v>
      </c>
      <c r="AB13" s="7">
        <v>0.03</v>
      </c>
      <c r="AC13" s="7">
        <v>0.03</v>
      </c>
      <c r="AD13" s="7">
        <v>0.02</v>
      </c>
      <c r="AE13" s="7">
        <v>0.03</v>
      </c>
      <c r="AF13" s="7">
        <v>0.03</v>
      </c>
      <c r="AG13" s="7">
        <v>0.03</v>
      </c>
      <c r="AH13" s="7">
        <v>0.03</v>
      </c>
      <c r="AI13" s="7">
        <v>0.03</v>
      </c>
      <c r="AJ13" s="7">
        <v>0.02</v>
      </c>
      <c r="AK13" s="7">
        <v>0.03</v>
      </c>
      <c r="AL13" s="7">
        <v>0.03</v>
      </c>
      <c r="AM13" s="7">
        <v>0.02</v>
      </c>
      <c r="AN13" s="7">
        <v>0.03</v>
      </c>
      <c r="AO13" s="7">
        <v>0.03</v>
      </c>
      <c r="AP13" s="7">
        <v>0.02</v>
      </c>
      <c r="AQ13" s="7">
        <v>0.03</v>
      </c>
      <c r="AR13" s="7">
        <v>0.03</v>
      </c>
      <c r="AS13" s="7">
        <v>0.02</v>
      </c>
      <c r="AT13" s="7">
        <v>0.03</v>
      </c>
      <c r="AU13" s="7">
        <v>0.03</v>
      </c>
      <c r="AV13" s="7">
        <v>0.03</v>
      </c>
      <c r="AW13" s="7">
        <v>0.03</v>
      </c>
      <c r="AX13" s="7">
        <v>0.03</v>
      </c>
    </row>
    <row r="14" spans="1:50" ht="45" customHeight="1" x14ac:dyDescent="0.25">
      <c r="A14" s="4">
        <f>A13+1</f>
        <v>2</v>
      </c>
      <c r="B14" s="100" t="s">
        <v>54</v>
      </c>
      <c r="C14" s="100"/>
      <c r="D14" s="100"/>
      <c r="E14" s="74" t="s">
        <v>65</v>
      </c>
      <c r="F14" s="74"/>
      <c r="G14" s="5">
        <v>0.4</v>
      </c>
      <c r="H14" s="6" t="s">
        <v>15</v>
      </c>
      <c r="I14" s="6">
        <v>2018</v>
      </c>
      <c r="J14" s="6" t="s">
        <v>23</v>
      </c>
      <c r="K14" s="6">
        <v>2020</v>
      </c>
      <c r="L14" s="7">
        <v>0</v>
      </c>
      <c r="M14" s="7">
        <v>0</v>
      </c>
      <c r="N14" s="7">
        <v>0</v>
      </c>
      <c r="O14" s="7">
        <v>0.04</v>
      </c>
      <c r="P14" s="7">
        <v>0.04</v>
      </c>
      <c r="Q14" s="7">
        <v>0.04</v>
      </c>
      <c r="R14" s="7">
        <v>0.04</v>
      </c>
      <c r="S14" s="7">
        <v>0.04</v>
      </c>
      <c r="T14" s="7">
        <v>0.05</v>
      </c>
      <c r="U14" s="7">
        <v>0.04</v>
      </c>
      <c r="V14" s="7">
        <v>0.04</v>
      </c>
      <c r="W14" s="7">
        <v>0.04</v>
      </c>
      <c r="X14" s="7">
        <v>0.04</v>
      </c>
      <c r="Y14" s="7">
        <v>0.04</v>
      </c>
      <c r="Z14" s="7">
        <v>0.05</v>
      </c>
      <c r="AA14" s="7">
        <v>0.04</v>
      </c>
      <c r="AB14" s="7">
        <v>0.04</v>
      </c>
      <c r="AC14" s="7">
        <v>0.04</v>
      </c>
      <c r="AD14" s="7">
        <v>0.04</v>
      </c>
      <c r="AE14" s="7">
        <v>0.04</v>
      </c>
      <c r="AF14" s="7">
        <v>0.05</v>
      </c>
      <c r="AG14" s="7">
        <v>0.04</v>
      </c>
      <c r="AH14" s="7">
        <v>0.04</v>
      </c>
      <c r="AI14" s="7">
        <v>0.04</v>
      </c>
      <c r="AJ14" s="7">
        <v>0.04</v>
      </c>
      <c r="AK14" s="7">
        <v>0.04</v>
      </c>
      <c r="AL14" s="7">
        <v>0.05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</row>
    <row r="15" spans="1:50" ht="45" customHeight="1" x14ac:dyDescent="0.25">
      <c r="A15" s="4">
        <f t="shared" ref="A15:A16" si="0">A14+1</f>
        <v>3</v>
      </c>
      <c r="B15" s="100" t="s">
        <v>56</v>
      </c>
      <c r="C15" s="100"/>
      <c r="D15" s="100"/>
      <c r="E15" s="74" t="s">
        <v>67</v>
      </c>
      <c r="F15" s="74"/>
      <c r="G15" s="5">
        <v>0.2</v>
      </c>
      <c r="H15" s="6" t="s">
        <v>15</v>
      </c>
      <c r="I15" s="6">
        <v>2018</v>
      </c>
      <c r="J15" s="6" t="s">
        <v>14</v>
      </c>
      <c r="K15" s="6">
        <v>2021</v>
      </c>
      <c r="L15" s="7">
        <v>0</v>
      </c>
      <c r="M15" s="7">
        <v>0</v>
      </c>
      <c r="N15" s="7">
        <v>0</v>
      </c>
      <c r="O15" s="7">
        <v>0.02</v>
      </c>
      <c r="P15" s="7">
        <v>0.03</v>
      </c>
      <c r="Q15" s="7">
        <v>0.03</v>
      </c>
      <c r="R15" s="7">
        <v>0.02</v>
      </c>
      <c r="S15" s="7">
        <v>0.03</v>
      </c>
      <c r="T15" s="7">
        <v>0.03</v>
      </c>
      <c r="U15" s="7">
        <v>0.02</v>
      </c>
      <c r="V15" s="7">
        <v>0.03</v>
      </c>
      <c r="W15" s="7">
        <v>0.03</v>
      </c>
      <c r="X15" s="7">
        <v>0.03</v>
      </c>
      <c r="Y15" s="7">
        <v>0.03</v>
      </c>
      <c r="Z15" s="7">
        <v>0.03</v>
      </c>
      <c r="AA15" s="7">
        <v>0.02</v>
      </c>
      <c r="AB15" s="7">
        <v>0.03</v>
      </c>
      <c r="AC15" s="7">
        <v>0.03</v>
      </c>
      <c r="AD15" s="7">
        <v>0.03</v>
      </c>
      <c r="AE15" s="7">
        <v>0.03</v>
      </c>
      <c r="AF15" s="7">
        <v>0.03</v>
      </c>
      <c r="AG15" s="7">
        <v>0.02</v>
      </c>
      <c r="AH15" s="7">
        <v>0.03</v>
      </c>
      <c r="AI15" s="7">
        <v>0.03</v>
      </c>
      <c r="AJ15" s="7">
        <v>0.02</v>
      </c>
      <c r="AK15" s="7">
        <v>0.03</v>
      </c>
      <c r="AL15" s="7">
        <v>0.03</v>
      </c>
      <c r="AM15" s="7">
        <v>0.03</v>
      </c>
      <c r="AN15" s="7">
        <v>0.03</v>
      </c>
      <c r="AO15" s="7">
        <v>0.03</v>
      </c>
      <c r="AP15" s="7">
        <v>0.02</v>
      </c>
      <c r="AQ15" s="7">
        <v>0.03</v>
      </c>
      <c r="AR15" s="7">
        <v>0.03</v>
      </c>
      <c r="AS15" s="7">
        <v>0.02</v>
      </c>
      <c r="AT15" s="7">
        <v>0.03</v>
      </c>
      <c r="AU15" s="7">
        <v>0.03</v>
      </c>
      <c r="AV15" s="7">
        <v>0.03</v>
      </c>
      <c r="AW15" s="7">
        <v>0.03</v>
      </c>
      <c r="AX15" s="7">
        <v>0.03</v>
      </c>
    </row>
    <row r="16" spans="1:50" ht="45" customHeight="1" x14ac:dyDescent="0.25">
      <c r="A16" s="4">
        <f t="shared" si="0"/>
        <v>4</v>
      </c>
      <c r="B16" s="100" t="s">
        <v>64</v>
      </c>
      <c r="C16" s="100"/>
      <c r="D16" s="100"/>
      <c r="E16" s="74" t="s">
        <v>66</v>
      </c>
      <c r="F16" s="74"/>
      <c r="G16" s="5">
        <v>0.2</v>
      </c>
      <c r="H16" s="6" t="s">
        <v>15</v>
      </c>
      <c r="I16" s="6">
        <v>2018</v>
      </c>
      <c r="J16" s="6" t="s">
        <v>14</v>
      </c>
      <c r="K16" s="6">
        <v>2021</v>
      </c>
      <c r="L16" s="7">
        <v>0</v>
      </c>
      <c r="M16" s="7">
        <v>0</v>
      </c>
      <c r="N16" s="7">
        <v>0</v>
      </c>
      <c r="O16" s="7">
        <v>0.02</v>
      </c>
      <c r="P16" s="7">
        <v>0.03</v>
      </c>
      <c r="Q16" s="7">
        <v>0.03</v>
      </c>
      <c r="R16" s="7">
        <v>0.02</v>
      </c>
      <c r="S16" s="7">
        <v>0.03</v>
      </c>
      <c r="T16" s="7">
        <v>0.03</v>
      </c>
      <c r="U16" s="7">
        <v>0.02</v>
      </c>
      <c r="V16" s="7">
        <v>0.03</v>
      </c>
      <c r="W16" s="7">
        <v>0.03</v>
      </c>
      <c r="X16" s="7">
        <v>0.03</v>
      </c>
      <c r="Y16" s="7">
        <v>0.03</v>
      </c>
      <c r="Z16" s="7">
        <v>0.03</v>
      </c>
      <c r="AA16" s="7">
        <v>0.02</v>
      </c>
      <c r="AB16" s="7">
        <v>0.03</v>
      </c>
      <c r="AC16" s="7">
        <v>0.03</v>
      </c>
      <c r="AD16" s="7">
        <v>0.03</v>
      </c>
      <c r="AE16" s="7">
        <v>0.03</v>
      </c>
      <c r="AF16" s="7">
        <v>0.03</v>
      </c>
      <c r="AG16" s="7">
        <v>0.02</v>
      </c>
      <c r="AH16" s="7">
        <v>0.03</v>
      </c>
      <c r="AI16" s="7">
        <v>0.03</v>
      </c>
      <c r="AJ16" s="7">
        <v>0.02</v>
      </c>
      <c r="AK16" s="7">
        <v>0.03</v>
      </c>
      <c r="AL16" s="7">
        <v>0.03</v>
      </c>
      <c r="AM16" s="7">
        <v>0.03</v>
      </c>
      <c r="AN16" s="7">
        <v>0.03</v>
      </c>
      <c r="AO16" s="7">
        <v>0.03</v>
      </c>
      <c r="AP16" s="7">
        <v>0.02</v>
      </c>
      <c r="AQ16" s="7">
        <v>0.03</v>
      </c>
      <c r="AR16" s="7">
        <v>0.03</v>
      </c>
      <c r="AS16" s="7">
        <v>0.02</v>
      </c>
      <c r="AT16" s="7">
        <v>0.03</v>
      </c>
      <c r="AU16" s="7">
        <v>0.03</v>
      </c>
      <c r="AV16" s="7">
        <v>0.03</v>
      </c>
      <c r="AW16" s="7">
        <v>0.03</v>
      </c>
      <c r="AX16" s="7">
        <v>0.03</v>
      </c>
    </row>
    <row r="17" spans="1:16" ht="45" customHeight="1" x14ac:dyDescent="0.25">
      <c r="A17" s="70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6" ht="45" customHeight="1" x14ac:dyDescent="0.25">
      <c r="A18" s="81" t="s">
        <v>24</v>
      </c>
      <c r="B18" s="81"/>
      <c r="C18" s="81"/>
      <c r="D18" s="70">
        <v>2018</v>
      </c>
      <c r="E18" s="70"/>
      <c r="F18" s="70">
        <v>2019</v>
      </c>
      <c r="G18" s="70"/>
      <c r="H18" s="70" t="s">
        <v>25</v>
      </c>
      <c r="I18" s="70"/>
      <c r="J18" s="70" t="s">
        <v>26</v>
      </c>
      <c r="K18" s="70"/>
    </row>
    <row r="19" spans="1:16" ht="45" customHeight="1" x14ac:dyDescent="0.25">
      <c r="A19" s="77" t="s">
        <v>29</v>
      </c>
      <c r="B19" s="77"/>
      <c r="C19" s="77"/>
      <c r="D19" s="78">
        <f>68736690/1000000</f>
        <v>68.736689999999996</v>
      </c>
      <c r="E19" s="78"/>
      <c r="F19" s="78">
        <f>84974018/1000000</f>
        <v>84.974018000000001</v>
      </c>
      <c r="G19" s="78"/>
      <c r="H19" s="78">
        <v>93.6</v>
      </c>
      <c r="I19" s="78"/>
      <c r="J19" s="79">
        <f>SUM(D19:I19)</f>
        <v>247.31070800000001</v>
      </c>
      <c r="K19" s="79"/>
    </row>
    <row r="20" spans="1:16" ht="45" customHeight="1" x14ac:dyDescent="0.25">
      <c r="A20" s="77" t="s">
        <v>27</v>
      </c>
      <c r="B20" s="77"/>
      <c r="C20" s="77"/>
      <c r="D20" s="78">
        <f>9473125/1000000</f>
        <v>9.4731249999999996</v>
      </c>
      <c r="E20" s="78"/>
      <c r="F20" s="78">
        <f>15278300/1000000</f>
        <v>15.2783</v>
      </c>
      <c r="G20" s="78"/>
      <c r="H20" s="78">
        <v>20.69</v>
      </c>
      <c r="I20" s="78"/>
      <c r="J20" s="79">
        <f>SUM(D20:I20)</f>
        <v>45.441424999999995</v>
      </c>
      <c r="K20" s="79"/>
    </row>
    <row r="21" spans="1:16" ht="45" customHeight="1" x14ac:dyDescent="0.25">
      <c r="A21" s="77" t="s">
        <v>39</v>
      </c>
      <c r="B21" s="77"/>
      <c r="C21" s="77"/>
      <c r="D21" s="99">
        <v>0</v>
      </c>
      <c r="E21" s="99"/>
      <c r="F21" s="99">
        <v>0</v>
      </c>
      <c r="G21" s="99"/>
      <c r="H21" s="99">
        <v>0</v>
      </c>
      <c r="I21" s="99"/>
      <c r="J21" s="79">
        <v>0</v>
      </c>
      <c r="K21" s="79"/>
    </row>
    <row r="22" spans="1:16" ht="45" customHeight="1" x14ac:dyDescent="0.25">
      <c r="A22" s="77" t="s">
        <v>33</v>
      </c>
      <c r="B22" s="77"/>
      <c r="C22" s="77"/>
      <c r="D22" s="78">
        <f>198696442/1000000</f>
        <v>198.69644199999999</v>
      </c>
      <c r="E22" s="78"/>
      <c r="F22" s="78">
        <f>173000000/1000000</f>
        <v>173</v>
      </c>
      <c r="G22" s="78"/>
      <c r="H22" s="78">
        <v>0</v>
      </c>
      <c r="I22" s="78"/>
      <c r="J22" s="79">
        <f>SUM(D22:I22)</f>
        <v>371.69644199999999</v>
      </c>
      <c r="K22" s="79"/>
    </row>
    <row r="23" spans="1:16" ht="45" customHeight="1" x14ac:dyDescent="0.25">
      <c r="A23" s="80" t="s">
        <v>28</v>
      </c>
      <c r="B23" s="80"/>
      <c r="C23" s="80"/>
      <c r="D23" s="75">
        <f>SUM(D19:E22)</f>
        <v>276.90625699999998</v>
      </c>
      <c r="E23" s="75"/>
      <c r="F23" s="75">
        <f t="shared" ref="F23" si="1">SUM(F19:G22)</f>
        <v>273.252318</v>
      </c>
      <c r="G23" s="75"/>
      <c r="H23" s="75">
        <f t="shared" ref="H23" si="2">SUM(H19:I22)</f>
        <v>114.28999999999999</v>
      </c>
      <c r="I23" s="75"/>
      <c r="J23" s="75">
        <f>SUM(J19:K22)</f>
        <v>664.44857500000001</v>
      </c>
      <c r="K23" s="75"/>
      <c r="N23" s="87"/>
      <c r="O23" s="88"/>
      <c r="P23" s="88"/>
    </row>
    <row r="24" spans="1:16" ht="45" customHeight="1" x14ac:dyDescent="0.25">
      <c r="A24" s="76" t="s">
        <v>40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</sheetData>
  <mergeCells count="81">
    <mergeCell ref="N23:P23"/>
    <mergeCell ref="A7:K7"/>
    <mergeCell ref="A3:K3"/>
    <mergeCell ref="A8:K8"/>
    <mergeCell ref="D4:K4"/>
    <mergeCell ref="D5:K5"/>
    <mergeCell ref="D6:K6"/>
    <mergeCell ref="K10:K12"/>
    <mergeCell ref="A9:A12"/>
    <mergeCell ref="B9:D12"/>
    <mergeCell ref="E9:F12"/>
    <mergeCell ref="G9:G12"/>
    <mergeCell ref="H9:I9"/>
    <mergeCell ref="J9:K9"/>
    <mergeCell ref="B13:D13"/>
    <mergeCell ref="E13:F13"/>
    <mergeCell ref="I10:I12"/>
    <mergeCell ref="J10:J12"/>
    <mergeCell ref="H10:H12"/>
    <mergeCell ref="E16:F16"/>
    <mergeCell ref="B14:D14"/>
    <mergeCell ref="E14:F14"/>
    <mergeCell ref="B15:D15"/>
    <mergeCell ref="E15:F15"/>
    <mergeCell ref="H23:I23"/>
    <mergeCell ref="F23:G23"/>
    <mergeCell ref="H21:I21"/>
    <mergeCell ref="F21:G21"/>
    <mergeCell ref="J23:K23"/>
    <mergeCell ref="F22:G22"/>
    <mergeCell ref="H22:I22"/>
    <mergeCell ref="J22:K22"/>
    <mergeCell ref="H18:I18"/>
    <mergeCell ref="F18:G18"/>
    <mergeCell ref="D18:E18"/>
    <mergeCell ref="J19:K19"/>
    <mergeCell ref="H19:I19"/>
    <mergeCell ref="F19:G19"/>
    <mergeCell ref="C1:K1"/>
    <mergeCell ref="C2:K2"/>
    <mergeCell ref="A4:C4"/>
    <mergeCell ref="A5:C5"/>
    <mergeCell ref="A6:C6"/>
    <mergeCell ref="A1:B2"/>
    <mergeCell ref="AV10:AX10"/>
    <mergeCell ref="AJ10:AU10"/>
    <mergeCell ref="X10:AI10"/>
    <mergeCell ref="L10:W10"/>
    <mergeCell ref="L9:AX9"/>
    <mergeCell ref="AP11:AR11"/>
    <mergeCell ref="D19:E19"/>
    <mergeCell ref="D20:E20"/>
    <mergeCell ref="D21:E21"/>
    <mergeCell ref="D22:E22"/>
    <mergeCell ref="J21:K21"/>
    <mergeCell ref="B16:D16"/>
    <mergeCell ref="A18:C18"/>
    <mergeCell ref="A19:C19"/>
    <mergeCell ref="A20:C20"/>
    <mergeCell ref="A21:C21"/>
    <mergeCell ref="AD11:AF11"/>
    <mergeCell ref="J20:K20"/>
    <mergeCell ref="H20:I20"/>
    <mergeCell ref="F20:G20"/>
    <mergeCell ref="J18:K18"/>
    <mergeCell ref="AS11:AU11"/>
    <mergeCell ref="AV11:AX11"/>
    <mergeCell ref="A23:C23"/>
    <mergeCell ref="D23:E23"/>
    <mergeCell ref="A24:K24"/>
    <mergeCell ref="L11:N11"/>
    <mergeCell ref="O11:Q11"/>
    <mergeCell ref="R11:T11"/>
    <mergeCell ref="U11:W11"/>
    <mergeCell ref="X11:Z11"/>
    <mergeCell ref="AA11:AC11"/>
    <mergeCell ref="A22:C22"/>
    <mergeCell ref="A17:K17"/>
    <mergeCell ref="AG11:AI11"/>
    <mergeCell ref="AJ11:AL11"/>
    <mergeCell ref="AM11:AO11"/>
  </mergeCells>
  <dataValidations count="3">
    <dataValidation type="list" allowBlank="1" showInputMessage="1" showErrorMessage="1" sqref="K13:K16 I13:I16">
      <formula1>"2018,2019,2020,2021"</formula1>
    </dataValidation>
    <dataValidation type="list" allowBlank="1" showInputMessage="1" showErrorMessage="1" sqref="J13:J16 H13:H16">
      <formula1>"Ene,Feb,Mar,Abr,May,Jun,Jul,Ago,Sep,Oct,Nov,Dic"</formula1>
    </dataValidation>
    <dataValidation allowBlank="1" showInputMessage="1" showErrorMessage="1" prompt="Registre para el período en cuestión, el valor de las inversiones de acuerdo con la fuente de recursos" sqref="D19:G20 D22:G22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3"/>
  <sheetViews>
    <sheetView showGridLines="0" topLeftCell="A37" zoomScaleNormal="100" workbookViewId="0">
      <selection activeCell="A35" sqref="A35:D35"/>
    </sheetView>
  </sheetViews>
  <sheetFormatPr baseColWidth="10" defaultColWidth="11.42578125" defaultRowHeight="45" customHeight="1" outlineLevelCol="1" x14ac:dyDescent="0.25"/>
  <cols>
    <col min="1" max="1" width="4.42578125" style="2" customWidth="1"/>
    <col min="2" max="2" width="15.42578125" style="1" customWidth="1"/>
    <col min="3" max="3" width="11" style="1" customWidth="1"/>
    <col min="4" max="4" width="11.42578125" style="1"/>
    <col min="5" max="5" width="10.7109375" style="1" customWidth="1"/>
    <col min="6" max="6" width="25.140625" style="1" customWidth="1"/>
    <col min="7" max="7" width="15.140625" style="1" customWidth="1"/>
    <col min="8" max="8" width="10.7109375" style="1" customWidth="1"/>
    <col min="9" max="9" width="12" style="1" customWidth="1"/>
    <col min="10" max="11" width="10.7109375" style="1" customWidth="1"/>
    <col min="12" max="50" width="5.7109375" style="1" customWidth="1" outlineLevel="1"/>
    <col min="51" max="16384" width="11.42578125" style="1"/>
  </cols>
  <sheetData>
    <row r="1" spans="1:50" ht="45" customHeight="1" x14ac:dyDescent="0.25">
      <c r="A1" s="92"/>
      <c r="B1" s="92"/>
      <c r="C1" s="93" t="s">
        <v>30</v>
      </c>
      <c r="D1" s="93"/>
      <c r="E1" s="93"/>
      <c r="F1" s="93"/>
      <c r="G1" s="93"/>
      <c r="H1" s="93"/>
      <c r="I1" s="93"/>
      <c r="J1" s="93"/>
      <c r="K1" s="9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5" customHeight="1" x14ac:dyDescent="0.25">
      <c r="A2" s="92"/>
      <c r="B2" s="92"/>
      <c r="C2" s="93" t="s">
        <v>31</v>
      </c>
      <c r="D2" s="93"/>
      <c r="E2" s="93"/>
      <c r="F2" s="93"/>
      <c r="G2" s="93"/>
      <c r="H2" s="93"/>
      <c r="I2" s="93"/>
      <c r="J2" s="93"/>
      <c r="K2" s="9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45" customHeight="1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45" customHeight="1" x14ac:dyDescent="0.25">
      <c r="A4" s="95" t="s">
        <v>35</v>
      </c>
      <c r="B4" s="95"/>
      <c r="C4" s="95"/>
      <c r="D4" s="96" t="s">
        <v>85</v>
      </c>
      <c r="E4" s="96"/>
      <c r="F4" s="96"/>
      <c r="G4" s="96"/>
      <c r="H4" s="96"/>
      <c r="I4" s="96"/>
      <c r="J4" s="96"/>
      <c r="K4" s="96"/>
    </row>
    <row r="5" spans="1:50" ht="45" customHeight="1" x14ac:dyDescent="0.25">
      <c r="A5" s="95" t="s">
        <v>1</v>
      </c>
      <c r="B5" s="95"/>
      <c r="C5" s="95"/>
      <c r="D5" s="96" t="s">
        <v>86</v>
      </c>
      <c r="E5" s="96"/>
      <c r="F5" s="96"/>
      <c r="G5" s="96"/>
      <c r="H5" s="96"/>
      <c r="I5" s="96"/>
      <c r="J5" s="96"/>
      <c r="K5" s="96"/>
    </row>
    <row r="6" spans="1:50" ht="45" customHeight="1" x14ac:dyDescent="0.25">
      <c r="A6" s="95" t="s">
        <v>32</v>
      </c>
      <c r="B6" s="95"/>
      <c r="C6" s="95"/>
      <c r="D6" s="96" t="s">
        <v>48</v>
      </c>
      <c r="E6" s="96"/>
      <c r="F6" s="96"/>
      <c r="G6" s="96"/>
      <c r="H6" s="96"/>
      <c r="I6" s="96"/>
      <c r="J6" s="96"/>
      <c r="K6" s="96"/>
    </row>
    <row r="7" spans="1:50" ht="45" customHeight="1" x14ac:dyDescent="0.25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50" ht="45" customHeight="1" x14ac:dyDescent="0.25">
      <c r="A8" s="104" t="s">
        <v>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50" ht="45" customHeight="1" x14ac:dyDescent="0.25">
      <c r="A9" s="98" t="s">
        <v>2</v>
      </c>
      <c r="B9" s="85" t="s">
        <v>37</v>
      </c>
      <c r="C9" s="85"/>
      <c r="D9" s="85"/>
      <c r="E9" s="85" t="s">
        <v>3</v>
      </c>
      <c r="F9" s="85"/>
      <c r="G9" s="85" t="s">
        <v>36</v>
      </c>
      <c r="H9" s="85" t="s">
        <v>4</v>
      </c>
      <c r="I9" s="85"/>
      <c r="J9" s="85" t="s">
        <v>5</v>
      </c>
      <c r="K9" s="85"/>
      <c r="L9" s="86" t="s">
        <v>45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45" customHeight="1" x14ac:dyDescent="0.25">
      <c r="A10" s="98"/>
      <c r="B10" s="85"/>
      <c r="C10" s="85"/>
      <c r="D10" s="85"/>
      <c r="E10" s="85"/>
      <c r="F10" s="85"/>
      <c r="G10" s="85"/>
      <c r="H10" s="85" t="s">
        <v>6</v>
      </c>
      <c r="I10" s="85" t="s">
        <v>7</v>
      </c>
      <c r="J10" s="85" t="s">
        <v>6</v>
      </c>
      <c r="K10" s="85" t="s">
        <v>7</v>
      </c>
      <c r="L10" s="85" t="s">
        <v>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 t="s">
        <v>9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 t="s">
        <v>10</v>
      </c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 t="s">
        <v>11</v>
      </c>
      <c r="AW10" s="85"/>
      <c r="AX10" s="85"/>
    </row>
    <row r="11" spans="1:50" ht="45" customHeight="1" x14ac:dyDescent="0.25">
      <c r="A11" s="9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2" t="s">
        <v>41</v>
      </c>
      <c r="M11" s="83"/>
      <c r="N11" s="84"/>
      <c r="O11" s="82" t="s">
        <v>42</v>
      </c>
      <c r="P11" s="83"/>
      <c r="Q11" s="84"/>
      <c r="R11" s="82" t="s">
        <v>43</v>
      </c>
      <c r="S11" s="83"/>
      <c r="T11" s="84"/>
      <c r="U11" s="82" t="s">
        <v>44</v>
      </c>
      <c r="V11" s="83"/>
      <c r="W11" s="84"/>
      <c r="X11" s="82" t="s">
        <v>41</v>
      </c>
      <c r="Y11" s="83"/>
      <c r="Z11" s="84"/>
      <c r="AA11" s="82" t="s">
        <v>42</v>
      </c>
      <c r="AB11" s="83"/>
      <c r="AC11" s="84"/>
      <c r="AD11" s="82" t="s">
        <v>43</v>
      </c>
      <c r="AE11" s="83"/>
      <c r="AF11" s="84"/>
      <c r="AG11" s="82" t="s">
        <v>44</v>
      </c>
      <c r="AH11" s="83"/>
      <c r="AI11" s="84"/>
      <c r="AJ11" s="82" t="s">
        <v>41</v>
      </c>
      <c r="AK11" s="83"/>
      <c r="AL11" s="84"/>
      <c r="AM11" s="82" t="s">
        <v>42</v>
      </c>
      <c r="AN11" s="83"/>
      <c r="AO11" s="84"/>
      <c r="AP11" s="82" t="s">
        <v>43</v>
      </c>
      <c r="AQ11" s="83"/>
      <c r="AR11" s="84"/>
      <c r="AS11" s="82" t="s">
        <v>44</v>
      </c>
      <c r="AT11" s="83"/>
      <c r="AU11" s="84"/>
      <c r="AV11" s="82" t="s">
        <v>41</v>
      </c>
      <c r="AW11" s="83"/>
      <c r="AX11" s="84"/>
    </row>
    <row r="12" spans="1:50" ht="45" customHeight="1" x14ac:dyDescent="0.2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1" t="s">
        <v>12</v>
      </c>
      <c r="M12" s="11" t="s">
        <v>13</v>
      </c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11" t="s">
        <v>19</v>
      </c>
      <c r="T12" s="11" t="s">
        <v>20</v>
      </c>
      <c r="U12" s="11" t="s">
        <v>21</v>
      </c>
      <c r="V12" s="11" t="s">
        <v>22</v>
      </c>
      <c r="W12" s="11" t="s">
        <v>23</v>
      </c>
      <c r="X12" s="11" t="s">
        <v>12</v>
      </c>
      <c r="Y12" s="11" t="s">
        <v>13</v>
      </c>
      <c r="Z12" s="11" t="s">
        <v>14</v>
      </c>
      <c r="AA12" s="11" t="s">
        <v>15</v>
      </c>
      <c r="AB12" s="11" t="s">
        <v>16</v>
      </c>
      <c r="AC12" s="11" t="s">
        <v>17</v>
      </c>
      <c r="AD12" s="11" t="s">
        <v>18</v>
      </c>
      <c r="AE12" s="11" t="s">
        <v>19</v>
      </c>
      <c r="AF12" s="11" t="s">
        <v>20</v>
      </c>
      <c r="AG12" s="11" t="s">
        <v>21</v>
      </c>
      <c r="AH12" s="11" t="s">
        <v>22</v>
      </c>
      <c r="AI12" s="11" t="s">
        <v>23</v>
      </c>
      <c r="AJ12" s="11" t="s">
        <v>12</v>
      </c>
      <c r="AK12" s="11" t="s">
        <v>13</v>
      </c>
      <c r="AL12" s="11" t="s">
        <v>14</v>
      </c>
      <c r="AM12" s="11" t="s">
        <v>15</v>
      </c>
      <c r="AN12" s="11" t="s">
        <v>16</v>
      </c>
      <c r="AO12" s="11" t="s">
        <v>17</v>
      </c>
      <c r="AP12" s="11" t="s">
        <v>18</v>
      </c>
      <c r="AQ12" s="11" t="s">
        <v>19</v>
      </c>
      <c r="AR12" s="11" t="s">
        <v>20</v>
      </c>
      <c r="AS12" s="11" t="s">
        <v>21</v>
      </c>
      <c r="AT12" s="11" t="s">
        <v>22</v>
      </c>
      <c r="AU12" s="11" t="s">
        <v>23</v>
      </c>
      <c r="AV12" s="11" t="s">
        <v>12</v>
      </c>
      <c r="AW12" s="11" t="s">
        <v>13</v>
      </c>
      <c r="AX12" s="11" t="s">
        <v>14</v>
      </c>
    </row>
    <row r="13" spans="1:50" s="147" customFormat="1" ht="20.25" customHeight="1" x14ac:dyDescent="0.2">
      <c r="A13" s="109" t="s">
        <v>69</v>
      </c>
      <c r="B13" s="109"/>
      <c r="C13" s="109"/>
      <c r="D13" s="109"/>
      <c r="E13" s="109"/>
      <c r="F13" s="109"/>
      <c r="G13" s="21">
        <v>0.14000000000000001</v>
      </c>
      <c r="H13" s="145"/>
      <c r="I13" s="145"/>
      <c r="J13" s="145"/>
      <c r="K13" s="145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</row>
    <row r="14" spans="1:50" ht="45" customHeight="1" x14ac:dyDescent="0.25">
      <c r="A14" s="22">
        <v>1</v>
      </c>
      <c r="B14" s="106" t="s">
        <v>70</v>
      </c>
      <c r="C14" s="106"/>
      <c r="D14" s="106"/>
      <c r="E14" s="115" t="s">
        <v>89</v>
      </c>
      <c r="F14" s="116"/>
      <c r="G14" s="19">
        <v>0.1</v>
      </c>
      <c r="H14" s="20" t="s">
        <v>15</v>
      </c>
      <c r="I14" s="20">
        <v>2018</v>
      </c>
      <c r="J14" s="20" t="s">
        <v>23</v>
      </c>
      <c r="K14" s="20">
        <v>2019</v>
      </c>
      <c r="L14" s="7">
        <v>0</v>
      </c>
      <c r="M14" s="7">
        <v>0</v>
      </c>
      <c r="N14" s="7">
        <v>0</v>
      </c>
      <c r="O14" s="7">
        <v>0.05</v>
      </c>
      <c r="P14" s="7">
        <v>0.05</v>
      </c>
      <c r="Q14" s="7">
        <v>0.05</v>
      </c>
      <c r="R14" s="7">
        <v>0.05</v>
      </c>
      <c r="S14" s="7">
        <v>0.05</v>
      </c>
      <c r="T14" s="7">
        <v>0.04</v>
      </c>
      <c r="U14" s="7">
        <v>0.05</v>
      </c>
      <c r="V14" s="7">
        <v>0.05</v>
      </c>
      <c r="W14" s="7">
        <v>0.05</v>
      </c>
      <c r="X14" s="7">
        <v>0.05</v>
      </c>
      <c r="Y14" s="7">
        <v>0.05</v>
      </c>
      <c r="Z14" s="7">
        <v>0.04</v>
      </c>
      <c r="AA14" s="7">
        <v>0.05</v>
      </c>
      <c r="AB14" s="7">
        <v>0.05</v>
      </c>
      <c r="AC14" s="7">
        <v>0.05</v>
      </c>
      <c r="AD14" s="7">
        <v>0.04</v>
      </c>
      <c r="AE14" s="7">
        <v>0.04</v>
      </c>
      <c r="AF14" s="7">
        <v>0.04</v>
      </c>
      <c r="AG14" s="7">
        <v>0.05</v>
      </c>
      <c r="AH14" s="7">
        <v>0.05</v>
      </c>
      <c r="AI14" s="7">
        <v>0.05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</row>
    <row r="15" spans="1:50" ht="45" customHeight="1" x14ac:dyDescent="0.25">
      <c r="A15" s="23">
        <f>A14+1</f>
        <v>2</v>
      </c>
      <c r="B15" s="106" t="s">
        <v>71</v>
      </c>
      <c r="C15" s="106"/>
      <c r="D15" s="106"/>
      <c r="E15" s="73" t="s">
        <v>90</v>
      </c>
      <c r="F15" s="74"/>
      <c r="G15" s="5">
        <v>0.35</v>
      </c>
      <c r="H15" s="20" t="s">
        <v>15</v>
      </c>
      <c r="I15" s="20">
        <v>2018</v>
      </c>
      <c r="J15" s="6" t="s">
        <v>14</v>
      </c>
      <c r="K15" s="6">
        <v>2019</v>
      </c>
      <c r="L15" s="7">
        <v>0</v>
      </c>
      <c r="M15" s="7">
        <v>0</v>
      </c>
      <c r="N15" s="7">
        <v>0</v>
      </c>
      <c r="O15" s="7">
        <v>0.1</v>
      </c>
      <c r="P15" s="7">
        <v>0.1</v>
      </c>
      <c r="Q15" s="7">
        <v>0.05</v>
      </c>
      <c r="R15" s="7">
        <v>0.1</v>
      </c>
      <c r="S15" s="7">
        <v>0.1</v>
      </c>
      <c r="T15" s="7">
        <v>0.05</v>
      </c>
      <c r="U15" s="7">
        <v>0.1</v>
      </c>
      <c r="V15" s="7">
        <v>0.1</v>
      </c>
      <c r="W15" s="7">
        <v>0.05</v>
      </c>
      <c r="X15" s="7">
        <v>0.1</v>
      </c>
      <c r="Y15" s="7">
        <v>0.1</v>
      </c>
      <c r="Z15" s="7">
        <v>0.05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</row>
    <row r="16" spans="1:50" ht="45" customHeight="1" x14ac:dyDescent="0.25">
      <c r="A16" s="23">
        <f t="shared" ref="A16:A20" si="0">A15+1</f>
        <v>3</v>
      </c>
      <c r="B16" s="106" t="s">
        <v>72</v>
      </c>
      <c r="C16" s="106"/>
      <c r="D16" s="106"/>
      <c r="E16" s="73" t="s">
        <v>88</v>
      </c>
      <c r="F16" s="74"/>
      <c r="G16" s="5">
        <v>0.35</v>
      </c>
      <c r="H16" s="20" t="s">
        <v>15</v>
      </c>
      <c r="I16" s="20">
        <v>2018</v>
      </c>
      <c r="J16" s="6" t="s">
        <v>14</v>
      </c>
      <c r="K16" s="6">
        <v>2019</v>
      </c>
      <c r="L16" s="7">
        <v>0</v>
      </c>
      <c r="M16" s="7">
        <v>0</v>
      </c>
      <c r="N16" s="7">
        <v>0</v>
      </c>
      <c r="O16" s="7">
        <v>0.1</v>
      </c>
      <c r="P16" s="7">
        <v>0.1</v>
      </c>
      <c r="Q16" s="7">
        <v>0.05</v>
      </c>
      <c r="R16" s="7">
        <v>0.1</v>
      </c>
      <c r="S16" s="7">
        <v>0.1</v>
      </c>
      <c r="T16" s="7">
        <v>0.05</v>
      </c>
      <c r="U16" s="7">
        <v>0.1</v>
      </c>
      <c r="V16" s="7">
        <v>0.1</v>
      </c>
      <c r="W16" s="7">
        <v>0.05</v>
      </c>
      <c r="X16" s="7">
        <v>0.1</v>
      </c>
      <c r="Y16" s="7">
        <v>0.1</v>
      </c>
      <c r="Z16" s="7">
        <v>0.05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</row>
    <row r="17" spans="1:50" ht="45" customHeight="1" x14ac:dyDescent="0.25">
      <c r="A17" s="24">
        <f t="shared" si="0"/>
        <v>4</v>
      </c>
      <c r="B17" s="111" t="s">
        <v>73</v>
      </c>
      <c r="C17" s="111"/>
      <c r="D17" s="111"/>
      <c r="E17" s="113" t="s">
        <v>91</v>
      </c>
      <c r="F17" s="114"/>
      <c r="G17" s="15">
        <v>0.2</v>
      </c>
      <c r="H17" s="20" t="s">
        <v>15</v>
      </c>
      <c r="I17" s="20">
        <v>2018</v>
      </c>
      <c r="J17" s="20" t="s">
        <v>23</v>
      </c>
      <c r="K17" s="20">
        <v>2019</v>
      </c>
      <c r="L17" s="7">
        <v>0</v>
      </c>
      <c r="M17" s="7">
        <v>0</v>
      </c>
      <c r="N17" s="7">
        <v>0</v>
      </c>
      <c r="O17" s="7">
        <v>0.05</v>
      </c>
      <c r="P17" s="7">
        <v>0.05</v>
      </c>
      <c r="Q17" s="7">
        <v>0.06</v>
      </c>
      <c r="R17" s="7">
        <v>0.05</v>
      </c>
      <c r="S17" s="7">
        <v>0.05</v>
      </c>
      <c r="T17" s="7">
        <v>7.0000000000000007E-2</v>
      </c>
      <c r="U17" s="7">
        <v>0.05</v>
      </c>
      <c r="V17" s="7">
        <v>0.05</v>
      </c>
      <c r="W17" s="7">
        <v>7.0000000000000007E-2</v>
      </c>
      <c r="X17" s="7">
        <v>0.04</v>
      </c>
      <c r="Y17" s="7">
        <v>0.04</v>
      </c>
      <c r="Z17" s="7">
        <v>0.04</v>
      </c>
      <c r="AA17" s="7">
        <v>0.04</v>
      </c>
      <c r="AB17" s="7">
        <v>0.04</v>
      </c>
      <c r="AC17" s="7">
        <v>0.04</v>
      </c>
      <c r="AD17" s="7">
        <v>0.04</v>
      </c>
      <c r="AE17" s="7">
        <v>0.04</v>
      </c>
      <c r="AF17" s="7">
        <v>0.04</v>
      </c>
      <c r="AG17" s="7">
        <v>0.05</v>
      </c>
      <c r="AH17" s="7">
        <v>0.04</v>
      </c>
      <c r="AI17" s="7">
        <v>0.05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</row>
    <row r="18" spans="1:50" s="147" customFormat="1" ht="20.25" customHeight="1" x14ac:dyDescent="0.2">
      <c r="A18" s="109" t="s">
        <v>74</v>
      </c>
      <c r="B18" s="109"/>
      <c r="C18" s="109"/>
      <c r="D18" s="109"/>
      <c r="E18" s="109"/>
      <c r="F18" s="109"/>
      <c r="G18" s="21">
        <v>0.14000000000000001</v>
      </c>
      <c r="H18" s="145"/>
      <c r="I18" s="145"/>
      <c r="J18" s="145"/>
      <c r="K18" s="145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</row>
    <row r="19" spans="1:50" ht="45" customHeight="1" x14ac:dyDescent="0.25">
      <c r="A19" s="16">
        <v>5</v>
      </c>
      <c r="B19" s="106" t="s">
        <v>75</v>
      </c>
      <c r="C19" s="106"/>
      <c r="D19" s="106"/>
      <c r="E19" s="74" t="s">
        <v>92</v>
      </c>
      <c r="F19" s="74"/>
      <c r="G19" s="5">
        <v>0.4</v>
      </c>
      <c r="H19" s="20" t="s">
        <v>15</v>
      </c>
      <c r="I19" s="20">
        <v>2018</v>
      </c>
      <c r="J19" s="20" t="s">
        <v>23</v>
      </c>
      <c r="K19" s="20">
        <v>2019</v>
      </c>
      <c r="L19" s="7">
        <v>0</v>
      </c>
      <c r="M19" s="7">
        <v>0</v>
      </c>
      <c r="N19" s="7">
        <v>0</v>
      </c>
      <c r="O19" s="7">
        <v>0.05</v>
      </c>
      <c r="P19" s="7">
        <v>0.05</v>
      </c>
      <c r="Q19" s="7">
        <v>0.05</v>
      </c>
      <c r="R19" s="7">
        <v>0.05</v>
      </c>
      <c r="S19" s="7">
        <v>0.05</v>
      </c>
      <c r="T19" s="7">
        <v>0.04</v>
      </c>
      <c r="U19" s="7">
        <v>0.05</v>
      </c>
      <c r="V19" s="7">
        <v>0.05</v>
      </c>
      <c r="W19" s="7">
        <v>0.05</v>
      </c>
      <c r="X19" s="7">
        <v>0.05</v>
      </c>
      <c r="Y19" s="7">
        <v>0.05</v>
      </c>
      <c r="Z19" s="7">
        <v>0.04</v>
      </c>
      <c r="AA19" s="7">
        <v>0.05</v>
      </c>
      <c r="AB19" s="7">
        <v>0.05</v>
      </c>
      <c r="AC19" s="7">
        <v>0.05</v>
      </c>
      <c r="AD19" s="7">
        <v>0.04</v>
      </c>
      <c r="AE19" s="7">
        <v>0.04</v>
      </c>
      <c r="AF19" s="7">
        <v>0.04</v>
      </c>
      <c r="AG19" s="7">
        <v>0.05</v>
      </c>
      <c r="AH19" s="7">
        <v>0.05</v>
      </c>
      <c r="AI19" s="7">
        <v>0.05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</row>
    <row r="20" spans="1:50" ht="45" customHeight="1" x14ac:dyDescent="0.25">
      <c r="A20" s="16">
        <f t="shared" si="0"/>
        <v>6</v>
      </c>
      <c r="B20" s="106" t="s">
        <v>76</v>
      </c>
      <c r="C20" s="106"/>
      <c r="D20" s="106"/>
      <c r="E20" s="74" t="s">
        <v>93</v>
      </c>
      <c r="F20" s="74"/>
      <c r="G20" s="5">
        <v>0.6</v>
      </c>
      <c r="H20" s="20" t="s">
        <v>15</v>
      </c>
      <c r="I20" s="20">
        <v>2018</v>
      </c>
      <c r="J20" s="6" t="s">
        <v>14</v>
      </c>
      <c r="K20" s="6">
        <v>2019</v>
      </c>
      <c r="L20" s="7">
        <v>0</v>
      </c>
      <c r="M20" s="7">
        <v>0</v>
      </c>
      <c r="N20" s="7">
        <v>0</v>
      </c>
      <c r="O20" s="7">
        <v>0.1</v>
      </c>
      <c r="P20" s="7">
        <v>0.1</v>
      </c>
      <c r="Q20" s="7">
        <v>0.05</v>
      </c>
      <c r="R20" s="7">
        <v>0.1</v>
      </c>
      <c r="S20" s="7">
        <v>0.1</v>
      </c>
      <c r="T20" s="7">
        <v>0.05</v>
      </c>
      <c r="U20" s="7">
        <v>0.1</v>
      </c>
      <c r="V20" s="7">
        <v>0.1</v>
      </c>
      <c r="W20" s="7">
        <v>0.05</v>
      </c>
      <c r="X20" s="7">
        <v>0.1</v>
      </c>
      <c r="Y20" s="7">
        <v>0.1</v>
      </c>
      <c r="Z20" s="7">
        <v>0.05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</row>
    <row r="21" spans="1:50" s="147" customFormat="1" ht="20.25" customHeight="1" x14ac:dyDescent="0.2">
      <c r="A21" s="109" t="s">
        <v>77</v>
      </c>
      <c r="B21" s="109"/>
      <c r="C21" s="109"/>
      <c r="D21" s="109"/>
      <c r="E21" s="109"/>
      <c r="F21" s="109"/>
      <c r="G21" s="21">
        <v>0.14000000000000001</v>
      </c>
      <c r="H21" s="145"/>
      <c r="I21" s="145"/>
      <c r="J21" s="145"/>
      <c r="K21" s="145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</row>
    <row r="22" spans="1:50" ht="45" customHeight="1" x14ac:dyDescent="0.25">
      <c r="A22" s="16">
        <v>7</v>
      </c>
      <c r="B22" s="106" t="s">
        <v>75</v>
      </c>
      <c r="C22" s="106"/>
      <c r="D22" s="106"/>
      <c r="E22" s="74" t="s">
        <v>94</v>
      </c>
      <c r="F22" s="74"/>
      <c r="G22" s="5">
        <v>0.4</v>
      </c>
      <c r="H22" s="20" t="s">
        <v>15</v>
      </c>
      <c r="I22" s="20">
        <v>2018</v>
      </c>
      <c r="J22" s="20" t="s">
        <v>23</v>
      </c>
      <c r="K22" s="20">
        <v>2019</v>
      </c>
      <c r="L22" s="7">
        <v>0</v>
      </c>
      <c r="M22" s="7">
        <v>0</v>
      </c>
      <c r="N22" s="7">
        <v>0</v>
      </c>
      <c r="O22" s="7">
        <v>0.05</v>
      </c>
      <c r="P22" s="7">
        <v>0.05</v>
      </c>
      <c r="Q22" s="7">
        <v>0.05</v>
      </c>
      <c r="R22" s="7">
        <v>0.05</v>
      </c>
      <c r="S22" s="7">
        <v>0.05</v>
      </c>
      <c r="T22" s="7">
        <v>0.04</v>
      </c>
      <c r="U22" s="7">
        <v>0.05</v>
      </c>
      <c r="V22" s="7">
        <v>0.05</v>
      </c>
      <c r="W22" s="7">
        <v>0.05</v>
      </c>
      <c r="X22" s="7">
        <v>0.05</v>
      </c>
      <c r="Y22" s="7">
        <v>0.05</v>
      </c>
      <c r="Z22" s="7">
        <v>0.04</v>
      </c>
      <c r="AA22" s="7">
        <v>0.05</v>
      </c>
      <c r="AB22" s="7">
        <v>0.05</v>
      </c>
      <c r="AC22" s="7">
        <v>0.05</v>
      </c>
      <c r="AD22" s="7">
        <v>0.04</v>
      </c>
      <c r="AE22" s="7">
        <v>0.04</v>
      </c>
      <c r="AF22" s="7">
        <v>0.04</v>
      </c>
      <c r="AG22" s="7">
        <v>0.05</v>
      </c>
      <c r="AH22" s="7">
        <v>0.05</v>
      </c>
      <c r="AI22" s="7">
        <v>0.05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</row>
    <row r="23" spans="1:50" ht="45" customHeight="1" x14ac:dyDescent="0.25">
      <c r="A23" s="16">
        <v>8</v>
      </c>
      <c r="B23" s="106" t="s">
        <v>78</v>
      </c>
      <c r="C23" s="106"/>
      <c r="D23" s="106"/>
      <c r="E23" s="74" t="s">
        <v>95</v>
      </c>
      <c r="F23" s="74"/>
      <c r="G23" s="5">
        <v>0.4</v>
      </c>
      <c r="H23" s="20" t="s">
        <v>15</v>
      </c>
      <c r="I23" s="20">
        <v>2018</v>
      </c>
      <c r="J23" s="6" t="s">
        <v>14</v>
      </c>
      <c r="K23" s="6">
        <v>2019</v>
      </c>
      <c r="L23" s="7">
        <v>0</v>
      </c>
      <c r="M23" s="7">
        <v>0</v>
      </c>
      <c r="N23" s="7">
        <v>0</v>
      </c>
      <c r="O23" s="7">
        <v>0.1</v>
      </c>
      <c r="P23" s="7">
        <v>0.1</v>
      </c>
      <c r="Q23" s="7">
        <v>0.05</v>
      </c>
      <c r="R23" s="7">
        <v>0.1</v>
      </c>
      <c r="S23" s="7">
        <v>0.1</v>
      </c>
      <c r="T23" s="7">
        <v>0.05</v>
      </c>
      <c r="U23" s="7">
        <v>0.1</v>
      </c>
      <c r="V23" s="7">
        <v>0.1</v>
      </c>
      <c r="W23" s="7">
        <v>0.05</v>
      </c>
      <c r="X23" s="7">
        <v>0.1</v>
      </c>
      <c r="Y23" s="7">
        <v>0.1</v>
      </c>
      <c r="Z23" s="7">
        <v>0.05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</row>
    <row r="24" spans="1:50" ht="45" customHeight="1" x14ac:dyDescent="0.25">
      <c r="A24" s="16">
        <v>9</v>
      </c>
      <c r="B24" s="106" t="s">
        <v>71</v>
      </c>
      <c r="C24" s="106"/>
      <c r="D24" s="106"/>
      <c r="E24" s="74" t="s">
        <v>96</v>
      </c>
      <c r="F24" s="74"/>
      <c r="G24" s="5">
        <v>0.2</v>
      </c>
      <c r="H24" s="20" t="s">
        <v>15</v>
      </c>
      <c r="I24" s="20">
        <v>2018</v>
      </c>
      <c r="J24" s="6" t="s">
        <v>14</v>
      </c>
      <c r="K24" s="6">
        <v>2020</v>
      </c>
      <c r="L24" s="7">
        <v>0</v>
      </c>
      <c r="M24" s="7">
        <v>0</v>
      </c>
      <c r="N24" s="7">
        <v>0</v>
      </c>
      <c r="O24" s="7">
        <v>0.04</v>
      </c>
      <c r="P24" s="7">
        <v>0.04</v>
      </c>
      <c r="Q24" s="7">
        <v>0.04</v>
      </c>
      <c r="R24" s="7">
        <v>0.05</v>
      </c>
      <c r="S24" s="7">
        <v>0.05</v>
      </c>
      <c r="T24" s="7">
        <v>0.03</v>
      </c>
      <c r="U24" s="7">
        <v>0.04</v>
      </c>
      <c r="V24" s="7">
        <v>0.04</v>
      </c>
      <c r="W24" s="7">
        <v>0.04</v>
      </c>
      <c r="X24" s="7">
        <v>0.05</v>
      </c>
      <c r="Y24" s="7">
        <v>0.05</v>
      </c>
      <c r="Z24" s="7">
        <v>0.03</v>
      </c>
      <c r="AA24" s="7">
        <v>0.04</v>
      </c>
      <c r="AB24" s="7">
        <v>0.04</v>
      </c>
      <c r="AC24" s="7">
        <v>0.04</v>
      </c>
      <c r="AD24" s="7">
        <v>0.05</v>
      </c>
      <c r="AE24" s="7">
        <v>0.05</v>
      </c>
      <c r="AF24" s="7">
        <v>0.03</v>
      </c>
      <c r="AG24" s="7">
        <v>0.04</v>
      </c>
      <c r="AH24" s="7">
        <v>0.04</v>
      </c>
      <c r="AI24" s="7">
        <v>0.04</v>
      </c>
      <c r="AJ24" s="7">
        <v>0.05</v>
      </c>
      <c r="AK24" s="7">
        <v>0.05</v>
      </c>
      <c r="AL24" s="7">
        <v>0.03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</row>
    <row r="25" spans="1:50" s="147" customFormat="1" ht="20.25" customHeight="1" x14ac:dyDescent="0.2">
      <c r="A25" s="109" t="s">
        <v>79</v>
      </c>
      <c r="B25" s="109"/>
      <c r="C25" s="109"/>
      <c r="D25" s="109"/>
      <c r="E25" s="109"/>
      <c r="F25" s="109"/>
      <c r="G25" s="21">
        <v>0.14000000000000001</v>
      </c>
      <c r="H25" s="145"/>
      <c r="I25" s="145"/>
      <c r="J25" s="145"/>
      <c r="K25" s="145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</row>
    <row r="26" spans="1:50" ht="45" customHeight="1" x14ac:dyDescent="0.25">
      <c r="A26" s="16">
        <v>10</v>
      </c>
      <c r="B26" s="106" t="s">
        <v>70</v>
      </c>
      <c r="C26" s="106"/>
      <c r="D26" s="106"/>
      <c r="E26" s="74" t="s">
        <v>97</v>
      </c>
      <c r="F26" s="74"/>
      <c r="G26" s="5">
        <v>0.3</v>
      </c>
      <c r="H26" s="20" t="s">
        <v>15</v>
      </c>
      <c r="I26" s="20">
        <v>2018</v>
      </c>
      <c r="J26" s="6" t="s">
        <v>14</v>
      </c>
      <c r="K26" s="6">
        <v>2021</v>
      </c>
      <c r="L26" s="7">
        <v>0</v>
      </c>
      <c r="M26" s="7">
        <v>0</v>
      </c>
      <c r="N26" s="7">
        <v>0</v>
      </c>
      <c r="O26" s="7">
        <v>0.02</v>
      </c>
      <c r="P26" s="7">
        <v>0.03</v>
      </c>
      <c r="Q26" s="7">
        <v>0.03</v>
      </c>
      <c r="R26" s="7">
        <v>0.03</v>
      </c>
      <c r="S26" s="7">
        <v>0.03</v>
      </c>
      <c r="T26" s="7">
        <v>0.03</v>
      </c>
      <c r="U26" s="7">
        <v>0.02</v>
      </c>
      <c r="V26" s="7">
        <v>0.03</v>
      </c>
      <c r="W26" s="7">
        <v>0.03</v>
      </c>
      <c r="X26" s="7">
        <v>0.02</v>
      </c>
      <c r="Y26" s="7">
        <v>0.03</v>
      </c>
      <c r="Z26" s="7">
        <v>0.03</v>
      </c>
      <c r="AA26" s="7">
        <v>0.03</v>
      </c>
      <c r="AB26" s="7">
        <v>0.03</v>
      </c>
      <c r="AC26" s="7">
        <v>0.03</v>
      </c>
      <c r="AD26" s="7">
        <v>0.02</v>
      </c>
      <c r="AE26" s="7">
        <v>0.03</v>
      </c>
      <c r="AF26" s="7">
        <v>0.03</v>
      </c>
      <c r="AG26" s="7">
        <v>0.02</v>
      </c>
      <c r="AH26" s="7">
        <v>0.03</v>
      </c>
      <c r="AI26" s="7">
        <v>0.03</v>
      </c>
      <c r="AJ26" s="7">
        <v>0.03</v>
      </c>
      <c r="AK26" s="7">
        <v>0.03</v>
      </c>
      <c r="AL26" s="7">
        <v>0.03</v>
      </c>
      <c r="AM26" s="7">
        <v>0.02</v>
      </c>
      <c r="AN26" s="7">
        <v>0.03</v>
      </c>
      <c r="AO26" s="7">
        <v>0.03</v>
      </c>
      <c r="AP26" s="7">
        <v>0.02</v>
      </c>
      <c r="AQ26" s="7">
        <v>0.03</v>
      </c>
      <c r="AR26" s="7">
        <v>0.03</v>
      </c>
      <c r="AS26" s="7">
        <v>0.02</v>
      </c>
      <c r="AT26" s="7">
        <v>0.03</v>
      </c>
      <c r="AU26" s="7">
        <v>0.03</v>
      </c>
      <c r="AV26" s="7">
        <v>0.03</v>
      </c>
      <c r="AW26" s="7">
        <v>0.03</v>
      </c>
      <c r="AX26" s="7">
        <v>0.03</v>
      </c>
    </row>
    <row r="27" spans="1:50" ht="45" customHeight="1" x14ac:dyDescent="0.25">
      <c r="A27" s="16">
        <v>11</v>
      </c>
      <c r="B27" s="106" t="s">
        <v>80</v>
      </c>
      <c r="C27" s="106"/>
      <c r="D27" s="106"/>
      <c r="E27" s="74" t="s">
        <v>98</v>
      </c>
      <c r="F27" s="74"/>
      <c r="G27" s="5">
        <v>0.4</v>
      </c>
      <c r="H27" s="20" t="s">
        <v>15</v>
      </c>
      <c r="I27" s="20">
        <v>2018</v>
      </c>
      <c r="J27" s="6" t="s">
        <v>14</v>
      </c>
      <c r="K27" s="6">
        <v>2019</v>
      </c>
      <c r="L27" s="7">
        <v>0</v>
      </c>
      <c r="M27" s="7">
        <v>0</v>
      </c>
      <c r="N27" s="7">
        <v>0</v>
      </c>
      <c r="O27" s="7">
        <v>0.1</v>
      </c>
      <c r="P27" s="7">
        <v>0.1</v>
      </c>
      <c r="Q27" s="7">
        <v>0.05</v>
      </c>
      <c r="R27" s="7">
        <v>0.1</v>
      </c>
      <c r="S27" s="7">
        <v>0.1</v>
      </c>
      <c r="T27" s="7">
        <v>0.05</v>
      </c>
      <c r="U27" s="7">
        <v>0.1</v>
      </c>
      <c r="V27" s="7">
        <v>0.1</v>
      </c>
      <c r="W27" s="7">
        <v>0.05</v>
      </c>
      <c r="X27" s="7">
        <v>0.1</v>
      </c>
      <c r="Y27" s="7">
        <v>0.1</v>
      </c>
      <c r="Z27" s="7">
        <v>0.05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</row>
    <row r="28" spans="1:50" ht="45" customHeight="1" x14ac:dyDescent="0.25">
      <c r="A28" s="16">
        <v>12</v>
      </c>
      <c r="B28" s="106" t="s">
        <v>76</v>
      </c>
      <c r="C28" s="106"/>
      <c r="D28" s="106"/>
      <c r="E28" s="74" t="s">
        <v>93</v>
      </c>
      <c r="F28" s="74"/>
      <c r="G28" s="5">
        <v>0.3</v>
      </c>
      <c r="H28" s="20" t="s">
        <v>15</v>
      </c>
      <c r="I28" s="20">
        <v>2018</v>
      </c>
      <c r="J28" s="6" t="s">
        <v>14</v>
      </c>
      <c r="K28" s="6">
        <v>2019</v>
      </c>
      <c r="L28" s="7">
        <v>0</v>
      </c>
      <c r="M28" s="7">
        <v>0</v>
      </c>
      <c r="N28" s="7">
        <v>0</v>
      </c>
      <c r="O28" s="7">
        <v>0.1</v>
      </c>
      <c r="P28" s="7">
        <v>0.1</v>
      </c>
      <c r="Q28" s="7">
        <v>0.05</v>
      </c>
      <c r="R28" s="7">
        <v>0.1</v>
      </c>
      <c r="S28" s="7">
        <v>0.1</v>
      </c>
      <c r="T28" s="7">
        <v>0.05</v>
      </c>
      <c r="U28" s="7">
        <v>0.1</v>
      </c>
      <c r="V28" s="7">
        <v>0.1</v>
      </c>
      <c r="W28" s="7">
        <v>0.05</v>
      </c>
      <c r="X28" s="7">
        <v>0.1</v>
      </c>
      <c r="Y28" s="7">
        <v>0.1</v>
      </c>
      <c r="Z28" s="7">
        <v>0.05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</row>
    <row r="29" spans="1:50" s="147" customFormat="1" ht="20.25" customHeight="1" x14ac:dyDescent="0.2">
      <c r="A29" s="109" t="s">
        <v>81</v>
      </c>
      <c r="B29" s="109"/>
      <c r="C29" s="109"/>
      <c r="D29" s="109"/>
      <c r="E29" s="109"/>
      <c r="F29" s="109"/>
      <c r="G29" s="21">
        <v>0.14000000000000001</v>
      </c>
      <c r="H29" s="145"/>
      <c r="I29" s="145"/>
      <c r="J29" s="145"/>
      <c r="K29" s="145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</row>
    <row r="30" spans="1:50" ht="45" customHeight="1" x14ac:dyDescent="0.25">
      <c r="A30" s="16">
        <v>13</v>
      </c>
      <c r="B30" s="106" t="s">
        <v>82</v>
      </c>
      <c r="C30" s="106"/>
      <c r="D30" s="106"/>
      <c r="E30" s="74" t="s">
        <v>99</v>
      </c>
      <c r="F30" s="74"/>
      <c r="G30" s="5">
        <v>0.4</v>
      </c>
      <c r="H30" s="6" t="s">
        <v>17</v>
      </c>
      <c r="I30" s="6">
        <v>2018</v>
      </c>
      <c r="J30" s="6" t="s">
        <v>17</v>
      </c>
      <c r="K30" s="6">
        <v>2019</v>
      </c>
      <c r="L30" s="7">
        <v>0</v>
      </c>
      <c r="M30" s="7">
        <v>0</v>
      </c>
      <c r="N30" s="7">
        <v>0</v>
      </c>
      <c r="O30" s="7">
        <v>7.0000000000000007E-2</v>
      </c>
      <c r="P30" s="7">
        <v>7.0000000000000007E-2</v>
      </c>
      <c r="Q30" s="7">
        <v>0.06</v>
      </c>
      <c r="R30" s="7">
        <v>7.0000000000000007E-2</v>
      </c>
      <c r="S30" s="7">
        <v>7.0000000000000007E-2</v>
      </c>
      <c r="T30" s="7">
        <v>0.06</v>
      </c>
      <c r="U30" s="7">
        <v>7.0000000000000007E-2</v>
      </c>
      <c r="V30" s="7">
        <v>7.0000000000000007E-2</v>
      </c>
      <c r="W30" s="7">
        <v>0.06</v>
      </c>
      <c r="X30" s="7">
        <v>7.0000000000000007E-2</v>
      </c>
      <c r="Y30" s="7">
        <v>7.0000000000000007E-2</v>
      </c>
      <c r="Z30" s="7">
        <v>0.06</v>
      </c>
      <c r="AA30" s="7">
        <v>7.0000000000000007E-2</v>
      </c>
      <c r="AB30" s="7">
        <v>7.0000000000000007E-2</v>
      </c>
      <c r="AC30" s="7">
        <v>0.06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</row>
    <row r="31" spans="1:50" ht="45" customHeight="1" x14ac:dyDescent="0.25">
      <c r="A31" s="16">
        <v>14</v>
      </c>
      <c r="B31" s="106" t="s">
        <v>83</v>
      </c>
      <c r="C31" s="106"/>
      <c r="D31" s="106"/>
      <c r="E31" s="74" t="s">
        <v>95</v>
      </c>
      <c r="F31" s="74"/>
      <c r="G31" s="5">
        <v>0.5</v>
      </c>
      <c r="H31" s="20" t="s">
        <v>15</v>
      </c>
      <c r="I31" s="20">
        <v>2018</v>
      </c>
      <c r="J31" s="6" t="s">
        <v>20</v>
      </c>
      <c r="K31" s="6">
        <v>2018</v>
      </c>
      <c r="L31" s="7">
        <v>0</v>
      </c>
      <c r="M31" s="7">
        <v>0</v>
      </c>
      <c r="N31" s="7">
        <v>0</v>
      </c>
      <c r="O31" s="7">
        <v>0.13</v>
      </c>
      <c r="P31" s="7">
        <v>0.13</v>
      </c>
      <c r="Q31" s="7">
        <v>0.14000000000000001</v>
      </c>
      <c r="R31" s="7">
        <v>0.2</v>
      </c>
      <c r="S31" s="7">
        <v>0.2</v>
      </c>
      <c r="T31" s="7">
        <v>0.2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</row>
    <row r="32" spans="1:50" ht="45" customHeight="1" x14ac:dyDescent="0.25">
      <c r="A32" s="16">
        <v>15</v>
      </c>
      <c r="B32" s="106" t="s">
        <v>84</v>
      </c>
      <c r="C32" s="106"/>
      <c r="D32" s="106"/>
      <c r="E32" s="74" t="s">
        <v>100</v>
      </c>
      <c r="F32" s="74"/>
      <c r="G32" s="5">
        <v>0.1</v>
      </c>
      <c r="H32" s="6" t="s">
        <v>15</v>
      </c>
      <c r="I32" s="6">
        <v>2018</v>
      </c>
      <c r="J32" s="6" t="s">
        <v>14</v>
      </c>
      <c r="K32" s="6">
        <v>2021</v>
      </c>
      <c r="L32" s="7">
        <v>0</v>
      </c>
      <c r="M32" s="7">
        <v>0</v>
      </c>
      <c r="N32" s="7">
        <v>0</v>
      </c>
      <c r="O32" s="7">
        <v>0.02</v>
      </c>
      <c r="P32" s="7">
        <v>0.03</v>
      </c>
      <c r="Q32" s="7">
        <v>0.03</v>
      </c>
      <c r="R32" s="7">
        <v>0.03</v>
      </c>
      <c r="S32" s="7">
        <v>0.03</v>
      </c>
      <c r="T32" s="7">
        <v>0.03</v>
      </c>
      <c r="U32" s="7">
        <v>0.02</v>
      </c>
      <c r="V32" s="7">
        <v>0.03</v>
      </c>
      <c r="W32" s="7">
        <v>0.03</v>
      </c>
      <c r="X32" s="7">
        <v>0.02</v>
      </c>
      <c r="Y32" s="7">
        <v>0.03</v>
      </c>
      <c r="Z32" s="7">
        <v>0.03</v>
      </c>
      <c r="AA32" s="7">
        <v>0.03</v>
      </c>
      <c r="AB32" s="7">
        <v>0.03</v>
      </c>
      <c r="AC32" s="7">
        <v>0.03</v>
      </c>
      <c r="AD32" s="7">
        <v>0.02</v>
      </c>
      <c r="AE32" s="7">
        <v>0.03</v>
      </c>
      <c r="AF32" s="7">
        <v>0.03</v>
      </c>
      <c r="AG32" s="7">
        <v>0.02</v>
      </c>
      <c r="AH32" s="7">
        <v>0.03</v>
      </c>
      <c r="AI32" s="7">
        <v>0.03</v>
      </c>
      <c r="AJ32" s="7">
        <v>0.03</v>
      </c>
      <c r="AK32" s="7">
        <v>0.03</v>
      </c>
      <c r="AL32" s="7">
        <v>0.03</v>
      </c>
      <c r="AM32" s="7">
        <v>0.02</v>
      </c>
      <c r="AN32" s="7">
        <v>0.03</v>
      </c>
      <c r="AO32" s="7">
        <v>0.03</v>
      </c>
      <c r="AP32" s="7">
        <v>0.02</v>
      </c>
      <c r="AQ32" s="7">
        <v>0.03</v>
      </c>
      <c r="AR32" s="7">
        <v>0.03</v>
      </c>
      <c r="AS32" s="7">
        <v>0.02</v>
      </c>
      <c r="AT32" s="7">
        <v>0.03</v>
      </c>
      <c r="AU32" s="7">
        <v>0.03</v>
      </c>
      <c r="AV32" s="7">
        <v>0.03</v>
      </c>
      <c r="AW32" s="7">
        <v>0.03</v>
      </c>
      <c r="AX32" s="7">
        <v>0.03</v>
      </c>
    </row>
    <row r="33" spans="1:52" ht="108.75" customHeight="1" x14ac:dyDescent="0.25">
      <c r="A33" s="109" t="s">
        <v>309</v>
      </c>
      <c r="B33" s="109"/>
      <c r="C33" s="109"/>
      <c r="D33" s="109"/>
      <c r="E33" s="112" t="s">
        <v>310</v>
      </c>
      <c r="F33" s="112"/>
      <c r="G33" s="21">
        <v>0.1</v>
      </c>
      <c r="H33" s="6" t="s">
        <v>13</v>
      </c>
      <c r="I33" s="6">
        <v>2019</v>
      </c>
      <c r="J33" s="6" t="s">
        <v>18</v>
      </c>
      <c r="K33" s="6">
        <v>2020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0.05</v>
      </c>
      <c r="Z33" s="7">
        <v>0.05</v>
      </c>
      <c r="AA33" s="7">
        <v>0.05</v>
      </c>
      <c r="AB33" s="7">
        <v>0.05</v>
      </c>
      <c r="AC33" s="7">
        <v>0.05</v>
      </c>
      <c r="AD33" s="7">
        <v>0.05</v>
      </c>
      <c r="AE33" s="7">
        <v>0.05</v>
      </c>
      <c r="AF33" s="7">
        <v>0.05</v>
      </c>
      <c r="AG33" s="7">
        <v>0.06</v>
      </c>
      <c r="AH33" s="7">
        <v>0.06</v>
      </c>
      <c r="AI33" s="7">
        <v>0.06</v>
      </c>
      <c r="AJ33" s="7">
        <v>0.06</v>
      </c>
      <c r="AK33" s="7">
        <v>0.06</v>
      </c>
      <c r="AL33" s="7">
        <v>0.06</v>
      </c>
      <c r="AM33" s="7">
        <v>0.06</v>
      </c>
      <c r="AN33" s="7">
        <v>0.06</v>
      </c>
      <c r="AO33" s="7">
        <v>0.06</v>
      </c>
      <c r="AP33" s="7">
        <v>0.06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</row>
    <row r="34" spans="1:52" ht="93.75" customHeight="1" x14ac:dyDescent="0.25">
      <c r="A34" s="109" t="s">
        <v>312</v>
      </c>
      <c r="B34" s="109"/>
      <c r="C34" s="109"/>
      <c r="D34" s="109"/>
      <c r="E34" s="112" t="s">
        <v>313</v>
      </c>
      <c r="F34" s="112"/>
      <c r="G34" s="21">
        <v>0.1</v>
      </c>
      <c r="H34" s="6" t="s">
        <v>13</v>
      </c>
      <c r="I34" s="6">
        <v>2019</v>
      </c>
      <c r="J34" s="6" t="s">
        <v>18</v>
      </c>
      <c r="K34" s="6">
        <v>2020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0.05</v>
      </c>
      <c r="Z34" s="7">
        <v>0.05</v>
      </c>
      <c r="AA34" s="7">
        <v>0.05</v>
      </c>
      <c r="AB34" s="7">
        <v>0.05</v>
      </c>
      <c r="AC34" s="7">
        <v>0.05</v>
      </c>
      <c r="AD34" s="7">
        <v>0.05</v>
      </c>
      <c r="AE34" s="7">
        <v>0.05</v>
      </c>
      <c r="AF34" s="7">
        <v>0.05</v>
      </c>
      <c r="AG34" s="7">
        <v>0.06</v>
      </c>
      <c r="AH34" s="7">
        <v>0.06</v>
      </c>
      <c r="AI34" s="7">
        <v>0.06</v>
      </c>
      <c r="AJ34" s="7">
        <v>0.06</v>
      </c>
      <c r="AK34" s="7">
        <v>0.06</v>
      </c>
      <c r="AL34" s="7">
        <v>0.06</v>
      </c>
      <c r="AM34" s="7">
        <v>0.06</v>
      </c>
      <c r="AN34" s="7">
        <v>0.06</v>
      </c>
      <c r="AO34" s="7">
        <v>0.06</v>
      </c>
      <c r="AP34" s="7">
        <v>0.06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</row>
    <row r="35" spans="1:52" ht="69.75" customHeight="1" x14ac:dyDescent="0.25">
      <c r="A35" s="109" t="s">
        <v>317</v>
      </c>
      <c r="B35" s="109"/>
      <c r="C35" s="109"/>
      <c r="D35" s="109"/>
      <c r="E35" s="110" t="s">
        <v>319</v>
      </c>
      <c r="F35" s="110"/>
      <c r="G35" s="148">
        <v>0.1</v>
      </c>
      <c r="H35" s="6" t="s">
        <v>13</v>
      </c>
      <c r="I35" s="6">
        <v>2019</v>
      </c>
      <c r="J35" s="6" t="s">
        <v>14</v>
      </c>
      <c r="K35" s="6">
        <v>2021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0.04</v>
      </c>
      <c r="Y35" s="7">
        <v>0.04</v>
      </c>
      <c r="Z35" s="7">
        <v>0.04</v>
      </c>
      <c r="AA35" s="7">
        <v>0.04</v>
      </c>
      <c r="AB35" s="7">
        <v>0.04</v>
      </c>
      <c r="AC35" s="7">
        <v>0.04</v>
      </c>
      <c r="AD35" s="7">
        <v>0.04</v>
      </c>
      <c r="AE35" s="7">
        <v>0.04</v>
      </c>
      <c r="AF35" s="7">
        <v>0.04</v>
      </c>
      <c r="AG35" s="7">
        <v>0.04</v>
      </c>
      <c r="AH35" s="7">
        <v>0.04</v>
      </c>
      <c r="AI35" s="7">
        <v>0.04</v>
      </c>
      <c r="AJ35" s="7">
        <v>0.04</v>
      </c>
      <c r="AK35" s="7">
        <v>0.04</v>
      </c>
      <c r="AL35" s="7">
        <v>0.04</v>
      </c>
      <c r="AM35" s="7">
        <v>0.04</v>
      </c>
      <c r="AN35" s="7">
        <v>0.04</v>
      </c>
      <c r="AO35" s="7">
        <v>0.04</v>
      </c>
      <c r="AP35" s="7">
        <v>0.04</v>
      </c>
      <c r="AQ35" s="7">
        <v>0.03</v>
      </c>
      <c r="AR35" s="7">
        <v>0.03</v>
      </c>
      <c r="AS35" s="7">
        <v>0.03</v>
      </c>
      <c r="AT35" s="7">
        <v>0.03</v>
      </c>
      <c r="AU35" s="7">
        <v>0.03</v>
      </c>
      <c r="AV35" s="7">
        <v>0.03</v>
      </c>
      <c r="AW35" s="7">
        <v>0.03</v>
      </c>
      <c r="AX35" s="7">
        <v>0.03</v>
      </c>
      <c r="AY35" s="149" t="s">
        <v>318</v>
      </c>
      <c r="AZ35" s="149"/>
    </row>
    <row r="36" spans="1:52" ht="45" customHeight="1" x14ac:dyDescent="0.25">
      <c r="A36" s="108" t="s">
        <v>34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M36" s="67"/>
      <c r="Q36" s="67"/>
    </row>
    <row r="37" spans="1:52" ht="45" customHeight="1" x14ac:dyDescent="0.25">
      <c r="A37" s="81" t="s">
        <v>24</v>
      </c>
      <c r="B37" s="81"/>
      <c r="C37" s="81"/>
      <c r="D37" s="70">
        <v>2018</v>
      </c>
      <c r="E37" s="70"/>
      <c r="F37" s="70">
        <v>2019</v>
      </c>
      <c r="G37" s="70"/>
      <c r="H37" s="70" t="s">
        <v>25</v>
      </c>
      <c r="I37" s="70"/>
      <c r="J37" s="70" t="s">
        <v>26</v>
      </c>
      <c r="K37" s="70"/>
    </row>
    <row r="38" spans="1:52" ht="45" customHeight="1" x14ac:dyDescent="0.25">
      <c r="A38" s="77" t="s">
        <v>29</v>
      </c>
      <c r="B38" s="77"/>
      <c r="C38" s="77"/>
      <c r="D38" s="150">
        <f>170033017/1000000</f>
        <v>170.033017</v>
      </c>
      <c r="E38" s="150"/>
      <c r="F38" s="150">
        <f>156969604/1000000</f>
        <v>156.969604</v>
      </c>
      <c r="G38" s="150"/>
      <c r="H38" s="150">
        <f>55318572/1000000</f>
        <v>55.318572000000003</v>
      </c>
      <c r="I38" s="150"/>
      <c r="J38" s="107">
        <f>SUM(D38:I38)</f>
        <v>382.32119299999999</v>
      </c>
      <c r="K38" s="107"/>
    </row>
    <row r="39" spans="1:52" ht="45" customHeight="1" x14ac:dyDescent="0.25">
      <c r="A39" s="77" t="s">
        <v>27</v>
      </c>
      <c r="B39" s="77"/>
      <c r="C39" s="77"/>
      <c r="D39" s="150">
        <f>2250000/1000000</f>
        <v>2.25</v>
      </c>
      <c r="E39" s="150"/>
      <c r="F39" s="150">
        <f>1000000/1000000</f>
        <v>1</v>
      </c>
      <c r="G39" s="150"/>
      <c r="H39" s="150">
        <v>0.75</v>
      </c>
      <c r="I39" s="150"/>
      <c r="J39" s="107">
        <f t="shared" ref="J39:J41" si="1">SUM(D39:I39)</f>
        <v>4</v>
      </c>
      <c r="K39" s="107"/>
    </row>
    <row r="40" spans="1:52" ht="45" customHeight="1" x14ac:dyDescent="0.25">
      <c r="A40" s="77" t="s">
        <v>39</v>
      </c>
      <c r="B40" s="77"/>
      <c r="C40" s="77"/>
      <c r="D40" s="78">
        <v>0</v>
      </c>
      <c r="E40" s="78"/>
      <c r="F40" s="78">
        <v>0</v>
      </c>
      <c r="G40" s="78"/>
      <c r="H40" s="78">
        <v>0</v>
      </c>
      <c r="I40" s="78"/>
      <c r="J40" s="107">
        <f t="shared" si="1"/>
        <v>0</v>
      </c>
      <c r="K40" s="107"/>
    </row>
    <row r="41" spans="1:52" ht="45" customHeight="1" x14ac:dyDescent="0.25">
      <c r="A41" s="77" t="s">
        <v>311</v>
      </c>
      <c r="B41" s="77"/>
      <c r="C41" s="77"/>
      <c r="D41" s="78">
        <v>0</v>
      </c>
      <c r="E41" s="78"/>
      <c r="F41" s="78">
        <f>(407405001+356268791)/1000000</f>
        <v>763.67379200000005</v>
      </c>
      <c r="G41" s="78"/>
      <c r="H41" s="78">
        <f>(271603334+237512527)/1000000</f>
        <v>509.115861</v>
      </c>
      <c r="I41" s="78"/>
      <c r="J41" s="107">
        <f t="shared" si="1"/>
        <v>1272.789653</v>
      </c>
      <c r="K41" s="107"/>
    </row>
    <row r="42" spans="1:52" ht="45" customHeight="1" x14ac:dyDescent="0.25">
      <c r="A42" s="80" t="s">
        <v>28</v>
      </c>
      <c r="B42" s="80"/>
      <c r="C42" s="80"/>
      <c r="D42" s="75">
        <f>SUM(D38:E41)</f>
        <v>172.283017</v>
      </c>
      <c r="E42" s="75"/>
      <c r="F42" s="75">
        <f t="shared" ref="F42" si="2">SUM(F38:G41)</f>
        <v>921.64339600000005</v>
      </c>
      <c r="G42" s="75"/>
      <c r="H42" s="75">
        <f t="shared" ref="H42" si="3">SUM(H38:I41)</f>
        <v>565.18443300000001</v>
      </c>
      <c r="I42" s="75"/>
      <c r="J42" s="75">
        <f>SUM(J38:K41)</f>
        <v>1659.110846</v>
      </c>
      <c r="K42" s="75"/>
      <c r="L42" s="68"/>
      <c r="M42" s="101"/>
      <c r="N42" s="101"/>
      <c r="O42" s="101"/>
      <c r="P42" s="101"/>
      <c r="Q42" s="68"/>
      <c r="R42" s="68"/>
      <c r="S42" s="68"/>
    </row>
    <row r="43" spans="1:52" ht="45" customHeight="1" x14ac:dyDescent="0.25">
      <c r="A43" s="76" t="s">
        <v>40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</row>
  </sheetData>
  <mergeCells count="114">
    <mergeCell ref="A13:F13"/>
    <mergeCell ref="A18:F18"/>
    <mergeCell ref="A21:F21"/>
    <mergeCell ref="A25:F25"/>
    <mergeCell ref="A29:F29"/>
    <mergeCell ref="B31:D31"/>
    <mergeCell ref="E31:F31"/>
    <mergeCell ref="E28:F28"/>
    <mergeCell ref="B23:D23"/>
    <mergeCell ref="E23:F23"/>
    <mergeCell ref="B24:D24"/>
    <mergeCell ref="E24:F24"/>
    <mergeCell ref="B26:D26"/>
    <mergeCell ref="E26:F26"/>
    <mergeCell ref="B22:D22"/>
    <mergeCell ref="E22:F22"/>
    <mergeCell ref="B27:D27"/>
    <mergeCell ref="E27:F27"/>
    <mergeCell ref="B20:D20"/>
    <mergeCell ref="E20:F20"/>
    <mergeCell ref="B14:D14"/>
    <mergeCell ref="E14:F14"/>
    <mergeCell ref="B15:D15"/>
    <mergeCell ref="E15:F15"/>
    <mergeCell ref="H38:I38"/>
    <mergeCell ref="J38:K38"/>
    <mergeCell ref="E33:F33"/>
    <mergeCell ref="E34:F34"/>
    <mergeCell ref="A33:D33"/>
    <mergeCell ref="A34:D34"/>
    <mergeCell ref="E17:F17"/>
    <mergeCell ref="B19:D19"/>
    <mergeCell ref="E19:F19"/>
    <mergeCell ref="A43:K43"/>
    <mergeCell ref="A40:C40"/>
    <mergeCell ref="D40:E40"/>
    <mergeCell ref="F40:G40"/>
    <mergeCell ref="H40:I40"/>
    <mergeCell ref="J40:K40"/>
    <mergeCell ref="A41:C41"/>
    <mergeCell ref="D41:E41"/>
    <mergeCell ref="F41:G41"/>
    <mergeCell ref="H41:I41"/>
    <mergeCell ref="J41:K41"/>
    <mergeCell ref="A42:C42"/>
    <mergeCell ref="D42:E42"/>
    <mergeCell ref="F42:G42"/>
    <mergeCell ref="H42:I42"/>
    <mergeCell ref="J42:K42"/>
    <mergeCell ref="B16:D16"/>
    <mergeCell ref="E16:F16"/>
    <mergeCell ref="A39:C39"/>
    <mergeCell ref="D39:E39"/>
    <mergeCell ref="F39:G39"/>
    <mergeCell ref="H39:I39"/>
    <mergeCell ref="J39:K39"/>
    <mergeCell ref="B32:D32"/>
    <mergeCell ref="E32:F32"/>
    <mergeCell ref="A36:K36"/>
    <mergeCell ref="A37:C37"/>
    <mergeCell ref="D37:E37"/>
    <mergeCell ref="A35:D35"/>
    <mergeCell ref="E35:F35"/>
    <mergeCell ref="F37:G37"/>
    <mergeCell ref="H37:I37"/>
    <mergeCell ref="J37:K37"/>
    <mergeCell ref="B30:D30"/>
    <mergeCell ref="E30:F30"/>
    <mergeCell ref="B28:D28"/>
    <mergeCell ref="B17:D17"/>
    <mergeCell ref="A38:C38"/>
    <mergeCell ref="D38:E38"/>
    <mergeCell ref="F38:G38"/>
    <mergeCell ref="L10:W10"/>
    <mergeCell ref="X10:AI10"/>
    <mergeCell ref="AJ10:AU10"/>
    <mergeCell ref="AV10:AX10"/>
    <mergeCell ref="L11:N11"/>
    <mergeCell ref="AG11:AI11"/>
    <mergeCell ref="AJ11:AL11"/>
    <mergeCell ref="AM11:AO11"/>
    <mergeCell ref="AP11:AR11"/>
    <mergeCell ref="AS11:AU11"/>
    <mergeCell ref="AV11:AX11"/>
    <mergeCell ref="O11:Q11"/>
    <mergeCell ref="R11:T11"/>
    <mergeCell ref="U11:W11"/>
    <mergeCell ref="X11:Z11"/>
    <mergeCell ref="AA11:AC11"/>
    <mergeCell ref="AD11:AF11"/>
    <mergeCell ref="M42:P42"/>
    <mergeCell ref="A1:B2"/>
    <mergeCell ref="C1:K1"/>
    <mergeCell ref="C2:K2"/>
    <mergeCell ref="A3:K3"/>
    <mergeCell ref="A4:C4"/>
    <mergeCell ref="D4:K4"/>
    <mergeCell ref="A9:A12"/>
    <mergeCell ref="B9:D12"/>
    <mergeCell ref="E9:F12"/>
    <mergeCell ref="G9:G12"/>
    <mergeCell ref="H9:I9"/>
    <mergeCell ref="J9:K9"/>
    <mergeCell ref="A5:C5"/>
    <mergeCell ref="D5:K5"/>
    <mergeCell ref="A6:C6"/>
    <mergeCell ref="D6:K6"/>
    <mergeCell ref="A7:K7"/>
    <mergeCell ref="A8:K8"/>
    <mergeCell ref="L9:AX9"/>
    <mergeCell ref="H10:H12"/>
    <mergeCell ref="I10:I12"/>
    <mergeCell ref="J10:J12"/>
    <mergeCell ref="K10:K12"/>
  </mergeCells>
  <dataValidations xWindow="1083" yWindow="711" count="4">
    <dataValidation type="list" allowBlank="1" showInputMessage="1" showErrorMessage="1" sqref="H13:H35 J13:J35">
      <formula1>"Ene,Feb,Mar,Abr,May,Jun,Jul,Ago,Sep,Oct,Nov,Dic"</formula1>
    </dataValidation>
    <dataValidation type="list" allowBlank="1" showInputMessage="1" showErrorMessage="1" sqref="I13:I35 K13:K35">
      <formula1>"2018,2019,2020,2021"</formula1>
    </dataValidation>
    <dataValidation allowBlank="1" showInputMessage="1" showErrorMessage="1" prompt="Describa qué fases se llevarán a cabo para desarrollar la iniciativa" sqref="B14:D14 B19:D19 B22:D22 B26:D26 B30:D30"/>
    <dataValidation allowBlank="1" showInputMessage="1" showErrorMessage="1" prompt="Registre para el período en cuestión, el valor de las inversiones de acuerdo con la fuente de recursos" sqref="D39:E41 F39:G39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opLeftCell="M1" zoomScale="120" zoomScaleNormal="120" workbookViewId="0">
      <pane ySplit="1" topLeftCell="A174" activePane="bottomLeft" state="frozen"/>
      <selection pane="bottomLeft" activeCell="Q185" sqref="Q185"/>
    </sheetView>
  </sheetViews>
  <sheetFormatPr baseColWidth="10" defaultColWidth="11.42578125" defaultRowHeight="16.5" x14ac:dyDescent="0.3"/>
  <cols>
    <col min="1" max="1" width="13.140625" style="27" customWidth="1"/>
    <col min="2" max="2" width="19.7109375" style="27" customWidth="1"/>
    <col min="3" max="3" width="27.42578125" style="27" bestFit="1" customWidth="1"/>
    <col min="4" max="4" width="28.28515625" style="27" customWidth="1"/>
    <col min="5" max="5" width="17.85546875" style="27" customWidth="1"/>
    <col min="6" max="6" width="12.42578125" style="27" customWidth="1"/>
    <col min="7" max="7" width="33.140625" style="27" customWidth="1"/>
    <col min="8" max="8" width="18.140625" style="27" customWidth="1"/>
    <col min="9" max="9" width="25.140625" style="27" customWidth="1"/>
    <col min="10" max="10" width="17" style="40" bestFit="1" customWidth="1"/>
    <col min="11" max="11" width="22.42578125" style="27" bestFit="1" customWidth="1"/>
    <col min="12" max="12" width="38.42578125" style="27" bestFit="1" customWidth="1"/>
    <col min="13" max="13" width="23.140625" style="27" customWidth="1"/>
    <col min="14" max="14" width="24.42578125" style="27" customWidth="1"/>
    <col min="15" max="15" width="20.85546875" style="27" bestFit="1" customWidth="1"/>
    <col min="16" max="16" width="38.5703125" style="27" bestFit="1" customWidth="1"/>
    <col min="17" max="19" width="19.42578125" style="27" bestFit="1" customWidth="1"/>
    <col min="20" max="20" width="11.5703125" style="27" bestFit="1" customWidth="1"/>
    <col min="21" max="21" width="19.42578125" style="27" bestFit="1" customWidth="1"/>
    <col min="22" max="16384" width="11.42578125" style="27"/>
  </cols>
  <sheetData>
    <row r="1" spans="1:16" ht="30" customHeight="1" x14ac:dyDescent="0.3">
      <c r="A1" s="26" t="s">
        <v>132</v>
      </c>
      <c r="B1" s="26" t="s">
        <v>133</v>
      </c>
      <c r="C1" s="26" t="s">
        <v>134</v>
      </c>
      <c r="D1" s="26" t="s">
        <v>135</v>
      </c>
      <c r="E1" s="26" t="s">
        <v>136</v>
      </c>
      <c r="F1" s="26" t="s">
        <v>137</v>
      </c>
      <c r="G1" s="26" t="s">
        <v>138</v>
      </c>
      <c r="H1" s="26" t="s">
        <v>139</v>
      </c>
      <c r="I1" s="26" t="s">
        <v>140</v>
      </c>
      <c r="J1" s="26" t="s">
        <v>141</v>
      </c>
      <c r="K1" s="26" t="s">
        <v>142</v>
      </c>
      <c r="L1" s="26" t="s">
        <v>143</v>
      </c>
      <c r="M1" s="26" t="s">
        <v>144</v>
      </c>
      <c r="N1" s="26" t="s">
        <v>145</v>
      </c>
      <c r="O1" s="26" t="s">
        <v>146</v>
      </c>
      <c r="P1" s="26" t="s">
        <v>147</v>
      </c>
    </row>
    <row r="2" spans="1:16" s="33" customFormat="1" ht="15" x14ac:dyDescent="0.25">
      <c r="A2" s="33">
        <v>21920001</v>
      </c>
      <c r="B2" s="33" t="s">
        <v>148</v>
      </c>
      <c r="C2" s="33" t="s">
        <v>295</v>
      </c>
      <c r="D2" s="33" t="s">
        <v>149</v>
      </c>
      <c r="E2" s="33" t="s">
        <v>150</v>
      </c>
      <c r="F2" s="33" t="s">
        <v>151</v>
      </c>
      <c r="G2" s="33" t="s">
        <v>152</v>
      </c>
      <c r="H2" s="34">
        <v>43191</v>
      </c>
      <c r="I2" s="34">
        <v>43830</v>
      </c>
      <c r="J2" s="35">
        <f>(((3287997+3616797))*70%+(3287997+3616797))/30/8</f>
        <v>48908.957500000004</v>
      </c>
      <c r="K2" s="38">
        <v>200</v>
      </c>
      <c r="L2" s="35">
        <f t="shared" ref="L2:L17" si="0">J2*300</f>
        <v>14672687.250000002</v>
      </c>
      <c r="M2" s="35">
        <f>((((((3287997+3616797))*7%))+(3287997+3616797)*70%+((((3287997+3616797))*7%))+(3287997+3616797))/30/8)*400</f>
        <v>21174701.600000001</v>
      </c>
      <c r="N2" s="35"/>
      <c r="O2" s="35"/>
      <c r="P2" s="37">
        <f t="shared" ref="P2:P33" si="1">SUM(L2+M2+N2+O2)</f>
        <v>35847388.850000001</v>
      </c>
    </row>
    <row r="3" spans="1:16" s="33" customFormat="1" ht="15" x14ac:dyDescent="0.25">
      <c r="A3" s="33">
        <v>21920001</v>
      </c>
      <c r="B3" s="33" t="s">
        <v>148</v>
      </c>
      <c r="C3" s="33" t="s">
        <v>295</v>
      </c>
      <c r="D3" s="33" t="s">
        <v>71</v>
      </c>
      <c r="E3" s="33" t="s">
        <v>150</v>
      </c>
      <c r="F3" s="33" t="s">
        <v>151</v>
      </c>
      <c r="G3" s="33" t="s">
        <v>152</v>
      </c>
      <c r="H3" s="34">
        <v>43191</v>
      </c>
      <c r="I3" s="34">
        <v>43554</v>
      </c>
      <c r="J3" s="35">
        <f>(((3287997+3616797))*70%+(3287997+3616797))/30/8</f>
        <v>48908.957500000004</v>
      </c>
      <c r="K3" s="38">
        <v>200</v>
      </c>
      <c r="L3" s="35">
        <f t="shared" si="0"/>
        <v>14672687.250000002</v>
      </c>
      <c r="M3" s="35">
        <f>((((((3287997+3616797))*7%))+(3287997+3616797)*70%+((((3287997+3616797))*7%))+(3287997+3616797))/30/8)*100</f>
        <v>5293675.4000000004</v>
      </c>
      <c r="N3" s="35"/>
      <c r="O3" s="35"/>
      <c r="P3" s="37">
        <f t="shared" si="1"/>
        <v>19966362.650000002</v>
      </c>
    </row>
    <row r="4" spans="1:16" s="33" customFormat="1" ht="15" x14ac:dyDescent="0.25">
      <c r="A4" s="33">
        <v>21920001</v>
      </c>
      <c r="B4" s="33" t="s">
        <v>148</v>
      </c>
      <c r="C4" s="33" t="s">
        <v>295</v>
      </c>
      <c r="D4" s="33" t="s">
        <v>72</v>
      </c>
      <c r="E4" s="33" t="s">
        <v>150</v>
      </c>
      <c r="F4" s="33" t="s">
        <v>151</v>
      </c>
      <c r="G4" s="33" t="s">
        <v>153</v>
      </c>
      <c r="H4" s="34">
        <v>43191</v>
      </c>
      <c r="I4" s="34">
        <v>43554</v>
      </c>
      <c r="J4" s="35">
        <f>(((2144405))*70%+(2144405))/30/8</f>
        <v>15189.535416666668</v>
      </c>
      <c r="K4" s="38">
        <v>200</v>
      </c>
      <c r="L4" s="35">
        <f t="shared" si="0"/>
        <v>4556860.625</v>
      </c>
      <c r="M4" s="35">
        <f>((((((2144405))*7%))+(2144405)*70%+((((2144405))*7%))+(2144405))/30/8)*100</f>
        <v>1644043.8333333335</v>
      </c>
      <c r="N4" s="35"/>
      <c r="O4" s="35"/>
      <c r="P4" s="37">
        <f t="shared" si="1"/>
        <v>6200904.458333334</v>
      </c>
    </row>
    <row r="5" spans="1:16" s="33" customFormat="1" ht="15" x14ac:dyDescent="0.25">
      <c r="A5" s="33">
        <v>21920002</v>
      </c>
      <c r="B5" s="33" t="s">
        <v>148</v>
      </c>
      <c r="C5" s="33" t="s">
        <v>295</v>
      </c>
      <c r="D5" s="33" t="s">
        <v>75</v>
      </c>
      <c r="E5" s="33" t="s">
        <v>154</v>
      </c>
      <c r="F5" s="33" t="s">
        <v>151</v>
      </c>
      <c r="G5" s="33" t="s">
        <v>155</v>
      </c>
      <c r="H5" s="34">
        <v>43191</v>
      </c>
      <c r="I5" s="34">
        <v>43819</v>
      </c>
      <c r="J5" s="35">
        <f>(((6667615))*70%+(6667615))/30/8</f>
        <v>47228.939583333333</v>
      </c>
      <c r="K5" s="36">
        <v>200</v>
      </c>
      <c r="L5" s="35">
        <f t="shared" si="0"/>
        <v>14168681.875</v>
      </c>
      <c r="M5" s="35">
        <f>((((((6667615))*7%))+(6667615)*70%+((((6667615))*7%))+(6667615))/30/8)*400</f>
        <v>20447352.666666668</v>
      </c>
      <c r="N5" s="35"/>
      <c r="O5" s="35"/>
      <c r="P5" s="37">
        <f t="shared" si="1"/>
        <v>34616034.541666672</v>
      </c>
    </row>
    <row r="6" spans="1:16" s="33" customFormat="1" ht="15" x14ac:dyDescent="0.25">
      <c r="A6" s="33">
        <v>21920002</v>
      </c>
      <c r="B6" s="33" t="s">
        <v>148</v>
      </c>
      <c r="C6" s="33" t="s">
        <v>295</v>
      </c>
      <c r="D6" s="33" t="s">
        <v>76</v>
      </c>
      <c r="E6" s="33" t="s">
        <v>154</v>
      </c>
      <c r="F6" s="33" t="s">
        <v>151</v>
      </c>
      <c r="G6" s="33" t="s">
        <v>155</v>
      </c>
      <c r="H6" s="34">
        <v>43191</v>
      </c>
      <c r="I6" s="34">
        <v>43554</v>
      </c>
      <c r="J6" s="35">
        <f>(((6667615))*70%+(6667615))/30/8</f>
        <v>47228.939583333333</v>
      </c>
      <c r="K6" s="36">
        <v>200</v>
      </c>
      <c r="L6" s="35">
        <f t="shared" si="0"/>
        <v>14168681.875</v>
      </c>
      <c r="M6" s="35">
        <f>((((((6667615))*7%))+(6667615)*70%+((((6667615))*7%))+(6667615))/30/8)*100</f>
        <v>5111838.166666667</v>
      </c>
      <c r="N6" s="35"/>
      <c r="O6" s="35"/>
      <c r="P6" s="37">
        <f t="shared" si="1"/>
        <v>19280520.041666668</v>
      </c>
    </row>
    <row r="7" spans="1:16" s="33" customFormat="1" ht="15" x14ac:dyDescent="0.25">
      <c r="A7" s="33">
        <v>21920002</v>
      </c>
      <c r="B7" s="33" t="s">
        <v>148</v>
      </c>
      <c r="C7" s="33" t="s">
        <v>295</v>
      </c>
      <c r="D7" s="33" t="s">
        <v>75</v>
      </c>
      <c r="E7" s="33" t="s">
        <v>77</v>
      </c>
      <c r="F7" s="33" t="s">
        <v>151</v>
      </c>
      <c r="G7" s="33" t="s">
        <v>156</v>
      </c>
      <c r="H7" s="34">
        <v>43191</v>
      </c>
      <c r="I7" s="34">
        <v>43830</v>
      </c>
      <c r="J7" s="35">
        <f>(((4182745))*70%+(4182745))/30/8</f>
        <v>29627.777083333334</v>
      </c>
      <c r="K7" s="36">
        <v>200</v>
      </c>
      <c r="L7" s="35">
        <f t="shared" si="0"/>
        <v>8888333.125</v>
      </c>
      <c r="M7" s="35">
        <f>((((((4182745))*7%))+(4182745)*70%+((((4182745))*7%))+(4182745))/30/8)*400</f>
        <v>12827084.666666666</v>
      </c>
      <c r="N7" s="35"/>
      <c r="O7" s="35"/>
      <c r="P7" s="37">
        <f t="shared" si="1"/>
        <v>21715417.791666664</v>
      </c>
    </row>
    <row r="8" spans="1:16" s="33" customFormat="1" ht="15" x14ac:dyDescent="0.25">
      <c r="A8" s="33">
        <v>21920002</v>
      </c>
      <c r="B8" s="33" t="s">
        <v>148</v>
      </c>
      <c r="C8" s="33" t="s">
        <v>295</v>
      </c>
      <c r="D8" s="33" t="s">
        <v>78</v>
      </c>
      <c r="E8" s="33" t="s">
        <v>77</v>
      </c>
      <c r="F8" s="33" t="s">
        <v>151</v>
      </c>
      <c r="G8" s="33" t="s">
        <v>156</v>
      </c>
      <c r="H8" s="34">
        <v>43191</v>
      </c>
      <c r="I8" s="34">
        <v>43830</v>
      </c>
      <c r="J8" s="35">
        <f>(((4182745))*70%+(4182745))/30/8</f>
        <v>29627.777083333334</v>
      </c>
      <c r="K8" s="36">
        <v>200</v>
      </c>
      <c r="L8" s="35">
        <f t="shared" si="0"/>
        <v>8888333.125</v>
      </c>
      <c r="M8" s="35">
        <f>((((((4182745))*7%))+(4182745)*70%+((((4182745))*7%))+(4182745))/30/8)*100</f>
        <v>3206771.1666666665</v>
      </c>
      <c r="N8" s="35"/>
      <c r="O8" s="35"/>
      <c r="P8" s="37">
        <f t="shared" si="1"/>
        <v>12095104.291666666</v>
      </c>
    </row>
    <row r="9" spans="1:16" s="33" customFormat="1" ht="15" x14ac:dyDescent="0.25">
      <c r="A9" s="33">
        <v>21920002</v>
      </c>
      <c r="B9" s="33" t="s">
        <v>148</v>
      </c>
      <c r="C9" s="33" t="s">
        <v>295</v>
      </c>
      <c r="D9" s="33" t="s">
        <v>71</v>
      </c>
      <c r="E9" s="33" t="s">
        <v>77</v>
      </c>
      <c r="F9" s="33" t="s">
        <v>151</v>
      </c>
      <c r="G9" s="33" t="s">
        <v>156</v>
      </c>
      <c r="H9" s="34">
        <v>43191</v>
      </c>
      <c r="I9" s="34">
        <v>44286</v>
      </c>
      <c r="J9" s="35">
        <f>(((4182745))*70%+(4182745))/30/8</f>
        <v>29627.777083333334</v>
      </c>
      <c r="K9" s="36">
        <v>200</v>
      </c>
      <c r="L9" s="35">
        <f t="shared" si="0"/>
        <v>8888333.125</v>
      </c>
      <c r="M9" s="35">
        <f>((((((4182745))*7%))+(4182745)*70%+((((4182745))*7%))+(4182745))/30/8)*400</f>
        <v>12827084.666666666</v>
      </c>
      <c r="N9" s="35">
        <f>(((((((4182745))*7%))+(4182745)*70%+((((4182745))*7%))+(4182745))/30/8)*400)*8%+(((((((4182745))*7%))+(4182745)*70%+((((4182745))*7%))+(4182745))/30/8)*100)</f>
        <v>4232937.9399999995</v>
      </c>
      <c r="O9" s="35">
        <v>0</v>
      </c>
      <c r="P9" s="37">
        <f t="shared" si="1"/>
        <v>25948355.731666662</v>
      </c>
    </row>
    <row r="10" spans="1:16" s="33" customFormat="1" ht="15" x14ac:dyDescent="0.25">
      <c r="A10" s="33">
        <v>21920002</v>
      </c>
      <c r="B10" s="33" t="s">
        <v>148</v>
      </c>
      <c r="C10" s="33" t="s">
        <v>295</v>
      </c>
      <c r="D10" s="33" t="s">
        <v>149</v>
      </c>
      <c r="E10" s="33" t="s">
        <v>157</v>
      </c>
      <c r="F10" s="33" t="s">
        <v>151</v>
      </c>
      <c r="G10" s="33" t="s">
        <v>158</v>
      </c>
      <c r="H10" s="34">
        <v>43191</v>
      </c>
      <c r="I10" s="34">
        <v>44286</v>
      </c>
      <c r="J10" s="35">
        <f>(((4091639))*70%+(4091639))/30/8</f>
        <v>28982.442916666667</v>
      </c>
      <c r="K10" s="36">
        <v>200</v>
      </c>
      <c r="L10" s="35">
        <f t="shared" si="0"/>
        <v>8694732.875</v>
      </c>
      <c r="M10" s="35">
        <f>((((((4091639))*7%))+(4091639)*70%+((((4091639))*7%))+(4091639))/30/8)*400</f>
        <v>12547692.933333334</v>
      </c>
      <c r="N10" s="35">
        <f>(((((((4091639))*7%))+(4091639)*70%+((((4091639))*7%))+(4091639))/30/8)*400)*8%+(((((((4091639))*7%))+(4091639)*70%+((((4091639))*7%))+(4091639))/30/8)*400)</f>
        <v>13551508.368000001</v>
      </c>
      <c r="O10" s="35">
        <f>(N10*9%+N10)/4*1</f>
        <v>3692786.0302800001</v>
      </c>
      <c r="P10" s="37">
        <f t="shared" si="1"/>
        <v>38486720.206613339</v>
      </c>
    </row>
    <row r="11" spans="1:16" s="33" customFormat="1" ht="15" x14ac:dyDescent="0.25">
      <c r="A11" s="33">
        <v>21920002</v>
      </c>
      <c r="B11" s="33" t="s">
        <v>148</v>
      </c>
      <c r="C11" s="33" t="s">
        <v>295</v>
      </c>
      <c r="D11" s="33" t="s">
        <v>80</v>
      </c>
      <c r="E11" s="33" t="s">
        <v>157</v>
      </c>
      <c r="F11" s="33" t="s">
        <v>151</v>
      </c>
      <c r="G11" s="33" t="s">
        <v>159</v>
      </c>
      <c r="H11" s="34">
        <v>43191</v>
      </c>
      <c r="I11" s="34">
        <v>43554</v>
      </c>
      <c r="J11" s="35">
        <f>(((4592045))*70%+(4592045))/30/8</f>
        <v>32526.985416666666</v>
      </c>
      <c r="K11" s="36">
        <v>200</v>
      </c>
      <c r="L11" s="35">
        <f t="shared" si="0"/>
        <v>9758095.625</v>
      </c>
      <c r="M11" s="35">
        <f>((((((4592045))*7%))+(4592045)*70%+((((4592045))*7%))+(4592045))/30/8)*100</f>
        <v>3520567.8333333335</v>
      </c>
      <c r="N11" s="35"/>
      <c r="O11" s="35"/>
      <c r="P11" s="37">
        <f t="shared" si="1"/>
        <v>13278663.458333334</v>
      </c>
    </row>
    <row r="12" spans="1:16" s="33" customFormat="1" ht="15" x14ac:dyDescent="0.25">
      <c r="A12" s="33">
        <v>21920002</v>
      </c>
      <c r="B12" s="33" t="s">
        <v>148</v>
      </c>
      <c r="C12" s="33" t="s">
        <v>295</v>
      </c>
      <c r="D12" s="33" t="s">
        <v>76</v>
      </c>
      <c r="E12" s="33" t="s">
        <v>157</v>
      </c>
      <c r="F12" s="33" t="s">
        <v>151</v>
      </c>
      <c r="G12" s="33" t="s">
        <v>159</v>
      </c>
      <c r="H12" s="34">
        <v>43191</v>
      </c>
      <c r="I12" s="34">
        <v>43554</v>
      </c>
      <c r="J12" s="35">
        <f>(((4592045))*70%+(4592045))/30/8</f>
        <v>32526.985416666666</v>
      </c>
      <c r="K12" s="36">
        <v>200</v>
      </c>
      <c r="L12" s="35">
        <f t="shared" si="0"/>
        <v>9758095.625</v>
      </c>
      <c r="M12" s="35">
        <f>((((((4592045))*7%))+(4592045)*70%+((((4592045))*7%))+(4592045))/30/8)*100</f>
        <v>3520567.8333333335</v>
      </c>
      <c r="N12" s="35"/>
      <c r="O12" s="35"/>
      <c r="P12" s="37">
        <f t="shared" si="1"/>
        <v>13278663.458333334</v>
      </c>
    </row>
    <row r="13" spans="1:16" s="33" customFormat="1" ht="15" x14ac:dyDescent="0.25">
      <c r="A13" s="33">
        <v>21920002</v>
      </c>
      <c r="B13" s="33" t="s">
        <v>148</v>
      </c>
      <c r="C13" s="33" t="s">
        <v>295</v>
      </c>
      <c r="D13" s="33" t="s">
        <v>75</v>
      </c>
      <c r="E13" s="33" t="s">
        <v>81</v>
      </c>
      <c r="F13" s="33" t="s">
        <v>151</v>
      </c>
      <c r="G13" s="33" t="s">
        <v>160</v>
      </c>
      <c r="H13" s="34">
        <v>43191</v>
      </c>
      <c r="I13" s="34">
        <v>43646</v>
      </c>
      <c r="J13" s="35">
        <f>(((28468))*65%+(28468))</f>
        <v>46972.2</v>
      </c>
      <c r="K13" s="38">
        <v>200</v>
      </c>
      <c r="L13" s="35">
        <f t="shared" si="0"/>
        <v>14091660</v>
      </c>
      <c r="M13" s="35">
        <f>(((28468))*70%+(28468))*200</f>
        <v>9679120</v>
      </c>
      <c r="N13" s="35"/>
      <c r="O13" s="35"/>
      <c r="P13" s="37">
        <f t="shared" si="1"/>
        <v>23770780</v>
      </c>
    </row>
    <row r="14" spans="1:16" s="33" customFormat="1" ht="15" x14ac:dyDescent="0.25">
      <c r="A14" s="33">
        <v>21920002</v>
      </c>
      <c r="B14" s="33" t="s">
        <v>148</v>
      </c>
      <c r="C14" s="33" t="s">
        <v>295</v>
      </c>
      <c r="D14" s="33" t="s">
        <v>83</v>
      </c>
      <c r="E14" s="33" t="s">
        <v>81</v>
      </c>
      <c r="F14" s="33" t="s">
        <v>151</v>
      </c>
      <c r="G14" s="33" t="s">
        <v>161</v>
      </c>
      <c r="H14" s="34">
        <v>43191</v>
      </c>
      <c r="I14" s="34">
        <v>43373</v>
      </c>
      <c r="J14" s="35">
        <f>(((32505))*65%+(32505))</f>
        <v>53633.25</v>
      </c>
      <c r="K14" s="38">
        <v>200</v>
      </c>
      <c r="L14" s="35">
        <f t="shared" si="0"/>
        <v>16089975</v>
      </c>
      <c r="M14" s="35">
        <f>(((32505))*70%+(32505))*300</f>
        <v>16577550</v>
      </c>
      <c r="N14" s="35"/>
      <c r="O14" s="35"/>
      <c r="P14" s="37">
        <f t="shared" si="1"/>
        <v>32667525</v>
      </c>
    </row>
    <row r="15" spans="1:16" s="33" customFormat="1" ht="15" x14ac:dyDescent="0.25">
      <c r="A15" s="33">
        <v>21920002</v>
      </c>
      <c r="B15" s="33" t="s">
        <v>148</v>
      </c>
      <c r="C15" s="33" t="s">
        <v>295</v>
      </c>
      <c r="D15" s="33" t="s">
        <v>80</v>
      </c>
      <c r="E15" s="33" t="s">
        <v>81</v>
      </c>
      <c r="F15" s="33" t="s">
        <v>151</v>
      </c>
      <c r="G15" s="33" t="s">
        <v>160</v>
      </c>
      <c r="H15" s="34">
        <v>43191</v>
      </c>
      <c r="I15" s="34">
        <v>44286</v>
      </c>
      <c r="J15" s="35">
        <f>(((28468))*65%+(28468))</f>
        <v>46972.2</v>
      </c>
      <c r="K15" s="38">
        <v>200</v>
      </c>
      <c r="L15" s="35">
        <f t="shared" si="0"/>
        <v>14091660</v>
      </c>
      <c r="M15" s="35">
        <f>(((28468))*70%+(28468))*200</f>
        <v>9679120</v>
      </c>
      <c r="N15" s="35">
        <f>M15*8%+M15</f>
        <v>10453449.6</v>
      </c>
      <c r="O15" s="39">
        <f>(N15*9%+N15)/4*1</f>
        <v>2848565.0159999998</v>
      </c>
      <c r="P15" s="37">
        <f t="shared" si="1"/>
        <v>37072794.616000004</v>
      </c>
    </row>
    <row r="16" spans="1:16" s="33" customFormat="1" ht="15" x14ac:dyDescent="0.25">
      <c r="A16" s="33">
        <v>21960001</v>
      </c>
      <c r="B16" s="33" t="s">
        <v>148</v>
      </c>
      <c r="C16" s="33" t="s">
        <v>295</v>
      </c>
      <c r="D16" s="33" t="s">
        <v>149</v>
      </c>
      <c r="E16" s="33" t="s">
        <v>150</v>
      </c>
      <c r="F16" s="33" t="s">
        <v>162</v>
      </c>
      <c r="G16" s="33" t="s">
        <v>152</v>
      </c>
      <c r="H16" s="34">
        <v>43191</v>
      </c>
      <c r="I16" s="34">
        <v>43830</v>
      </c>
      <c r="J16" s="35">
        <v>1334</v>
      </c>
      <c r="K16" s="38">
        <v>200</v>
      </c>
      <c r="L16" s="35">
        <f t="shared" si="0"/>
        <v>400200</v>
      </c>
      <c r="M16" s="35">
        <f>J16*400</f>
        <v>533600</v>
      </c>
      <c r="P16" s="37">
        <f t="shared" si="1"/>
        <v>933800</v>
      </c>
    </row>
    <row r="17" spans="1:16" s="33" customFormat="1" ht="15" x14ac:dyDescent="0.25">
      <c r="A17" s="33">
        <v>21960001</v>
      </c>
      <c r="B17" s="33" t="s">
        <v>148</v>
      </c>
      <c r="C17" s="33" t="s">
        <v>295</v>
      </c>
      <c r="D17" s="33" t="s">
        <v>149</v>
      </c>
      <c r="E17" s="33" t="s">
        <v>150</v>
      </c>
      <c r="F17" s="33" t="s">
        <v>163</v>
      </c>
      <c r="G17" s="33" t="s">
        <v>152</v>
      </c>
      <c r="H17" s="34">
        <v>43191</v>
      </c>
      <c r="I17" s="34">
        <v>43830</v>
      </c>
      <c r="J17" s="35">
        <v>617</v>
      </c>
      <c r="K17" s="38">
        <v>200</v>
      </c>
      <c r="L17" s="37">
        <f t="shared" si="0"/>
        <v>185100</v>
      </c>
      <c r="M17" s="37">
        <f>J17*400</f>
        <v>246800</v>
      </c>
      <c r="P17" s="37">
        <f t="shared" si="1"/>
        <v>431900</v>
      </c>
    </row>
    <row r="18" spans="1:16" s="33" customFormat="1" ht="15" x14ac:dyDescent="0.25">
      <c r="A18" s="33">
        <v>21940001</v>
      </c>
      <c r="B18" s="33" t="s">
        <v>164</v>
      </c>
      <c r="C18" s="33" t="s">
        <v>295</v>
      </c>
      <c r="D18" s="33" t="s">
        <v>149</v>
      </c>
      <c r="E18" s="33" t="s">
        <v>150</v>
      </c>
      <c r="F18" s="33" t="s">
        <v>165</v>
      </c>
      <c r="G18" s="33" t="s">
        <v>152</v>
      </c>
      <c r="H18" s="34">
        <v>43191</v>
      </c>
      <c r="I18" s="34">
        <v>43830</v>
      </c>
      <c r="J18" s="35">
        <v>100000</v>
      </c>
      <c r="K18" s="38">
        <v>1</v>
      </c>
      <c r="L18" s="39">
        <f>200000/4*3</f>
        <v>150000</v>
      </c>
      <c r="M18" s="39">
        <f>100000/4*4</f>
        <v>100000</v>
      </c>
      <c r="P18" s="37">
        <f t="shared" si="1"/>
        <v>250000</v>
      </c>
    </row>
    <row r="19" spans="1:16" s="33" customFormat="1" ht="15" x14ac:dyDescent="0.25">
      <c r="A19" s="33">
        <v>21960001</v>
      </c>
      <c r="B19" s="33" t="s">
        <v>148</v>
      </c>
      <c r="C19" s="33" t="s">
        <v>295</v>
      </c>
      <c r="D19" s="33" t="s">
        <v>149</v>
      </c>
      <c r="E19" s="33" t="s">
        <v>150</v>
      </c>
      <c r="F19" s="33" t="s">
        <v>166</v>
      </c>
      <c r="G19" s="33" t="s">
        <v>152</v>
      </c>
      <c r="H19" s="34">
        <v>43191</v>
      </c>
      <c r="I19" s="34">
        <v>43830</v>
      </c>
      <c r="J19" s="35">
        <v>50000</v>
      </c>
      <c r="K19" s="38">
        <v>1</v>
      </c>
      <c r="L19" s="37">
        <f>50000/4*4</f>
        <v>50000</v>
      </c>
      <c r="M19" s="37">
        <f>J19*2/4*4</f>
        <v>100000</v>
      </c>
      <c r="P19" s="37">
        <f t="shared" si="1"/>
        <v>150000</v>
      </c>
    </row>
    <row r="20" spans="1:16" s="33" customFormat="1" ht="15" x14ac:dyDescent="0.25">
      <c r="A20" s="33">
        <v>21960001</v>
      </c>
      <c r="B20" s="33" t="s">
        <v>148</v>
      </c>
      <c r="C20" s="33" t="s">
        <v>295</v>
      </c>
      <c r="D20" s="33" t="s">
        <v>71</v>
      </c>
      <c r="E20" s="33" t="s">
        <v>150</v>
      </c>
      <c r="F20" s="33" t="s">
        <v>162</v>
      </c>
      <c r="G20" s="33" t="s">
        <v>152</v>
      </c>
      <c r="H20" s="34">
        <v>43191</v>
      </c>
      <c r="I20" s="34">
        <v>43554</v>
      </c>
      <c r="J20" s="35">
        <v>1334</v>
      </c>
      <c r="K20" s="38">
        <v>200</v>
      </c>
      <c r="L20" s="35">
        <f>J20*300</f>
        <v>400200</v>
      </c>
      <c r="M20" s="37">
        <v>25000</v>
      </c>
      <c r="P20" s="37">
        <f t="shared" si="1"/>
        <v>425200</v>
      </c>
    </row>
    <row r="21" spans="1:16" s="33" customFormat="1" ht="15" x14ac:dyDescent="0.25">
      <c r="A21" s="33">
        <v>21960001</v>
      </c>
      <c r="B21" s="33" t="s">
        <v>148</v>
      </c>
      <c r="C21" s="33" t="s">
        <v>295</v>
      </c>
      <c r="D21" s="33" t="s">
        <v>71</v>
      </c>
      <c r="E21" s="33" t="s">
        <v>150</v>
      </c>
      <c r="F21" s="33" t="s">
        <v>163</v>
      </c>
      <c r="G21" s="33" t="s">
        <v>152</v>
      </c>
      <c r="H21" s="34">
        <v>43191</v>
      </c>
      <c r="I21" s="34">
        <v>43554</v>
      </c>
      <c r="J21" s="35">
        <v>617</v>
      </c>
      <c r="K21" s="38">
        <v>200</v>
      </c>
      <c r="L21" s="37">
        <f>J21*300</f>
        <v>185100</v>
      </c>
      <c r="M21" s="37">
        <f>J21*100</f>
        <v>61700</v>
      </c>
      <c r="P21" s="37">
        <f t="shared" si="1"/>
        <v>246800</v>
      </c>
    </row>
    <row r="22" spans="1:16" s="33" customFormat="1" ht="15" x14ac:dyDescent="0.25">
      <c r="A22" s="33">
        <v>21940001</v>
      </c>
      <c r="B22" s="33" t="s">
        <v>164</v>
      </c>
      <c r="C22" s="33" t="s">
        <v>295</v>
      </c>
      <c r="D22" s="33" t="s">
        <v>71</v>
      </c>
      <c r="E22" s="33" t="s">
        <v>150</v>
      </c>
      <c r="F22" s="33" t="s">
        <v>165</v>
      </c>
      <c r="G22" s="33" t="s">
        <v>152</v>
      </c>
      <c r="H22" s="34">
        <v>43191</v>
      </c>
      <c r="I22" s="34">
        <v>43554</v>
      </c>
      <c r="J22" s="35">
        <v>100000</v>
      </c>
      <c r="K22" s="38">
        <v>1</v>
      </c>
      <c r="L22" s="39">
        <f>200000/4*3</f>
        <v>150000</v>
      </c>
      <c r="M22" s="39">
        <f>100000/4*1</f>
        <v>25000</v>
      </c>
      <c r="P22" s="37">
        <f t="shared" si="1"/>
        <v>175000</v>
      </c>
    </row>
    <row r="23" spans="1:16" s="33" customFormat="1" ht="15" x14ac:dyDescent="0.25">
      <c r="A23" s="33">
        <v>21960001</v>
      </c>
      <c r="B23" s="33" t="s">
        <v>148</v>
      </c>
      <c r="C23" s="33" t="s">
        <v>295</v>
      </c>
      <c r="D23" s="33" t="s">
        <v>71</v>
      </c>
      <c r="E23" s="33" t="s">
        <v>150</v>
      </c>
      <c r="F23" s="33" t="s">
        <v>166</v>
      </c>
      <c r="G23" s="33" t="s">
        <v>152</v>
      </c>
      <c r="H23" s="34">
        <v>43191</v>
      </c>
      <c r="I23" s="34">
        <v>43554</v>
      </c>
      <c r="J23" s="35">
        <v>50000</v>
      </c>
      <c r="K23" s="38">
        <v>1</v>
      </c>
      <c r="L23" s="37">
        <f>50000/4*1</f>
        <v>12500</v>
      </c>
      <c r="M23" s="37">
        <f>J23*2/4*1</f>
        <v>25000</v>
      </c>
      <c r="P23" s="37">
        <f t="shared" si="1"/>
        <v>37500</v>
      </c>
    </row>
    <row r="24" spans="1:16" s="33" customFormat="1" ht="15" x14ac:dyDescent="0.25">
      <c r="A24" s="33">
        <v>21960001</v>
      </c>
      <c r="B24" s="33" t="s">
        <v>148</v>
      </c>
      <c r="C24" s="33" t="s">
        <v>295</v>
      </c>
      <c r="D24" s="33" t="s">
        <v>167</v>
      </c>
      <c r="E24" s="33" t="s">
        <v>150</v>
      </c>
      <c r="F24" s="33" t="s">
        <v>162</v>
      </c>
      <c r="G24" s="33" t="s">
        <v>168</v>
      </c>
      <c r="H24" s="34">
        <v>43191</v>
      </c>
      <c r="I24" s="34">
        <v>43554</v>
      </c>
      <c r="J24" s="35">
        <v>1334</v>
      </c>
      <c r="K24" s="38">
        <v>200</v>
      </c>
      <c r="L24" s="35">
        <f>J24*300</f>
        <v>400200</v>
      </c>
      <c r="M24" s="37">
        <v>100000</v>
      </c>
      <c r="P24" s="37">
        <f t="shared" si="1"/>
        <v>500200</v>
      </c>
    </row>
    <row r="25" spans="1:16" s="33" customFormat="1" ht="15" x14ac:dyDescent="0.25">
      <c r="A25" s="33">
        <v>21960001</v>
      </c>
      <c r="B25" s="33" t="s">
        <v>148</v>
      </c>
      <c r="C25" s="33" t="s">
        <v>295</v>
      </c>
      <c r="D25" s="33" t="s">
        <v>167</v>
      </c>
      <c r="E25" s="33" t="s">
        <v>150</v>
      </c>
      <c r="F25" s="33" t="s">
        <v>163</v>
      </c>
      <c r="G25" s="33" t="s">
        <v>168</v>
      </c>
      <c r="H25" s="34">
        <v>43191</v>
      </c>
      <c r="I25" s="34">
        <v>43554</v>
      </c>
      <c r="J25" s="35">
        <v>617</v>
      </c>
      <c r="K25" s="38">
        <v>200</v>
      </c>
      <c r="L25" s="37">
        <f>J25*300</f>
        <v>185100</v>
      </c>
      <c r="M25" s="37">
        <f>J25*100</f>
        <v>61700</v>
      </c>
      <c r="P25" s="37">
        <f t="shared" si="1"/>
        <v>246800</v>
      </c>
    </row>
    <row r="26" spans="1:16" s="33" customFormat="1" ht="15" x14ac:dyDescent="0.25">
      <c r="A26" s="33">
        <v>21940001</v>
      </c>
      <c r="B26" s="33" t="s">
        <v>164</v>
      </c>
      <c r="C26" s="33" t="s">
        <v>295</v>
      </c>
      <c r="D26" s="33" t="s">
        <v>167</v>
      </c>
      <c r="E26" s="33" t="s">
        <v>150</v>
      </c>
      <c r="F26" s="33" t="s">
        <v>165</v>
      </c>
      <c r="G26" s="33" t="s">
        <v>168</v>
      </c>
      <c r="H26" s="34">
        <v>43191</v>
      </c>
      <c r="I26" s="34">
        <v>43554</v>
      </c>
      <c r="J26" s="35">
        <v>100000</v>
      </c>
      <c r="K26" s="38">
        <v>1</v>
      </c>
      <c r="L26" s="39">
        <f>200000/4*3</f>
        <v>150000</v>
      </c>
      <c r="M26" s="39">
        <f>100000/4*1</f>
        <v>25000</v>
      </c>
      <c r="P26" s="37">
        <f t="shared" si="1"/>
        <v>175000</v>
      </c>
    </row>
    <row r="27" spans="1:16" s="33" customFormat="1" ht="15" x14ac:dyDescent="0.25">
      <c r="A27" s="33">
        <v>21960001</v>
      </c>
      <c r="B27" s="33" t="s">
        <v>148</v>
      </c>
      <c r="C27" s="33" t="s">
        <v>295</v>
      </c>
      <c r="D27" s="33" t="s">
        <v>167</v>
      </c>
      <c r="E27" s="33" t="s">
        <v>150</v>
      </c>
      <c r="F27" s="33" t="s">
        <v>166</v>
      </c>
      <c r="G27" s="33" t="s">
        <v>168</v>
      </c>
      <c r="H27" s="34">
        <v>43191</v>
      </c>
      <c r="I27" s="34">
        <v>43554</v>
      </c>
      <c r="J27" s="35">
        <v>50000</v>
      </c>
      <c r="K27" s="38">
        <v>1</v>
      </c>
      <c r="L27" s="37">
        <f>50000/4*1</f>
        <v>12500</v>
      </c>
      <c r="M27" s="37">
        <f>J27*2/4*1</f>
        <v>25000</v>
      </c>
      <c r="P27" s="37">
        <f t="shared" si="1"/>
        <v>37500</v>
      </c>
    </row>
    <row r="28" spans="1:16" s="33" customFormat="1" ht="15" x14ac:dyDescent="0.25">
      <c r="A28" s="33">
        <v>21960001</v>
      </c>
      <c r="B28" s="33" t="s">
        <v>148</v>
      </c>
      <c r="C28" s="33" t="s">
        <v>295</v>
      </c>
      <c r="D28" s="33" t="s">
        <v>75</v>
      </c>
      <c r="E28" s="33" t="s">
        <v>154</v>
      </c>
      <c r="F28" s="33" t="s">
        <v>162</v>
      </c>
      <c r="G28" s="33" t="s">
        <v>155</v>
      </c>
      <c r="H28" s="34">
        <v>43191</v>
      </c>
      <c r="I28" s="34">
        <v>43830</v>
      </c>
      <c r="J28" s="35">
        <v>1334</v>
      </c>
      <c r="K28" s="38">
        <v>200</v>
      </c>
      <c r="L28" s="35">
        <f>J28*300</f>
        <v>400200</v>
      </c>
      <c r="M28" s="37">
        <v>25000</v>
      </c>
      <c r="P28" s="37">
        <f t="shared" si="1"/>
        <v>425200</v>
      </c>
    </row>
    <row r="29" spans="1:16" s="33" customFormat="1" ht="15" x14ac:dyDescent="0.25">
      <c r="A29" s="33">
        <v>21960001</v>
      </c>
      <c r="B29" s="33" t="s">
        <v>148</v>
      </c>
      <c r="C29" s="33" t="s">
        <v>295</v>
      </c>
      <c r="D29" s="33" t="s">
        <v>75</v>
      </c>
      <c r="E29" s="33" t="s">
        <v>154</v>
      </c>
      <c r="F29" s="33" t="s">
        <v>163</v>
      </c>
      <c r="G29" s="33" t="s">
        <v>155</v>
      </c>
      <c r="H29" s="34">
        <v>43191</v>
      </c>
      <c r="I29" s="34">
        <v>43819</v>
      </c>
      <c r="J29" s="35">
        <v>617</v>
      </c>
      <c r="K29" s="38">
        <v>200</v>
      </c>
      <c r="L29" s="37">
        <f>J29*300</f>
        <v>185100</v>
      </c>
      <c r="M29" s="37">
        <f>J29*400</f>
        <v>246800</v>
      </c>
      <c r="P29" s="37">
        <f t="shared" si="1"/>
        <v>431900</v>
      </c>
    </row>
    <row r="30" spans="1:16" s="33" customFormat="1" ht="15" x14ac:dyDescent="0.25">
      <c r="A30" s="33">
        <v>21940001</v>
      </c>
      <c r="B30" s="33" t="s">
        <v>164</v>
      </c>
      <c r="C30" s="33" t="s">
        <v>295</v>
      </c>
      <c r="D30" s="33" t="s">
        <v>75</v>
      </c>
      <c r="E30" s="33" t="s">
        <v>154</v>
      </c>
      <c r="F30" s="33" t="s">
        <v>165</v>
      </c>
      <c r="G30" s="33" t="s">
        <v>155</v>
      </c>
      <c r="H30" s="34">
        <v>43191</v>
      </c>
      <c r="I30" s="34">
        <v>43819</v>
      </c>
      <c r="J30" s="35">
        <v>100000</v>
      </c>
      <c r="K30" s="38">
        <v>1</v>
      </c>
      <c r="L30" s="39">
        <f>200000/4*3</f>
        <v>150000</v>
      </c>
      <c r="M30" s="37">
        <v>100000</v>
      </c>
      <c r="P30" s="37">
        <f t="shared" si="1"/>
        <v>250000</v>
      </c>
    </row>
    <row r="31" spans="1:16" s="33" customFormat="1" ht="15" x14ac:dyDescent="0.25">
      <c r="A31" s="33">
        <v>21960001</v>
      </c>
      <c r="B31" s="33" t="s">
        <v>148</v>
      </c>
      <c r="C31" s="33" t="s">
        <v>295</v>
      </c>
      <c r="D31" s="33" t="s">
        <v>75</v>
      </c>
      <c r="E31" s="33" t="s">
        <v>154</v>
      </c>
      <c r="F31" s="33" t="s">
        <v>166</v>
      </c>
      <c r="G31" s="33" t="s">
        <v>155</v>
      </c>
      <c r="H31" s="34">
        <v>43191</v>
      </c>
      <c r="I31" s="34">
        <v>43819</v>
      </c>
      <c r="J31" s="35">
        <v>50000</v>
      </c>
      <c r="K31" s="38">
        <v>1</v>
      </c>
      <c r="L31" s="37">
        <f>50000/4*4</f>
        <v>50000</v>
      </c>
      <c r="M31" s="37">
        <f>J31*2/4*4</f>
        <v>100000</v>
      </c>
      <c r="P31" s="37">
        <f t="shared" si="1"/>
        <v>150000</v>
      </c>
    </row>
    <row r="32" spans="1:16" s="33" customFormat="1" ht="15" x14ac:dyDescent="0.25">
      <c r="A32" s="33">
        <v>21960001</v>
      </c>
      <c r="B32" s="33" t="s">
        <v>148</v>
      </c>
      <c r="C32" s="33" t="s">
        <v>295</v>
      </c>
      <c r="D32" s="33" t="s">
        <v>76</v>
      </c>
      <c r="E32" s="33" t="s">
        <v>154</v>
      </c>
      <c r="F32" s="33" t="s">
        <v>162</v>
      </c>
      <c r="G32" s="33" t="s">
        <v>155</v>
      </c>
      <c r="H32" s="34">
        <v>43191</v>
      </c>
      <c r="I32" s="34">
        <v>43554</v>
      </c>
      <c r="J32" s="35">
        <v>1334</v>
      </c>
      <c r="K32" s="38">
        <v>200</v>
      </c>
      <c r="L32" s="35">
        <f>J32*300</f>
        <v>400200</v>
      </c>
      <c r="M32" s="37">
        <v>100000</v>
      </c>
      <c r="P32" s="37">
        <f t="shared" si="1"/>
        <v>500200</v>
      </c>
    </row>
    <row r="33" spans="1:16" s="33" customFormat="1" ht="15" x14ac:dyDescent="0.25">
      <c r="A33" s="33">
        <v>21960001</v>
      </c>
      <c r="B33" s="33" t="s">
        <v>148</v>
      </c>
      <c r="C33" s="33" t="s">
        <v>295</v>
      </c>
      <c r="D33" s="33" t="s">
        <v>76</v>
      </c>
      <c r="E33" s="33" t="s">
        <v>154</v>
      </c>
      <c r="F33" s="33" t="s">
        <v>163</v>
      </c>
      <c r="G33" s="33" t="s">
        <v>155</v>
      </c>
      <c r="H33" s="34">
        <v>43191</v>
      </c>
      <c r="I33" s="34">
        <v>43554</v>
      </c>
      <c r="J33" s="35">
        <v>617</v>
      </c>
      <c r="K33" s="38">
        <v>200</v>
      </c>
      <c r="L33" s="37">
        <f>J33*300</f>
        <v>185100</v>
      </c>
      <c r="M33" s="37">
        <f>J33*100</f>
        <v>61700</v>
      </c>
      <c r="P33" s="37">
        <f t="shared" si="1"/>
        <v>246800</v>
      </c>
    </row>
    <row r="34" spans="1:16" s="33" customFormat="1" ht="15" x14ac:dyDescent="0.25">
      <c r="A34" s="33">
        <v>21940001</v>
      </c>
      <c r="B34" s="33" t="s">
        <v>164</v>
      </c>
      <c r="C34" s="33" t="s">
        <v>295</v>
      </c>
      <c r="D34" s="33" t="s">
        <v>76</v>
      </c>
      <c r="E34" s="33" t="s">
        <v>154</v>
      </c>
      <c r="F34" s="33" t="s">
        <v>165</v>
      </c>
      <c r="G34" s="33" t="s">
        <v>155</v>
      </c>
      <c r="H34" s="34">
        <v>43191</v>
      </c>
      <c r="I34" s="34">
        <v>43554</v>
      </c>
      <c r="J34" s="35">
        <v>100000</v>
      </c>
      <c r="K34" s="38">
        <v>1</v>
      </c>
      <c r="L34" s="39">
        <f>200000/4*3</f>
        <v>150000</v>
      </c>
      <c r="M34" s="39">
        <f>100000/4*1</f>
        <v>25000</v>
      </c>
      <c r="P34" s="37">
        <f t="shared" ref="P34:P65" si="2">SUM(L34+M34+N34+O34)</f>
        <v>175000</v>
      </c>
    </row>
    <row r="35" spans="1:16" s="33" customFormat="1" ht="15" x14ac:dyDescent="0.25">
      <c r="A35" s="33">
        <v>21960001</v>
      </c>
      <c r="B35" s="33" t="s">
        <v>148</v>
      </c>
      <c r="C35" s="33" t="s">
        <v>295</v>
      </c>
      <c r="D35" s="33" t="s">
        <v>76</v>
      </c>
      <c r="E35" s="33" t="s">
        <v>154</v>
      </c>
      <c r="F35" s="33" t="s">
        <v>166</v>
      </c>
      <c r="G35" s="33" t="s">
        <v>155</v>
      </c>
      <c r="H35" s="34">
        <v>43191</v>
      </c>
      <c r="I35" s="34">
        <v>43554</v>
      </c>
      <c r="J35" s="35">
        <v>50000</v>
      </c>
      <c r="K35" s="38">
        <v>1</v>
      </c>
      <c r="L35" s="37">
        <f>50000/4*1</f>
        <v>12500</v>
      </c>
      <c r="M35" s="37">
        <f>J35*2/4*1</f>
        <v>25000</v>
      </c>
      <c r="P35" s="37">
        <f t="shared" si="2"/>
        <v>37500</v>
      </c>
    </row>
    <row r="36" spans="1:16" s="33" customFormat="1" ht="15" x14ac:dyDescent="0.25">
      <c r="A36" s="33">
        <v>21960001</v>
      </c>
      <c r="B36" s="33" t="s">
        <v>148</v>
      </c>
      <c r="C36" s="33" t="s">
        <v>295</v>
      </c>
      <c r="D36" s="33" t="s">
        <v>75</v>
      </c>
      <c r="E36" s="33" t="s">
        <v>77</v>
      </c>
      <c r="F36" s="33" t="s">
        <v>162</v>
      </c>
      <c r="G36" s="33" t="s">
        <v>156</v>
      </c>
      <c r="H36" s="34">
        <v>43191</v>
      </c>
      <c r="I36" s="34">
        <v>43830</v>
      </c>
      <c r="J36" s="35">
        <v>1334</v>
      </c>
      <c r="K36" s="38">
        <v>200</v>
      </c>
      <c r="L36" s="35">
        <f>J36*300</f>
        <v>400200</v>
      </c>
      <c r="M36" s="37">
        <v>100000</v>
      </c>
      <c r="P36" s="37">
        <f t="shared" si="2"/>
        <v>500200</v>
      </c>
    </row>
    <row r="37" spans="1:16" s="33" customFormat="1" ht="15" x14ac:dyDescent="0.25">
      <c r="A37" s="33">
        <v>21960001</v>
      </c>
      <c r="B37" s="33" t="s">
        <v>148</v>
      </c>
      <c r="C37" s="33" t="s">
        <v>295</v>
      </c>
      <c r="D37" s="33" t="s">
        <v>75</v>
      </c>
      <c r="E37" s="33" t="s">
        <v>77</v>
      </c>
      <c r="F37" s="33" t="s">
        <v>163</v>
      </c>
      <c r="G37" s="33" t="s">
        <v>156</v>
      </c>
      <c r="H37" s="34">
        <v>43191</v>
      </c>
      <c r="I37" s="34">
        <v>43830</v>
      </c>
      <c r="J37" s="35">
        <v>617</v>
      </c>
      <c r="K37" s="38">
        <v>200</v>
      </c>
      <c r="L37" s="37">
        <f>J37*300</f>
        <v>185100</v>
      </c>
      <c r="M37" s="37">
        <f>J37*400</f>
        <v>246800</v>
      </c>
      <c r="P37" s="37">
        <f t="shared" si="2"/>
        <v>431900</v>
      </c>
    </row>
    <row r="38" spans="1:16" s="33" customFormat="1" ht="15" x14ac:dyDescent="0.25">
      <c r="A38" s="33">
        <v>21940001</v>
      </c>
      <c r="B38" s="33" t="s">
        <v>164</v>
      </c>
      <c r="C38" s="33" t="s">
        <v>295</v>
      </c>
      <c r="D38" s="33" t="s">
        <v>75</v>
      </c>
      <c r="E38" s="33" t="s">
        <v>77</v>
      </c>
      <c r="F38" s="33" t="s">
        <v>165</v>
      </c>
      <c r="G38" s="33" t="s">
        <v>156</v>
      </c>
      <c r="H38" s="34">
        <v>43191</v>
      </c>
      <c r="I38" s="34">
        <v>43830</v>
      </c>
      <c r="J38" s="35">
        <v>100000</v>
      </c>
      <c r="K38" s="38">
        <v>1</v>
      </c>
      <c r="L38" s="39">
        <f>200000/4*3</f>
        <v>150000</v>
      </c>
      <c r="M38" s="37">
        <v>100000</v>
      </c>
      <c r="P38" s="37">
        <f t="shared" si="2"/>
        <v>250000</v>
      </c>
    </row>
    <row r="39" spans="1:16" s="33" customFormat="1" ht="15" x14ac:dyDescent="0.25">
      <c r="A39" s="33">
        <v>21960001</v>
      </c>
      <c r="B39" s="33" t="s">
        <v>148</v>
      </c>
      <c r="C39" s="33" t="s">
        <v>295</v>
      </c>
      <c r="D39" s="33" t="s">
        <v>75</v>
      </c>
      <c r="E39" s="33" t="s">
        <v>77</v>
      </c>
      <c r="F39" s="33" t="s">
        <v>166</v>
      </c>
      <c r="G39" s="33" t="s">
        <v>156</v>
      </c>
      <c r="H39" s="34">
        <v>43191</v>
      </c>
      <c r="I39" s="34">
        <v>43830</v>
      </c>
      <c r="J39" s="35">
        <v>50000</v>
      </c>
      <c r="K39" s="38">
        <v>1</v>
      </c>
      <c r="L39" s="37">
        <f>50000/4*4</f>
        <v>50000</v>
      </c>
      <c r="M39" s="37">
        <f>J39*2/4*4</f>
        <v>100000</v>
      </c>
      <c r="P39" s="37">
        <f t="shared" si="2"/>
        <v>150000</v>
      </c>
    </row>
    <row r="40" spans="1:16" s="33" customFormat="1" ht="15" x14ac:dyDescent="0.25">
      <c r="A40" s="33">
        <v>21960001</v>
      </c>
      <c r="B40" s="33" t="s">
        <v>148</v>
      </c>
      <c r="C40" s="33" t="s">
        <v>295</v>
      </c>
      <c r="D40" s="33" t="s">
        <v>78</v>
      </c>
      <c r="E40" s="33" t="s">
        <v>77</v>
      </c>
      <c r="F40" s="33" t="s">
        <v>162</v>
      </c>
      <c r="G40" s="33" t="s">
        <v>156</v>
      </c>
      <c r="H40" s="34">
        <v>43191</v>
      </c>
      <c r="I40" s="34">
        <v>43830</v>
      </c>
      <c r="J40" s="35">
        <v>1334</v>
      </c>
      <c r="K40" s="38">
        <v>200</v>
      </c>
      <c r="L40" s="35">
        <f>J40*300</f>
        <v>400200</v>
      </c>
      <c r="M40" s="35">
        <f>K40*100</f>
        <v>20000</v>
      </c>
      <c r="N40" s="35"/>
      <c r="P40" s="37">
        <f t="shared" si="2"/>
        <v>420200</v>
      </c>
    </row>
    <row r="41" spans="1:16" s="33" customFormat="1" ht="15" x14ac:dyDescent="0.25">
      <c r="A41" s="33">
        <v>21960001</v>
      </c>
      <c r="B41" s="33" t="s">
        <v>148</v>
      </c>
      <c r="C41" s="33" t="s">
        <v>295</v>
      </c>
      <c r="D41" s="33" t="s">
        <v>78</v>
      </c>
      <c r="E41" s="33" t="s">
        <v>77</v>
      </c>
      <c r="F41" s="33" t="s">
        <v>163</v>
      </c>
      <c r="G41" s="33" t="s">
        <v>156</v>
      </c>
      <c r="H41" s="34">
        <v>43191</v>
      </c>
      <c r="I41" s="34">
        <v>43830</v>
      </c>
      <c r="J41" s="35">
        <v>617</v>
      </c>
      <c r="K41" s="38">
        <v>200</v>
      </c>
      <c r="L41" s="37">
        <f>J41*300</f>
        <v>185100</v>
      </c>
      <c r="M41" s="37">
        <f>J41*100</f>
        <v>61700</v>
      </c>
      <c r="P41" s="37">
        <f t="shared" si="2"/>
        <v>246800</v>
      </c>
    </row>
    <row r="42" spans="1:16" s="33" customFormat="1" ht="15" x14ac:dyDescent="0.25">
      <c r="A42" s="33">
        <v>21940001</v>
      </c>
      <c r="B42" s="33" t="s">
        <v>164</v>
      </c>
      <c r="C42" s="33" t="s">
        <v>295</v>
      </c>
      <c r="D42" s="33" t="s">
        <v>78</v>
      </c>
      <c r="E42" s="33" t="s">
        <v>77</v>
      </c>
      <c r="F42" s="33" t="s">
        <v>165</v>
      </c>
      <c r="G42" s="33" t="s">
        <v>156</v>
      </c>
      <c r="H42" s="34">
        <v>43191</v>
      </c>
      <c r="I42" s="34">
        <v>43830</v>
      </c>
      <c r="J42" s="35">
        <v>100000</v>
      </c>
      <c r="K42" s="38">
        <v>1</v>
      </c>
      <c r="L42" s="39">
        <f>200000/4*3</f>
        <v>150000</v>
      </c>
      <c r="M42" s="37">
        <v>50000</v>
      </c>
      <c r="P42" s="37">
        <f t="shared" si="2"/>
        <v>200000</v>
      </c>
    </row>
    <row r="43" spans="1:16" s="33" customFormat="1" ht="15" x14ac:dyDescent="0.25">
      <c r="A43" s="33">
        <v>21960001</v>
      </c>
      <c r="B43" s="33" t="s">
        <v>148</v>
      </c>
      <c r="C43" s="33" t="s">
        <v>295</v>
      </c>
      <c r="D43" s="33" t="s">
        <v>78</v>
      </c>
      <c r="E43" s="33" t="s">
        <v>77</v>
      </c>
      <c r="F43" s="33" t="s">
        <v>166</v>
      </c>
      <c r="G43" s="33" t="s">
        <v>156</v>
      </c>
      <c r="H43" s="34">
        <v>43191</v>
      </c>
      <c r="I43" s="34">
        <v>43830</v>
      </c>
      <c r="J43" s="35">
        <v>50000</v>
      </c>
      <c r="K43" s="38">
        <v>1</v>
      </c>
      <c r="L43" s="37">
        <f>50000/4*4</f>
        <v>50000</v>
      </c>
      <c r="M43" s="37">
        <f>J43*2/4*1</f>
        <v>25000</v>
      </c>
      <c r="P43" s="37">
        <f t="shared" si="2"/>
        <v>75000</v>
      </c>
    </row>
    <row r="44" spans="1:16" s="33" customFormat="1" ht="15" x14ac:dyDescent="0.25">
      <c r="A44" s="33">
        <v>21960001</v>
      </c>
      <c r="B44" s="33" t="s">
        <v>148</v>
      </c>
      <c r="C44" s="33" t="s">
        <v>295</v>
      </c>
      <c r="D44" s="33" t="s">
        <v>71</v>
      </c>
      <c r="E44" s="33" t="s">
        <v>77</v>
      </c>
      <c r="F44" s="33" t="s">
        <v>162</v>
      </c>
      <c r="G44" s="33" t="s">
        <v>156</v>
      </c>
      <c r="H44" s="34">
        <v>43191</v>
      </c>
      <c r="I44" s="34">
        <v>43921</v>
      </c>
      <c r="J44" s="35">
        <v>1334</v>
      </c>
      <c r="K44" s="38">
        <v>200</v>
      </c>
      <c r="L44" s="35">
        <f>J44*300</f>
        <v>400200</v>
      </c>
      <c r="M44" s="37">
        <v>100000</v>
      </c>
      <c r="N44" s="37">
        <f>J44*100</f>
        <v>133400</v>
      </c>
      <c r="O44" s="35"/>
      <c r="P44" s="37">
        <f t="shared" si="2"/>
        <v>633600</v>
      </c>
    </row>
    <row r="45" spans="1:16" s="33" customFormat="1" ht="15" x14ac:dyDescent="0.25">
      <c r="A45" s="33">
        <v>21960001</v>
      </c>
      <c r="B45" s="33" t="s">
        <v>148</v>
      </c>
      <c r="C45" s="33" t="s">
        <v>295</v>
      </c>
      <c r="D45" s="33" t="s">
        <v>71</v>
      </c>
      <c r="E45" s="33" t="s">
        <v>77</v>
      </c>
      <c r="F45" s="33" t="s">
        <v>163</v>
      </c>
      <c r="G45" s="33" t="s">
        <v>156</v>
      </c>
      <c r="H45" s="34">
        <v>43191</v>
      </c>
      <c r="I45" s="34">
        <v>43921</v>
      </c>
      <c r="J45" s="35">
        <v>617</v>
      </c>
      <c r="K45" s="38">
        <v>200</v>
      </c>
      <c r="L45" s="37">
        <f>J45*300</f>
        <v>185100</v>
      </c>
      <c r="M45" s="37">
        <f>J45*400</f>
        <v>246800</v>
      </c>
      <c r="N45" s="37">
        <f>J45*100</f>
        <v>61700</v>
      </c>
      <c r="O45" s="35"/>
      <c r="P45" s="37">
        <f t="shared" si="2"/>
        <v>493600</v>
      </c>
    </row>
    <row r="46" spans="1:16" s="33" customFormat="1" ht="15" x14ac:dyDescent="0.25">
      <c r="A46" s="33">
        <v>21940001</v>
      </c>
      <c r="B46" s="33" t="s">
        <v>164</v>
      </c>
      <c r="C46" s="33" t="s">
        <v>295</v>
      </c>
      <c r="D46" s="33" t="s">
        <v>71</v>
      </c>
      <c r="E46" s="33" t="s">
        <v>77</v>
      </c>
      <c r="F46" s="33" t="s">
        <v>165</v>
      </c>
      <c r="G46" s="33" t="s">
        <v>156</v>
      </c>
      <c r="H46" s="34">
        <v>43191</v>
      </c>
      <c r="I46" s="34">
        <v>43921</v>
      </c>
      <c r="J46" s="35">
        <v>100000</v>
      </c>
      <c r="K46" s="38">
        <v>1</v>
      </c>
      <c r="L46" s="39">
        <f>200000/4*3</f>
        <v>150000</v>
      </c>
      <c r="M46" s="39">
        <f>100000/4*4</f>
        <v>100000</v>
      </c>
      <c r="N46" s="39">
        <f>200000/4*1</f>
        <v>50000</v>
      </c>
      <c r="O46" s="35"/>
      <c r="P46" s="37">
        <f t="shared" si="2"/>
        <v>300000</v>
      </c>
    </row>
    <row r="47" spans="1:16" s="33" customFormat="1" ht="15" x14ac:dyDescent="0.25">
      <c r="A47" s="33">
        <v>21960001</v>
      </c>
      <c r="B47" s="33" t="s">
        <v>148</v>
      </c>
      <c r="C47" s="33" t="s">
        <v>295</v>
      </c>
      <c r="D47" s="33" t="s">
        <v>71</v>
      </c>
      <c r="E47" s="33" t="s">
        <v>77</v>
      </c>
      <c r="F47" s="33" t="s">
        <v>166</v>
      </c>
      <c r="G47" s="33" t="s">
        <v>156</v>
      </c>
      <c r="H47" s="34">
        <v>43191</v>
      </c>
      <c r="I47" s="34">
        <v>43921</v>
      </c>
      <c r="J47" s="35">
        <v>50000</v>
      </c>
      <c r="K47" s="38">
        <v>1</v>
      </c>
      <c r="L47" s="37">
        <f>50000/4*4</f>
        <v>50000</v>
      </c>
      <c r="M47" s="37">
        <f>J47*2/4*4</f>
        <v>100000</v>
      </c>
      <c r="N47" s="37">
        <v>25000</v>
      </c>
      <c r="O47" s="35"/>
      <c r="P47" s="37">
        <f t="shared" si="2"/>
        <v>175000</v>
      </c>
    </row>
    <row r="48" spans="1:16" s="33" customFormat="1" ht="15" x14ac:dyDescent="0.25">
      <c r="A48" s="33">
        <v>21960001</v>
      </c>
      <c r="B48" s="33" t="s">
        <v>148</v>
      </c>
      <c r="C48" s="33" t="s">
        <v>295</v>
      </c>
      <c r="D48" s="33" t="s">
        <v>149</v>
      </c>
      <c r="E48" s="33" t="s">
        <v>157</v>
      </c>
      <c r="F48" s="33" t="s">
        <v>162</v>
      </c>
      <c r="G48" s="33" t="s">
        <v>158</v>
      </c>
      <c r="H48" s="34">
        <v>43191</v>
      </c>
      <c r="I48" s="34">
        <v>44286</v>
      </c>
      <c r="J48" s="35">
        <v>1334</v>
      </c>
      <c r="K48" s="38">
        <v>200</v>
      </c>
      <c r="L48" s="35">
        <f>J48*300</f>
        <v>400200</v>
      </c>
      <c r="M48" s="37">
        <v>100000</v>
      </c>
      <c r="N48" s="37">
        <v>100000</v>
      </c>
      <c r="O48" s="35">
        <f t="shared" ref="O48:O51" si="3">(N48*9%+N48)/4*1</f>
        <v>27250</v>
      </c>
      <c r="P48" s="37">
        <f t="shared" si="2"/>
        <v>627450</v>
      </c>
    </row>
    <row r="49" spans="1:16" s="33" customFormat="1" ht="15" x14ac:dyDescent="0.25">
      <c r="A49" s="33">
        <v>21960001</v>
      </c>
      <c r="B49" s="33" t="s">
        <v>148</v>
      </c>
      <c r="C49" s="33" t="s">
        <v>295</v>
      </c>
      <c r="D49" s="33" t="s">
        <v>149</v>
      </c>
      <c r="E49" s="33" t="s">
        <v>157</v>
      </c>
      <c r="F49" s="33" t="s">
        <v>163</v>
      </c>
      <c r="G49" s="33" t="s">
        <v>158</v>
      </c>
      <c r="H49" s="34">
        <v>43191</v>
      </c>
      <c r="I49" s="34">
        <v>44286</v>
      </c>
      <c r="J49" s="35">
        <v>617</v>
      </c>
      <c r="K49" s="38">
        <v>200</v>
      </c>
      <c r="L49" s="37">
        <f>J49*300</f>
        <v>185100</v>
      </c>
      <c r="M49" s="37">
        <f>J49*400</f>
        <v>246800</v>
      </c>
      <c r="N49" s="37">
        <f>J49*400</f>
        <v>246800</v>
      </c>
      <c r="O49" s="35">
        <f t="shared" si="3"/>
        <v>67253</v>
      </c>
      <c r="P49" s="37">
        <f t="shared" si="2"/>
        <v>745953</v>
      </c>
    </row>
    <row r="50" spans="1:16" s="33" customFormat="1" ht="15" x14ac:dyDescent="0.25">
      <c r="A50" s="33">
        <v>21940001</v>
      </c>
      <c r="B50" s="33" t="s">
        <v>164</v>
      </c>
      <c r="C50" s="33" t="s">
        <v>295</v>
      </c>
      <c r="D50" s="33" t="s">
        <v>149</v>
      </c>
      <c r="E50" s="33" t="s">
        <v>157</v>
      </c>
      <c r="F50" s="33" t="s">
        <v>165</v>
      </c>
      <c r="G50" s="33" t="s">
        <v>158</v>
      </c>
      <c r="H50" s="34">
        <v>43191</v>
      </c>
      <c r="I50" s="34">
        <v>44286</v>
      </c>
      <c r="J50" s="35">
        <v>100000</v>
      </c>
      <c r="K50" s="38">
        <v>1</v>
      </c>
      <c r="L50" s="39">
        <f>200000/4*3</f>
        <v>150000</v>
      </c>
      <c r="M50" s="37">
        <v>25000</v>
      </c>
      <c r="N50" s="39">
        <f>200000/4*4</f>
        <v>200000</v>
      </c>
      <c r="O50" s="35">
        <f t="shared" si="3"/>
        <v>54500</v>
      </c>
      <c r="P50" s="37">
        <f t="shared" si="2"/>
        <v>429500</v>
      </c>
    </row>
    <row r="51" spans="1:16" s="33" customFormat="1" ht="15" x14ac:dyDescent="0.25">
      <c r="A51" s="33">
        <v>21960001</v>
      </c>
      <c r="B51" s="33" t="s">
        <v>148</v>
      </c>
      <c r="C51" s="33" t="s">
        <v>295</v>
      </c>
      <c r="D51" s="33" t="s">
        <v>149</v>
      </c>
      <c r="E51" s="33" t="s">
        <v>157</v>
      </c>
      <c r="F51" s="33" t="s">
        <v>166</v>
      </c>
      <c r="G51" s="33" t="s">
        <v>158</v>
      </c>
      <c r="H51" s="34">
        <v>43191</v>
      </c>
      <c r="I51" s="34">
        <v>44286</v>
      </c>
      <c r="J51" s="35">
        <v>50000</v>
      </c>
      <c r="K51" s="38">
        <v>1</v>
      </c>
      <c r="L51" s="37">
        <f>50000/4*4</f>
        <v>50000</v>
      </c>
      <c r="M51" s="37">
        <f>J51*2/4*4</f>
        <v>100000</v>
      </c>
      <c r="N51" s="37">
        <v>100000</v>
      </c>
      <c r="O51" s="35">
        <f t="shared" si="3"/>
        <v>27250</v>
      </c>
      <c r="P51" s="37">
        <f t="shared" si="2"/>
        <v>277250</v>
      </c>
    </row>
    <row r="52" spans="1:16" s="33" customFormat="1" ht="15" x14ac:dyDescent="0.25">
      <c r="A52" s="33">
        <v>21960001</v>
      </c>
      <c r="B52" s="33" t="s">
        <v>148</v>
      </c>
      <c r="C52" s="33" t="s">
        <v>295</v>
      </c>
      <c r="D52" s="33" t="s">
        <v>80</v>
      </c>
      <c r="E52" s="33" t="s">
        <v>157</v>
      </c>
      <c r="F52" s="33" t="s">
        <v>162</v>
      </c>
      <c r="G52" s="33" t="s">
        <v>159</v>
      </c>
      <c r="H52" s="34">
        <v>43191</v>
      </c>
      <c r="I52" s="34">
        <v>43554</v>
      </c>
      <c r="J52" s="35">
        <v>1334</v>
      </c>
      <c r="K52" s="38">
        <v>200</v>
      </c>
      <c r="L52" s="35">
        <f>J52*300</f>
        <v>400200</v>
      </c>
      <c r="M52" s="37">
        <v>100000</v>
      </c>
      <c r="N52" s="37">
        <v>100000</v>
      </c>
      <c r="P52" s="37">
        <f t="shared" si="2"/>
        <v>600200</v>
      </c>
    </row>
    <row r="53" spans="1:16" s="33" customFormat="1" ht="15" x14ac:dyDescent="0.25">
      <c r="A53" s="33">
        <v>21960001</v>
      </c>
      <c r="B53" s="33" t="s">
        <v>148</v>
      </c>
      <c r="C53" s="33" t="s">
        <v>295</v>
      </c>
      <c r="D53" s="33" t="s">
        <v>80</v>
      </c>
      <c r="E53" s="33" t="s">
        <v>157</v>
      </c>
      <c r="F53" s="33" t="s">
        <v>163</v>
      </c>
      <c r="G53" s="33" t="s">
        <v>159</v>
      </c>
      <c r="H53" s="34">
        <v>43191</v>
      </c>
      <c r="I53" s="34">
        <v>43554</v>
      </c>
      <c r="J53" s="35">
        <v>617</v>
      </c>
      <c r="K53" s="38">
        <v>200</v>
      </c>
      <c r="L53" s="37">
        <f>J53*300</f>
        <v>185100</v>
      </c>
      <c r="M53" s="37">
        <f>J53*100</f>
        <v>61700</v>
      </c>
      <c r="P53" s="37">
        <f t="shared" si="2"/>
        <v>246800</v>
      </c>
    </row>
    <row r="54" spans="1:16" s="33" customFormat="1" ht="15" x14ac:dyDescent="0.25">
      <c r="A54" s="33">
        <v>21940001</v>
      </c>
      <c r="B54" s="33" t="s">
        <v>164</v>
      </c>
      <c r="C54" s="33" t="s">
        <v>295</v>
      </c>
      <c r="D54" s="33" t="s">
        <v>80</v>
      </c>
      <c r="E54" s="33" t="s">
        <v>157</v>
      </c>
      <c r="F54" s="33" t="s">
        <v>165</v>
      </c>
      <c r="G54" s="33" t="s">
        <v>159</v>
      </c>
      <c r="H54" s="34">
        <v>43191</v>
      </c>
      <c r="I54" s="34">
        <v>43554</v>
      </c>
      <c r="J54" s="35">
        <v>100000</v>
      </c>
      <c r="K54" s="38">
        <v>1</v>
      </c>
      <c r="L54" s="39">
        <f>200000/4*3</f>
        <v>150000</v>
      </c>
      <c r="M54" s="39">
        <f>100000/4*1</f>
        <v>25000</v>
      </c>
      <c r="P54" s="37">
        <f t="shared" si="2"/>
        <v>175000</v>
      </c>
    </row>
    <row r="55" spans="1:16" s="33" customFormat="1" ht="15" x14ac:dyDescent="0.25">
      <c r="A55" s="33">
        <v>21960001</v>
      </c>
      <c r="B55" s="33" t="s">
        <v>148</v>
      </c>
      <c r="C55" s="33" t="s">
        <v>295</v>
      </c>
      <c r="D55" s="33" t="s">
        <v>80</v>
      </c>
      <c r="E55" s="33" t="s">
        <v>157</v>
      </c>
      <c r="F55" s="33" t="s">
        <v>166</v>
      </c>
      <c r="G55" s="33" t="s">
        <v>159</v>
      </c>
      <c r="H55" s="34">
        <v>43191</v>
      </c>
      <c r="I55" s="34">
        <v>43554</v>
      </c>
      <c r="J55" s="35">
        <v>50000</v>
      </c>
      <c r="K55" s="38">
        <v>1</v>
      </c>
      <c r="L55" s="37">
        <f>50000/4*1</f>
        <v>12500</v>
      </c>
      <c r="M55" s="37">
        <f>J55*2/4*1</f>
        <v>25000</v>
      </c>
      <c r="P55" s="37">
        <f t="shared" si="2"/>
        <v>37500</v>
      </c>
    </row>
    <row r="56" spans="1:16" s="33" customFormat="1" ht="15" x14ac:dyDescent="0.25">
      <c r="A56" s="33">
        <v>21960001</v>
      </c>
      <c r="B56" s="33" t="s">
        <v>148</v>
      </c>
      <c r="C56" s="33" t="s">
        <v>295</v>
      </c>
      <c r="D56" s="33" t="s">
        <v>76</v>
      </c>
      <c r="E56" s="33" t="s">
        <v>157</v>
      </c>
      <c r="F56" s="33" t="s">
        <v>162</v>
      </c>
      <c r="G56" s="33" t="s">
        <v>159</v>
      </c>
      <c r="H56" s="34">
        <v>43191</v>
      </c>
      <c r="I56" s="34">
        <v>43554</v>
      </c>
      <c r="J56" s="35">
        <v>1334</v>
      </c>
      <c r="K56" s="38">
        <v>200</v>
      </c>
      <c r="L56" s="35">
        <f>J56*300</f>
        <v>400200</v>
      </c>
      <c r="M56" s="37">
        <v>25000</v>
      </c>
      <c r="P56" s="37">
        <f t="shared" si="2"/>
        <v>425200</v>
      </c>
    </row>
    <row r="57" spans="1:16" s="33" customFormat="1" ht="15" x14ac:dyDescent="0.25">
      <c r="A57" s="33">
        <v>21960001</v>
      </c>
      <c r="B57" s="33" t="s">
        <v>148</v>
      </c>
      <c r="C57" s="33" t="s">
        <v>295</v>
      </c>
      <c r="D57" s="33" t="s">
        <v>76</v>
      </c>
      <c r="E57" s="33" t="s">
        <v>157</v>
      </c>
      <c r="F57" s="33" t="s">
        <v>163</v>
      </c>
      <c r="G57" s="33" t="s">
        <v>159</v>
      </c>
      <c r="H57" s="34">
        <v>43191</v>
      </c>
      <c r="I57" s="34">
        <v>43554</v>
      </c>
      <c r="J57" s="35">
        <v>617</v>
      </c>
      <c r="K57" s="38">
        <v>200</v>
      </c>
      <c r="L57" s="37">
        <f>J57*300</f>
        <v>185100</v>
      </c>
      <c r="M57" s="37">
        <f>J57*100</f>
        <v>61700</v>
      </c>
      <c r="P57" s="37">
        <f t="shared" si="2"/>
        <v>246800</v>
      </c>
    </row>
    <row r="58" spans="1:16" s="33" customFormat="1" ht="15" x14ac:dyDescent="0.25">
      <c r="A58" s="33">
        <v>21940001</v>
      </c>
      <c r="B58" s="33" t="s">
        <v>164</v>
      </c>
      <c r="C58" s="33" t="s">
        <v>295</v>
      </c>
      <c r="D58" s="33" t="s">
        <v>76</v>
      </c>
      <c r="E58" s="33" t="s">
        <v>157</v>
      </c>
      <c r="F58" s="33" t="s">
        <v>165</v>
      </c>
      <c r="G58" s="33" t="s">
        <v>159</v>
      </c>
      <c r="H58" s="34">
        <v>43191</v>
      </c>
      <c r="I58" s="34">
        <v>43554</v>
      </c>
      <c r="J58" s="35">
        <v>100000</v>
      </c>
      <c r="K58" s="38">
        <v>1</v>
      </c>
      <c r="L58" s="39">
        <f>200000/4*3</f>
        <v>150000</v>
      </c>
      <c r="M58" s="39">
        <f>100000/4*1</f>
        <v>25000</v>
      </c>
      <c r="P58" s="37">
        <f t="shared" si="2"/>
        <v>175000</v>
      </c>
    </row>
    <row r="59" spans="1:16" s="33" customFormat="1" ht="15" x14ac:dyDescent="0.25">
      <c r="A59" s="33">
        <v>21960001</v>
      </c>
      <c r="B59" s="33" t="s">
        <v>148</v>
      </c>
      <c r="C59" s="33" t="s">
        <v>295</v>
      </c>
      <c r="D59" s="33" t="s">
        <v>76</v>
      </c>
      <c r="E59" s="33" t="s">
        <v>157</v>
      </c>
      <c r="F59" s="33" t="s">
        <v>166</v>
      </c>
      <c r="G59" s="33" t="s">
        <v>159</v>
      </c>
      <c r="H59" s="34">
        <v>43191</v>
      </c>
      <c r="I59" s="34">
        <v>43554</v>
      </c>
      <c r="J59" s="35">
        <v>50000</v>
      </c>
      <c r="K59" s="38">
        <v>1</v>
      </c>
      <c r="L59" s="37">
        <f>50000/4*1</f>
        <v>12500</v>
      </c>
      <c r="M59" s="37">
        <f>J59*2/4*1</f>
        <v>25000</v>
      </c>
      <c r="P59" s="37">
        <f t="shared" si="2"/>
        <v>37500</v>
      </c>
    </row>
    <row r="60" spans="1:16" s="33" customFormat="1" ht="15" x14ac:dyDescent="0.25">
      <c r="A60" s="33">
        <v>21960001</v>
      </c>
      <c r="B60" s="33" t="s">
        <v>148</v>
      </c>
      <c r="C60" s="33" t="s">
        <v>295</v>
      </c>
      <c r="D60" s="33" t="s">
        <v>75</v>
      </c>
      <c r="E60" s="33" t="s">
        <v>81</v>
      </c>
      <c r="F60" s="33" t="s">
        <v>162</v>
      </c>
      <c r="G60" s="33" t="s">
        <v>160</v>
      </c>
      <c r="H60" s="34">
        <v>43191</v>
      </c>
      <c r="I60" s="34">
        <v>43646</v>
      </c>
      <c r="J60" s="35">
        <v>1334</v>
      </c>
      <c r="K60" s="38">
        <v>200</v>
      </c>
      <c r="L60" s="35">
        <f>J60*300</f>
        <v>400200</v>
      </c>
      <c r="M60" s="35">
        <f>J60*200</f>
        <v>266800</v>
      </c>
      <c r="P60" s="37">
        <f t="shared" si="2"/>
        <v>667000</v>
      </c>
    </row>
    <row r="61" spans="1:16" s="33" customFormat="1" ht="15" x14ac:dyDescent="0.25">
      <c r="A61" s="33">
        <v>21960001</v>
      </c>
      <c r="B61" s="33" t="s">
        <v>148</v>
      </c>
      <c r="C61" s="33" t="s">
        <v>295</v>
      </c>
      <c r="D61" s="33" t="s">
        <v>75</v>
      </c>
      <c r="E61" s="33" t="s">
        <v>81</v>
      </c>
      <c r="F61" s="33" t="s">
        <v>163</v>
      </c>
      <c r="G61" s="33" t="s">
        <v>160</v>
      </c>
      <c r="H61" s="34">
        <v>43191</v>
      </c>
      <c r="I61" s="34">
        <v>43646</v>
      </c>
      <c r="J61" s="35">
        <v>617</v>
      </c>
      <c r="K61" s="38">
        <v>200</v>
      </c>
      <c r="L61" s="37">
        <f>J61*300</f>
        <v>185100</v>
      </c>
      <c r="M61" s="37">
        <f>J61*200</f>
        <v>123400</v>
      </c>
      <c r="N61" s="37"/>
      <c r="O61" s="37"/>
      <c r="P61" s="37">
        <f t="shared" si="2"/>
        <v>308500</v>
      </c>
    </row>
    <row r="62" spans="1:16" s="33" customFormat="1" ht="15" x14ac:dyDescent="0.25">
      <c r="A62" s="33">
        <v>21940001</v>
      </c>
      <c r="B62" s="33" t="s">
        <v>164</v>
      </c>
      <c r="C62" s="33" t="s">
        <v>295</v>
      </c>
      <c r="D62" s="33" t="s">
        <v>75</v>
      </c>
      <c r="E62" s="33" t="s">
        <v>81</v>
      </c>
      <c r="F62" s="33" t="s">
        <v>165</v>
      </c>
      <c r="G62" s="33" t="s">
        <v>160</v>
      </c>
      <c r="H62" s="34">
        <v>43191</v>
      </c>
      <c r="I62" s="34">
        <v>43646</v>
      </c>
      <c r="J62" s="35">
        <v>100000</v>
      </c>
      <c r="K62" s="38">
        <v>1</v>
      </c>
      <c r="L62" s="39">
        <f>200000/4*3</f>
        <v>150000</v>
      </c>
      <c r="M62" s="39">
        <f>100000/4*2</f>
        <v>50000</v>
      </c>
      <c r="P62" s="37">
        <f t="shared" si="2"/>
        <v>200000</v>
      </c>
    </row>
    <row r="63" spans="1:16" s="33" customFormat="1" ht="15" x14ac:dyDescent="0.25">
      <c r="A63" s="33">
        <v>21960001</v>
      </c>
      <c r="B63" s="33" t="s">
        <v>148</v>
      </c>
      <c r="C63" s="33" t="s">
        <v>295</v>
      </c>
      <c r="D63" s="33" t="s">
        <v>75</v>
      </c>
      <c r="E63" s="33" t="s">
        <v>81</v>
      </c>
      <c r="F63" s="33" t="s">
        <v>166</v>
      </c>
      <c r="G63" s="33" t="s">
        <v>160</v>
      </c>
      <c r="H63" s="34">
        <v>43191</v>
      </c>
      <c r="I63" s="34">
        <v>43646</v>
      </c>
      <c r="J63" s="35">
        <v>50000</v>
      </c>
      <c r="K63" s="38">
        <v>1</v>
      </c>
      <c r="L63" s="37">
        <f>50000/4*2</f>
        <v>25000</v>
      </c>
      <c r="M63" s="37">
        <f>J63*2/4*2</f>
        <v>50000</v>
      </c>
      <c r="P63" s="37">
        <f t="shared" si="2"/>
        <v>75000</v>
      </c>
    </row>
    <row r="64" spans="1:16" s="33" customFormat="1" ht="15" x14ac:dyDescent="0.25">
      <c r="A64" s="33">
        <v>21960001</v>
      </c>
      <c r="B64" s="33" t="s">
        <v>148</v>
      </c>
      <c r="C64" s="33" t="s">
        <v>295</v>
      </c>
      <c r="D64" s="33" t="s">
        <v>83</v>
      </c>
      <c r="E64" s="33" t="s">
        <v>81</v>
      </c>
      <c r="F64" s="33" t="s">
        <v>162</v>
      </c>
      <c r="G64" s="33" t="s">
        <v>161</v>
      </c>
      <c r="H64" s="34">
        <v>43191</v>
      </c>
      <c r="I64" s="34">
        <v>43373</v>
      </c>
      <c r="J64" s="35">
        <v>1334</v>
      </c>
      <c r="K64" s="38">
        <v>200</v>
      </c>
      <c r="L64" s="35">
        <f>J64*300</f>
        <v>400200</v>
      </c>
      <c r="M64" s="35">
        <f>J64*300</f>
        <v>400200</v>
      </c>
      <c r="P64" s="37">
        <f t="shared" si="2"/>
        <v>800400</v>
      </c>
    </row>
    <row r="65" spans="1:16" s="33" customFormat="1" ht="15" x14ac:dyDescent="0.25">
      <c r="A65" s="33">
        <v>21960001</v>
      </c>
      <c r="B65" s="33" t="s">
        <v>148</v>
      </c>
      <c r="C65" s="33" t="s">
        <v>295</v>
      </c>
      <c r="D65" s="33" t="s">
        <v>83</v>
      </c>
      <c r="E65" s="33" t="s">
        <v>81</v>
      </c>
      <c r="F65" s="33" t="s">
        <v>163</v>
      </c>
      <c r="G65" s="33" t="s">
        <v>161</v>
      </c>
      <c r="H65" s="34">
        <v>43191</v>
      </c>
      <c r="I65" s="34">
        <v>43373</v>
      </c>
      <c r="J65" s="35">
        <v>617</v>
      </c>
      <c r="K65" s="38">
        <v>200</v>
      </c>
      <c r="L65" s="37">
        <f>J65*300</f>
        <v>185100</v>
      </c>
      <c r="M65" s="37">
        <f>J65*300</f>
        <v>185100</v>
      </c>
      <c r="P65" s="37">
        <f t="shared" si="2"/>
        <v>370200</v>
      </c>
    </row>
    <row r="66" spans="1:16" s="33" customFormat="1" ht="15" x14ac:dyDescent="0.25">
      <c r="A66" s="33">
        <v>21940001</v>
      </c>
      <c r="B66" s="33" t="s">
        <v>164</v>
      </c>
      <c r="C66" s="33" t="s">
        <v>295</v>
      </c>
      <c r="D66" s="33" t="s">
        <v>83</v>
      </c>
      <c r="E66" s="33" t="s">
        <v>81</v>
      </c>
      <c r="F66" s="33" t="s">
        <v>165</v>
      </c>
      <c r="G66" s="33" t="s">
        <v>161</v>
      </c>
      <c r="H66" s="34">
        <v>43191</v>
      </c>
      <c r="I66" s="34">
        <v>43373</v>
      </c>
      <c r="J66" s="35">
        <v>100000</v>
      </c>
      <c r="K66" s="38">
        <v>1</v>
      </c>
      <c r="L66" s="39">
        <f>200000/4*3</f>
        <v>150000</v>
      </c>
      <c r="M66" s="39">
        <f>100000/4*3</f>
        <v>75000</v>
      </c>
      <c r="P66" s="37">
        <f t="shared" ref="P66:P98" si="4">SUM(L66+M66+N66+O66)</f>
        <v>225000</v>
      </c>
    </row>
    <row r="67" spans="1:16" s="33" customFormat="1" ht="15" x14ac:dyDescent="0.25">
      <c r="A67" s="33">
        <v>21960001</v>
      </c>
      <c r="B67" s="33" t="s">
        <v>148</v>
      </c>
      <c r="C67" s="33" t="s">
        <v>295</v>
      </c>
      <c r="D67" s="33" t="s">
        <v>83</v>
      </c>
      <c r="E67" s="33" t="s">
        <v>81</v>
      </c>
      <c r="F67" s="33" t="s">
        <v>166</v>
      </c>
      <c r="G67" s="33" t="s">
        <v>161</v>
      </c>
      <c r="H67" s="34">
        <v>43191</v>
      </c>
      <c r="I67" s="34">
        <v>43373</v>
      </c>
      <c r="J67" s="35">
        <v>50000</v>
      </c>
      <c r="K67" s="38">
        <v>1</v>
      </c>
      <c r="L67" s="37">
        <f>50000/4*3</f>
        <v>37500</v>
      </c>
      <c r="M67" s="37">
        <f>J67*2/4*4</f>
        <v>100000</v>
      </c>
      <c r="P67" s="37">
        <f t="shared" si="4"/>
        <v>137500</v>
      </c>
    </row>
    <row r="68" spans="1:16" s="33" customFormat="1" ht="15" x14ac:dyDescent="0.25">
      <c r="A68" s="33">
        <v>21960001</v>
      </c>
      <c r="B68" s="33" t="s">
        <v>148</v>
      </c>
      <c r="C68" s="33" t="s">
        <v>295</v>
      </c>
      <c r="D68" s="33" t="s">
        <v>80</v>
      </c>
      <c r="E68" s="33" t="s">
        <v>81</v>
      </c>
      <c r="F68" s="33" t="s">
        <v>162</v>
      </c>
      <c r="G68" s="33" t="s">
        <v>160</v>
      </c>
      <c r="H68" s="34">
        <v>43191</v>
      </c>
      <c r="I68" s="34">
        <v>44286</v>
      </c>
      <c r="J68" s="35">
        <v>1334</v>
      </c>
      <c r="K68" s="38">
        <v>200</v>
      </c>
      <c r="L68" s="35">
        <f>J68*300</f>
        <v>400200</v>
      </c>
      <c r="M68" s="35">
        <f>J68*400</f>
        <v>533600</v>
      </c>
      <c r="N68" s="37">
        <f>M68*8%+M68</f>
        <v>576288</v>
      </c>
      <c r="O68" s="37">
        <f>N68*9%+N68</f>
        <v>628153.92000000004</v>
      </c>
      <c r="P68" s="37">
        <f t="shared" si="4"/>
        <v>2138241.92</v>
      </c>
    </row>
    <row r="69" spans="1:16" s="33" customFormat="1" ht="15" x14ac:dyDescent="0.25">
      <c r="A69" s="33">
        <v>21960001</v>
      </c>
      <c r="B69" s="33" t="s">
        <v>148</v>
      </c>
      <c r="C69" s="33" t="s">
        <v>295</v>
      </c>
      <c r="D69" s="33" t="s">
        <v>80</v>
      </c>
      <c r="E69" s="33" t="s">
        <v>81</v>
      </c>
      <c r="F69" s="33" t="s">
        <v>163</v>
      </c>
      <c r="G69" s="33" t="s">
        <v>160</v>
      </c>
      <c r="H69" s="34">
        <v>43191</v>
      </c>
      <c r="I69" s="34">
        <v>44286</v>
      </c>
      <c r="J69" s="35">
        <v>617</v>
      </c>
      <c r="K69" s="38">
        <v>200</v>
      </c>
      <c r="L69" s="37">
        <f>J69*300</f>
        <v>185100</v>
      </c>
      <c r="M69" s="37">
        <f>J69*400</f>
        <v>246800</v>
      </c>
      <c r="N69" s="37">
        <f>M69*8%+M69</f>
        <v>266544</v>
      </c>
      <c r="O69" s="37">
        <f>N69*9%+N69</f>
        <v>290532.96000000002</v>
      </c>
      <c r="P69" s="37">
        <f t="shared" si="4"/>
        <v>988976.96</v>
      </c>
    </row>
    <row r="70" spans="1:16" s="33" customFormat="1" ht="15" x14ac:dyDescent="0.25">
      <c r="A70" s="33">
        <v>21940001</v>
      </c>
      <c r="B70" s="33" t="s">
        <v>164</v>
      </c>
      <c r="C70" s="33" t="s">
        <v>295</v>
      </c>
      <c r="D70" s="33" t="s">
        <v>80</v>
      </c>
      <c r="E70" s="33" t="s">
        <v>81</v>
      </c>
      <c r="F70" s="33" t="s">
        <v>165</v>
      </c>
      <c r="G70" s="33" t="s">
        <v>160</v>
      </c>
      <c r="H70" s="34">
        <v>43191</v>
      </c>
      <c r="I70" s="34">
        <v>44286</v>
      </c>
      <c r="J70" s="35">
        <v>100000</v>
      </c>
      <c r="K70" s="38">
        <v>1</v>
      </c>
      <c r="L70" s="39">
        <f>200000/4*3</f>
        <v>150000</v>
      </c>
      <c r="M70" s="39">
        <v>200000</v>
      </c>
      <c r="N70" s="37">
        <f>M70*8%+M70</f>
        <v>216000</v>
      </c>
      <c r="O70" s="37">
        <f>N70*9%+N70</f>
        <v>235440</v>
      </c>
      <c r="P70" s="37">
        <f t="shared" si="4"/>
        <v>801440</v>
      </c>
    </row>
    <row r="71" spans="1:16" s="33" customFormat="1" ht="15" x14ac:dyDescent="0.25">
      <c r="A71" s="33">
        <v>21960001</v>
      </c>
      <c r="B71" s="33" t="s">
        <v>148</v>
      </c>
      <c r="C71" s="33" t="s">
        <v>295</v>
      </c>
      <c r="D71" s="33" t="s">
        <v>80</v>
      </c>
      <c r="E71" s="33" t="s">
        <v>81</v>
      </c>
      <c r="F71" s="33" t="s">
        <v>166</v>
      </c>
      <c r="G71" s="33" t="s">
        <v>160</v>
      </c>
      <c r="H71" s="34">
        <v>43191</v>
      </c>
      <c r="I71" s="34">
        <v>44286</v>
      </c>
      <c r="J71" s="35">
        <v>50000</v>
      </c>
      <c r="K71" s="38">
        <v>1</v>
      </c>
      <c r="L71" s="37">
        <f>50000/4*2</f>
        <v>25000</v>
      </c>
      <c r="M71" s="37">
        <v>200000</v>
      </c>
      <c r="N71" s="37">
        <f>M71*8%+M71</f>
        <v>216000</v>
      </c>
      <c r="O71" s="37">
        <f>N71*9%+N71</f>
        <v>235440</v>
      </c>
      <c r="P71" s="37">
        <f t="shared" si="4"/>
        <v>676440</v>
      </c>
    </row>
    <row r="72" spans="1:16" s="33" customFormat="1" ht="15" customHeight="1" x14ac:dyDescent="0.25">
      <c r="A72" s="33">
        <v>21930002</v>
      </c>
      <c r="B72" s="33" t="s">
        <v>248</v>
      </c>
      <c r="C72" s="33" t="s">
        <v>295</v>
      </c>
      <c r="D72" s="33" t="s">
        <v>314</v>
      </c>
      <c r="E72" s="33" t="s">
        <v>316</v>
      </c>
      <c r="G72" s="33" t="s">
        <v>315</v>
      </c>
      <c r="H72" s="34">
        <v>43497</v>
      </c>
      <c r="I72" s="34">
        <v>44042</v>
      </c>
      <c r="J72" s="35"/>
      <c r="K72" s="38"/>
      <c r="L72" s="37"/>
      <c r="M72" s="37">
        <v>407405001</v>
      </c>
      <c r="N72" s="37">
        <v>271603334</v>
      </c>
      <c r="O72" s="37"/>
      <c r="P72" s="37">
        <f t="shared" si="4"/>
        <v>679008335</v>
      </c>
    </row>
    <row r="73" spans="1:16" s="33" customFormat="1" ht="15" x14ac:dyDescent="0.25">
      <c r="A73" s="33">
        <v>21930002</v>
      </c>
      <c r="B73" s="33" t="s">
        <v>248</v>
      </c>
      <c r="C73" s="33" t="s">
        <v>295</v>
      </c>
      <c r="D73" s="33" t="s">
        <v>312</v>
      </c>
      <c r="E73" s="33" t="s">
        <v>316</v>
      </c>
      <c r="G73" s="33" t="s">
        <v>315</v>
      </c>
      <c r="H73" s="34">
        <v>43497</v>
      </c>
      <c r="I73" s="34">
        <v>44042</v>
      </c>
      <c r="J73" s="35"/>
      <c r="K73" s="38"/>
      <c r="L73" s="37"/>
      <c r="M73" s="37">
        <v>356268791</v>
      </c>
      <c r="N73" s="37">
        <v>237512527</v>
      </c>
      <c r="O73" s="37"/>
      <c r="P73" s="37">
        <f t="shared" si="4"/>
        <v>593781318</v>
      </c>
    </row>
    <row r="74" spans="1:16" s="33" customFormat="1" ht="15" customHeight="1" x14ac:dyDescent="0.25">
      <c r="A74" s="33">
        <v>21920001</v>
      </c>
      <c r="B74" s="33" t="s">
        <v>148</v>
      </c>
      <c r="C74" s="33" t="s">
        <v>296</v>
      </c>
      <c r="D74" s="33" t="s">
        <v>104</v>
      </c>
      <c r="E74" s="33" t="s">
        <v>103</v>
      </c>
      <c r="F74" s="33" t="s">
        <v>151</v>
      </c>
      <c r="G74" s="33" t="s">
        <v>169</v>
      </c>
      <c r="H74" s="34">
        <v>43313</v>
      </c>
      <c r="I74" s="34">
        <v>43830</v>
      </c>
      <c r="J74" s="35">
        <f>(((6966256))*70%+(6966256))/30/8</f>
        <v>49344.313333333332</v>
      </c>
      <c r="K74" s="38">
        <v>200</v>
      </c>
      <c r="L74" s="35">
        <f>J74*167</f>
        <v>8240500.3266666662</v>
      </c>
      <c r="M74" s="35">
        <f>((((((6966256))*7%))+(6966256)*70%+((((6966256))*7%))+(6966256))/30/8)*400</f>
        <v>21363185.066666666</v>
      </c>
      <c r="P74" s="37">
        <f t="shared" si="4"/>
        <v>29603685.393333331</v>
      </c>
    </row>
    <row r="75" spans="1:16" s="33" customFormat="1" ht="15" x14ac:dyDescent="0.25">
      <c r="A75" s="33">
        <v>21920001</v>
      </c>
      <c r="B75" s="33" t="s">
        <v>148</v>
      </c>
      <c r="C75" s="33" t="s">
        <v>296</v>
      </c>
      <c r="D75" s="33" t="s">
        <v>80</v>
      </c>
      <c r="E75" s="33" t="s">
        <v>103</v>
      </c>
      <c r="F75" s="33" t="s">
        <v>151</v>
      </c>
      <c r="G75" s="33" t="s">
        <v>169</v>
      </c>
      <c r="H75" s="34">
        <v>43466</v>
      </c>
      <c r="I75" s="34">
        <v>44286</v>
      </c>
      <c r="J75" s="35">
        <f>(((6966256))*70%+(6966256))/30/8</f>
        <v>49344.313333333332</v>
      </c>
      <c r="K75" s="38">
        <v>200</v>
      </c>
      <c r="L75" s="35">
        <v>0</v>
      </c>
      <c r="M75" s="35">
        <f>((((((6966256))*7%))+(6966256)*70%+((((6966256))*7%))+(6966256))/30/8)*400</f>
        <v>21363185.066666666</v>
      </c>
      <c r="N75" s="37">
        <f>M75*8%+M75</f>
        <v>23072239.872000001</v>
      </c>
      <c r="O75" s="39">
        <f>(N75*9%+N75)/4*1</f>
        <v>6287185.3651200002</v>
      </c>
      <c r="P75" s="37">
        <f t="shared" si="4"/>
        <v>50722610.303786673</v>
      </c>
    </row>
    <row r="76" spans="1:16" s="33" customFormat="1" ht="15" x14ac:dyDescent="0.25">
      <c r="A76" s="33">
        <v>21920001</v>
      </c>
      <c r="B76" s="33" t="s">
        <v>148</v>
      </c>
      <c r="C76" s="33" t="s">
        <v>296</v>
      </c>
      <c r="D76" s="33" t="s">
        <v>71</v>
      </c>
      <c r="E76" s="33" t="s">
        <v>103</v>
      </c>
      <c r="F76" s="33" t="s">
        <v>151</v>
      </c>
      <c r="G76" s="33" t="s">
        <v>169</v>
      </c>
      <c r="H76" s="34">
        <v>43191</v>
      </c>
      <c r="I76" s="34">
        <v>43830</v>
      </c>
      <c r="J76" s="35">
        <f>(((6966256))*70%+(6966256))/30/8</f>
        <v>49344.313333333332</v>
      </c>
      <c r="K76" s="38">
        <v>200</v>
      </c>
      <c r="L76" s="35">
        <f>J76*300</f>
        <v>14803294</v>
      </c>
      <c r="M76" s="35">
        <f>((((((6966256))*7%))+(6966256)*70%+((((6966256))*7%))+(6966256))/30/8)*400</f>
        <v>21363185.066666666</v>
      </c>
      <c r="P76" s="37">
        <f t="shared" si="4"/>
        <v>36166479.066666663</v>
      </c>
    </row>
    <row r="77" spans="1:16" s="33" customFormat="1" ht="15" customHeight="1" x14ac:dyDescent="0.25">
      <c r="A77" s="33">
        <v>21920001</v>
      </c>
      <c r="B77" s="33" t="s">
        <v>148</v>
      </c>
      <c r="C77" s="33" t="s">
        <v>296</v>
      </c>
      <c r="D77" s="33" t="s">
        <v>131</v>
      </c>
      <c r="E77" s="33" t="s">
        <v>130</v>
      </c>
      <c r="F77" s="33" t="s">
        <v>151</v>
      </c>
      <c r="G77" s="33" t="s">
        <v>170</v>
      </c>
      <c r="H77" s="34">
        <v>43191</v>
      </c>
      <c r="I77" s="34">
        <v>43830</v>
      </c>
      <c r="J77" s="35">
        <f>(((8752653))*70%+(8752653))/30/8</f>
        <v>61997.958749999998</v>
      </c>
      <c r="K77" s="38">
        <v>200</v>
      </c>
      <c r="L77" s="35">
        <f>J77*300</f>
        <v>18599387.625</v>
      </c>
      <c r="M77" s="35">
        <f>J77*400</f>
        <v>24799183.5</v>
      </c>
      <c r="P77" s="37">
        <f t="shared" si="4"/>
        <v>43398571.125</v>
      </c>
    </row>
    <row r="78" spans="1:16" s="33" customFormat="1" ht="15" x14ac:dyDescent="0.25">
      <c r="A78" s="61">
        <v>21920002</v>
      </c>
      <c r="B78" s="33" t="s">
        <v>148</v>
      </c>
      <c r="C78" s="33" t="s">
        <v>296</v>
      </c>
      <c r="D78" s="33" t="s">
        <v>171</v>
      </c>
      <c r="E78" s="33" t="s">
        <v>105</v>
      </c>
      <c r="F78" s="33" t="s">
        <v>151</v>
      </c>
      <c r="G78" s="33" t="s">
        <v>172</v>
      </c>
      <c r="H78" s="34">
        <v>43191</v>
      </c>
      <c r="I78" s="34">
        <v>43830</v>
      </c>
      <c r="J78" s="35">
        <f>(((4960551))*70%+(4960551))/30/8</f>
        <v>35137.236249999994</v>
      </c>
      <c r="K78" s="38">
        <v>200</v>
      </c>
      <c r="L78" s="35">
        <f>J78*300</f>
        <v>10541170.874999998</v>
      </c>
      <c r="M78" s="35">
        <f>J78*400</f>
        <v>14054894.499999998</v>
      </c>
      <c r="P78" s="37">
        <f t="shared" si="4"/>
        <v>24596065.374999996</v>
      </c>
    </row>
    <row r="79" spans="1:16" s="33" customFormat="1" ht="15" x14ac:dyDescent="0.25">
      <c r="A79" s="62">
        <v>21920002</v>
      </c>
      <c r="B79" s="33" t="s">
        <v>148</v>
      </c>
      <c r="C79" s="33" t="s">
        <v>296</v>
      </c>
      <c r="D79" s="33" t="s">
        <v>83</v>
      </c>
      <c r="E79" s="33" t="s">
        <v>107</v>
      </c>
      <c r="F79" s="33" t="s">
        <v>151</v>
      </c>
      <c r="G79" s="33" t="s">
        <v>173</v>
      </c>
      <c r="H79" s="34">
        <v>43556</v>
      </c>
      <c r="I79" s="34" t="s">
        <v>297</v>
      </c>
      <c r="J79" s="35">
        <f>(((7253141))*70%+(7253141))/30/8</f>
        <v>51376.415416666663</v>
      </c>
      <c r="K79" s="38">
        <v>200</v>
      </c>
      <c r="L79" s="35">
        <v>0</v>
      </c>
      <c r="M79" s="35">
        <f>((((((7253141))*7%))+(7253141)*70%+((((7253141))*7%))+(7253141))/30/8)*200</f>
        <v>11121482.866666667</v>
      </c>
      <c r="P79" s="37">
        <f t="shared" si="4"/>
        <v>11121482.866666667</v>
      </c>
    </row>
    <row r="80" spans="1:16" s="33" customFormat="1" ht="15" x14ac:dyDescent="0.25">
      <c r="A80" s="33">
        <v>21960001</v>
      </c>
      <c r="B80" s="33" t="s">
        <v>148</v>
      </c>
      <c r="C80" s="33" t="s">
        <v>296</v>
      </c>
      <c r="D80" s="33" t="s">
        <v>104</v>
      </c>
      <c r="E80" s="33" t="s">
        <v>108</v>
      </c>
      <c r="F80" s="33" t="s">
        <v>151</v>
      </c>
      <c r="G80" s="33" t="s">
        <v>174</v>
      </c>
      <c r="H80" s="34">
        <v>43313</v>
      </c>
      <c r="I80" s="34">
        <v>43830</v>
      </c>
      <c r="J80" s="35">
        <f>(((8426565))*70%+(8426565))/30/8</f>
        <v>59688.168749999997</v>
      </c>
      <c r="K80" s="38">
        <v>200</v>
      </c>
      <c r="L80" s="35">
        <f>J80*167</f>
        <v>9967924.1812500004</v>
      </c>
      <c r="M80" s="35">
        <f>((((((8426565))*7%))+(8426565)*70%+((((8426565))*7%))+(8426565))/30/8)*400</f>
        <v>25841466</v>
      </c>
      <c r="P80" s="37">
        <f t="shared" si="4"/>
        <v>35809390.181249999</v>
      </c>
    </row>
    <row r="81" spans="1:16" s="33" customFormat="1" ht="15" x14ac:dyDescent="0.25">
      <c r="A81" s="33">
        <v>21960001</v>
      </c>
      <c r="B81" s="33" t="s">
        <v>148</v>
      </c>
      <c r="C81" s="33" t="s">
        <v>296</v>
      </c>
      <c r="D81" s="33" t="s">
        <v>78</v>
      </c>
      <c r="E81" s="33" t="s">
        <v>108</v>
      </c>
      <c r="F81" s="33" t="s">
        <v>151</v>
      </c>
      <c r="G81" s="33" t="s">
        <v>174</v>
      </c>
      <c r="H81" s="34">
        <v>43313</v>
      </c>
      <c r="I81" s="34">
        <v>43830</v>
      </c>
      <c r="J81" s="35">
        <f>(((8426565))*70%+(8426565))/30/8</f>
        <v>59688.168749999997</v>
      </c>
      <c r="K81" s="38">
        <v>200</v>
      </c>
      <c r="L81" s="35">
        <f>J81*167</f>
        <v>9967924.1812500004</v>
      </c>
      <c r="M81" s="35">
        <f>((((((8426565))*7%))+(8426565)*70%+((((8426565))*7%))+(8426565))/30/8)*400</f>
        <v>25841466</v>
      </c>
      <c r="P81" s="37">
        <f t="shared" si="4"/>
        <v>35809390.181249999</v>
      </c>
    </row>
    <row r="82" spans="1:16" s="33" customFormat="1" ht="15" x14ac:dyDescent="0.25">
      <c r="A82" s="33">
        <v>21960001</v>
      </c>
      <c r="B82" s="33" t="s">
        <v>148</v>
      </c>
      <c r="C82" s="33" t="s">
        <v>296</v>
      </c>
      <c r="D82" s="33" t="s">
        <v>80</v>
      </c>
      <c r="E82" s="33" t="s">
        <v>108</v>
      </c>
      <c r="F82" s="33" t="s">
        <v>151</v>
      </c>
      <c r="G82" s="33" t="s">
        <v>174</v>
      </c>
      <c r="H82" s="34">
        <v>43313</v>
      </c>
      <c r="I82" s="34">
        <v>43830</v>
      </c>
      <c r="J82" s="35">
        <f>(((8426565))*70%+(8426565))/30/8</f>
        <v>59688.168749999997</v>
      </c>
      <c r="K82" s="38">
        <v>200</v>
      </c>
      <c r="L82" s="35">
        <f>J82*167</f>
        <v>9967924.1812500004</v>
      </c>
      <c r="M82" s="35">
        <f>((((((8426565))*7%))+(8426565)*70%+((((8426565))*7%))+(8426565))/30/8)*400</f>
        <v>25841466</v>
      </c>
      <c r="P82" s="37">
        <f t="shared" si="4"/>
        <v>35809390.181249999</v>
      </c>
    </row>
    <row r="83" spans="1:16" s="33" customFormat="1" ht="15" x14ac:dyDescent="0.25">
      <c r="A83" s="33">
        <v>21960001</v>
      </c>
      <c r="B83" s="33" t="s">
        <v>148</v>
      </c>
      <c r="C83" s="33" t="s">
        <v>296</v>
      </c>
      <c r="D83" s="33" t="s">
        <v>71</v>
      </c>
      <c r="E83" s="33" t="s">
        <v>108</v>
      </c>
      <c r="F83" s="33" t="s">
        <v>151</v>
      </c>
      <c r="G83" s="33" t="s">
        <v>174</v>
      </c>
      <c r="H83" s="34">
        <v>43313</v>
      </c>
      <c r="I83" s="34">
        <v>44286</v>
      </c>
      <c r="J83" s="35">
        <f>(((8426565))*70%+(8426565))/30/8</f>
        <v>59688.168749999997</v>
      </c>
      <c r="K83" s="38">
        <v>200</v>
      </c>
      <c r="L83" s="35">
        <f>J83*167</f>
        <v>9967924.1812500004</v>
      </c>
      <c r="M83" s="35">
        <f>((((((8426565))*7%))+(8426565)*70%+((((8426565))*7%))+(8426565))/30/8)*400</f>
        <v>25841466</v>
      </c>
      <c r="N83" s="37">
        <f>M83*8%+M83</f>
        <v>27908783.280000001</v>
      </c>
      <c r="O83" s="39">
        <f>(N83*9%+N83)/4*1</f>
        <v>7605143.4438000005</v>
      </c>
      <c r="P83" s="37">
        <f t="shared" si="4"/>
        <v>71323316.905049995</v>
      </c>
    </row>
    <row r="84" spans="1:16" s="33" customFormat="1" ht="15" x14ac:dyDescent="0.25">
      <c r="A84" s="33">
        <v>21960001</v>
      </c>
      <c r="B84" s="33" t="s">
        <v>148</v>
      </c>
      <c r="C84" s="33" t="s">
        <v>296</v>
      </c>
      <c r="D84" s="33" t="s">
        <v>78</v>
      </c>
      <c r="E84" s="33" t="s">
        <v>112</v>
      </c>
      <c r="F84" s="33" t="s">
        <v>151</v>
      </c>
      <c r="G84" s="33" t="s">
        <v>175</v>
      </c>
      <c r="H84" s="34">
        <v>43191</v>
      </c>
      <c r="I84" s="34">
        <v>43830</v>
      </c>
      <c r="J84" s="35">
        <f>(((4676050))*70%+(4676050))/30/8</f>
        <v>33122.020833333336</v>
      </c>
      <c r="K84" s="38">
        <v>200</v>
      </c>
      <c r="L84" s="35">
        <f t="shared" ref="L84:L90" si="5">J84*300</f>
        <v>9936606.25</v>
      </c>
      <c r="M84" s="35">
        <f>((((((4676050))*7%))+(4676050)*70%+((((4676050))*7%))+(4676050))/30/8)*400</f>
        <v>14339886.666666666</v>
      </c>
      <c r="P84" s="37">
        <f t="shared" si="4"/>
        <v>24276492.916666664</v>
      </c>
    </row>
    <row r="85" spans="1:16" s="33" customFormat="1" ht="15" x14ac:dyDescent="0.25">
      <c r="A85" s="33">
        <v>21960001</v>
      </c>
      <c r="B85" s="33" t="s">
        <v>148</v>
      </c>
      <c r="C85" s="33" t="s">
        <v>296</v>
      </c>
      <c r="D85" s="33" t="s">
        <v>80</v>
      </c>
      <c r="E85" s="33" t="s">
        <v>112</v>
      </c>
      <c r="F85" s="33" t="s">
        <v>151</v>
      </c>
      <c r="G85" s="33" t="s">
        <v>175</v>
      </c>
      <c r="H85" s="34">
        <v>43191</v>
      </c>
      <c r="I85" s="34">
        <v>43830</v>
      </c>
      <c r="J85" s="35">
        <f>(((4676050))*70%+(4676050))/30/8</f>
        <v>33122.020833333336</v>
      </c>
      <c r="K85" s="38">
        <v>200</v>
      </c>
      <c r="L85" s="35">
        <f t="shared" si="5"/>
        <v>9936606.25</v>
      </c>
      <c r="M85" s="35">
        <f>((((((4676050))*7%))+(4676050)*70%+((((4676050))*7%))+(4676050))/30/8)*400</f>
        <v>14339886.666666666</v>
      </c>
      <c r="P85" s="37">
        <f t="shared" si="4"/>
        <v>24276492.916666664</v>
      </c>
    </row>
    <row r="86" spans="1:16" s="33" customFormat="1" ht="15" x14ac:dyDescent="0.25">
      <c r="A86" s="33">
        <v>21960001</v>
      </c>
      <c r="B86" s="33" t="s">
        <v>148</v>
      </c>
      <c r="C86" s="33" t="s">
        <v>296</v>
      </c>
      <c r="D86" s="33" t="s">
        <v>71</v>
      </c>
      <c r="E86" s="33" t="s">
        <v>112</v>
      </c>
      <c r="F86" s="33" t="s">
        <v>151</v>
      </c>
      <c r="G86" s="33" t="s">
        <v>175</v>
      </c>
      <c r="H86" s="34">
        <v>43191</v>
      </c>
      <c r="I86" s="34">
        <v>44286</v>
      </c>
      <c r="J86" s="35">
        <f>(((4676050))*70%+(4676050))/30/8</f>
        <v>33122.020833333336</v>
      </c>
      <c r="K86" s="38">
        <v>200</v>
      </c>
      <c r="L86" s="35">
        <f t="shared" si="5"/>
        <v>9936606.25</v>
      </c>
      <c r="M86" s="35">
        <f>((((((4676050))*7%))+(4676050)*70%+((((4676050))*7%))+(4676050))/30/8)*400</f>
        <v>14339886.666666666</v>
      </c>
      <c r="N86" s="37">
        <f>M86*8%+M86</f>
        <v>15487077.6</v>
      </c>
      <c r="O86" s="39">
        <f>(N86*9%+N86)/4*1</f>
        <v>4220228.6459999997</v>
      </c>
      <c r="P86" s="37">
        <f t="shared" si="4"/>
        <v>43983799.162666664</v>
      </c>
    </row>
    <row r="87" spans="1:16" s="33" customFormat="1" ht="15" x14ac:dyDescent="0.25">
      <c r="A87" s="33">
        <v>21920002</v>
      </c>
      <c r="B87" s="33" t="s">
        <v>148</v>
      </c>
      <c r="C87" s="33" t="s">
        <v>296</v>
      </c>
      <c r="D87" s="33" t="s">
        <v>110</v>
      </c>
      <c r="E87" s="33" t="s">
        <v>176</v>
      </c>
      <c r="F87" s="33" t="s">
        <v>151</v>
      </c>
      <c r="G87" s="33" t="s">
        <v>177</v>
      </c>
      <c r="H87" s="34">
        <v>43191</v>
      </c>
      <c r="I87" s="34">
        <v>43556</v>
      </c>
      <c r="J87" s="35">
        <f>(((6006237))*70%+(6006237))/30/8</f>
        <v>42544.178749999992</v>
      </c>
      <c r="K87" s="38">
        <v>200</v>
      </c>
      <c r="L87" s="35">
        <f t="shared" si="5"/>
        <v>12763253.624999998</v>
      </c>
      <c r="M87" s="35">
        <f>((((((6006237))*7%))+(6006237)*70%+((((6006237))*7%))+(6006237))/30/8)*100</f>
        <v>4604781.6999999993</v>
      </c>
      <c r="P87" s="37">
        <f t="shared" si="4"/>
        <v>17368035.324999996</v>
      </c>
    </row>
    <row r="88" spans="1:16" s="33" customFormat="1" ht="15" x14ac:dyDescent="0.25">
      <c r="A88" s="33">
        <v>21920002</v>
      </c>
      <c r="B88" s="33" t="s">
        <v>148</v>
      </c>
      <c r="C88" s="33" t="s">
        <v>296</v>
      </c>
      <c r="D88" s="33" t="s">
        <v>111</v>
      </c>
      <c r="E88" s="33" t="s">
        <v>176</v>
      </c>
      <c r="F88" s="33" t="s">
        <v>151</v>
      </c>
      <c r="G88" s="33" t="s">
        <v>177</v>
      </c>
      <c r="H88" s="34">
        <v>43586</v>
      </c>
      <c r="I88" s="34">
        <v>44286</v>
      </c>
      <c r="J88" s="35">
        <f>(((6006237))*70%+(6006237))/30/8</f>
        <v>42544.178749999992</v>
      </c>
      <c r="K88" s="38">
        <v>200</v>
      </c>
      <c r="L88" s="35">
        <v>0</v>
      </c>
      <c r="M88" s="35">
        <f>((((((6006237))*7%))+(6006237)*70%+((((6006237))*7%))+(6006237))/30/8)*400</f>
        <v>18419126.799999997</v>
      </c>
      <c r="N88" s="35">
        <f>((((((6006237))*7%))+(6006237)*70%+((((6006237))*7%))+(6006237))*8%+(((((6006237))*7%))+(6006237)*70%+((((6006237))*7%))+(6006237)))/30/8*400</f>
        <v>19892656.943999995</v>
      </c>
      <c r="O88" s="39">
        <f>(N88*9%+N88)/4*1</f>
        <v>5420749.0172399981</v>
      </c>
      <c r="P88" s="37">
        <f t="shared" si="4"/>
        <v>43732532.761239983</v>
      </c>
    </row>
    <row r="89" spans="1:16" s="33" customFormat="1" ht="15" x14ac:dyDescent="0.25">
      <c r="A89" s="33">
        <v>21920002</v>
      </c>
      <c r="B89" s="33" t="s">
        <v>148</v>
      </c>
      <c r="C89" s="33" t="s">
        <v>296</v>
      </c>
      <c r="D89" s="33" t="s">
        <v>178</v>
      </c>
      <c r="E89" s="33" t="s">
        <v>179</v>
      </c>
      <c r="F89" s="33" t="s">
        <v>151</v>
      </c>
      <c r="G89" s="33" t="s">
        <v>180</v>
      </c>
      <c r="H89" s="34">
        <v>43191</v>
      </c>
      <c r="I89" s="34">
        <v>43465</v>
      </c>
      <c r="J89" s="35">
        <f>(((6649422))*70%+(6649422))/30/8</f>
        <v>47100.072499999995</v>
      </c>
      <c r="K89" s="38">
        <v>200</v>
      </c>
      <c r="L89" s="35">
        <f t="shared" si="5"/>
        <v>14130021.749999998</v>
      </c>
      <c r="M89" s="35">
        <v>0</v>
      </c>
      <c r="P89" s="37">
        <f t="shared" si="4"/>
        <v>14130021.749999998</v>
      </c>
    </row>
    <row r="90" spans="1:16" s="33" customFormat="1" ht="15" x14ac:dyDescent="0.25">
      <c r="A90" s="33">
        <v>21920001</v>
      </c>
      <c r="B90" s="33" t="s">
        <v>148</v>
      </c>
      <c r="C90" s="33" t="s">
        <v>296</v>
      </c>
      <c r="D90" s="33" t="s">
        <v>181</v>
      </c>
      <c r="E90" s="33" t="s">
        <v>182</v>
      </c>
      <c r="F90" s="33" t="s">
        <v>151</v>
      </c>
      <c r="G90" s="33" t="s">
        <v>183</v>
      </c>
      <c r="H90" s="34">
        <v>43191</v>
      </c>
      <c r="I90" s="34">
        <v>43465</v>
      </c>
      <c r="J90" s="35">
        <f>(((55921))*70%+(55921))</f>
        <v>95065.7</v>
      </c>
      <c r="K90" s="38">
        <v>200</v>
      </c>
      <c r="L90" s="35">
        <f t="shared" si="5"/>
        <v>28519710</v>
      </c>
      <c r="M90" s="35">
        <v>0</v>
      </c>
      <c r="N90" s="35"/>
      <c r="O90" s="35"/>
      <c r="P90" s="37">
        <f t="shared" si="4"/>
        <v>28519710</v>
      </c>
    </row>
    <row r="91" spans="1:16" s="51" customFormat="1" x14ac:dyDescent="0.3">
      <c r="A91" s="51">
        <v>21940001</v>
      </c>
      <c r="B91" s="33" t="s">
        <v>164</v>
      </c>
      <c r="C91" s="51" t="s">
        <v>293</v>
      </c>
      <c r="D91" s="51" t="s">
        <v>57</v>
      </c>
      <c r="E91" s="51" t="s">
        <v>184</v>
      </c>
      <c r="F91" s="51" t="s">
        <v>151</v>
      </c>
      <c r="G91" s="51" t="s">
        <v>185</v>
      </c>
      <c r="H91" s="52">
        <v>43191</v>
      </c>
      <c r="I91" s="34">
        <v>44286</v>
      </c>
      <c r="J91" s="53">
        <f>1500000/2</f>
        <v>750000</v>
      </c>
      <c r="K91" s="54" t="s">
        <v>186</v>
      </c>
      <c r="L91" s="35">
        <v>6187500</v>
      </c>
      <c r="M91" s="35">
        <v>8250000</v>
      </c>
      <c r="N91" s="35">
        <v>8250000</v>
      </c>
      <c r="O91" s="35">
        <f t="shared" ref="O91:O111" si="6">(N91*9%+N91)/4*1</f>
        <v>2248125</v>
      </c>
      <c r="P91" s="37">
        <f t="shared" si="4"/>
        <v>24935625</v>
      </c>
    </row>
    <row r="92" spans="1:16" s="51" customFormat="1" x14ac:dyDescent="0.3">
      <c r="A92" s="51">
        <v>21920001</v>
      </c>
      <c r="B92" s="33" t="s">
        <v>148</v>
      </c>
      <c r="C92" s="51" t="s">
        <v>293</v>
      </c>
      <c r="D92" s="51" t="s">
        <v>57</v>
      </c>
      <c r="E92" s="51" t="s">
        <v>184</v>
      </c>
      <c r="F92" s="51" t="s">
        <v>151</v>
      </c>
      <c r="G92" s="51" t="s">
        <v>187</v>
      </c>
      <c r="H92" s="52">
        <v>43191</v>
      </c>
      <c r="I92" s="34">
        <v>44286</v>
      </c>
      <c r="J92" s="35">
        <f>(((8545258))*70%+(8545258))/30/8</f>
        <v>60528.910833333335</v>
      </c>
      <c r="K92" s="54">
        <v>150</v>
      </c>
      <c r="L92" s="35">
        <f t="shared" ref="L92:L99" si="7">J92*225</f>
        <v>13619004.9375</v>
      </c>
      <c r="M92" s="35">
        <f>((((((8545258))*7%))+(8545258)*70%+((((8545258))*7%))+(8545258))/30/8)*300</f>
        <v>19654093.399999999</v>
      </c>
      <c r="N92" s="35">
        <f>((((((8545258))*7%))+(8545258)*70%+((((8545258))*7%))+(8545258))*8%+(((((8545258))*7%))+(8545258)*70%+((((8545258))*7%))+(8545258)))/30/8*300</f>
        <v>21226420.872000001</v>
      </c>
      <c r="O92" s="35">
        <f t="shared" si="6"/>
        <v>5784199.68762</v>
      </c>
      <c r="P92" s="37">
        <f t="shared" si="4"/>
        <v>60283718.897119999</v>
      </c>
    </row>
    <row r="93" spans="1:16" s="51" customFormat="1" x14ac:dyDescent="0.3">
      <c r="A93" s="51">
        <v>21920001</v>
      </c>
      <c r="B93" s="33" t="s">
        <v>148</v>
      </c>
      <c r="C93" s="51" t="s">
        <v>293</v>
      </c>
      <c r="D93" s="51" t="s">
        <v>57</v>
      </c>
      <c r="E93" s="51" t="s">
        <v>184</v>
      </c>
      <c r="F93" s="51" t="s">
        <v>151</v>
      </c>
      <c r="G93" s="51" t="s">
        <v>188</v>
      </c>
      <c r="H93" s="52">
        <v>43191</v>
      </c>
      <c r="I93" s="34">
        <v>44286</v>
      </c>
      <c r="J93" s="35">
        <f>(((10817054))*70%+(10817054))/30/8</f>
        <v>76620.799166666664</v>
      </c>
      <c r="K93" s="54">
        <v>150</v>
      </c>
      <c r="L93" s="35">
        <f t="shared" si="7"/>
        <v>17239679.8125</v>
      </c>
      <c r="M93" s="35">
        <f>((((((10817054))*7%))+(10817054)*70%+((((10817054))*7%))+(10817054))/30/8)*300</f>
        <v>24879224.199999999</v>
      </c>
      <c r="N93" s="35">
        <f>((((((10817054))*7%))+(10817054)*70%+((((10817054))*7%))+(10817054))*8%+(((((10817054))*7%))+(10817054)*70%+((((10817054))*7%))+(10817054)))/30/8*300</f>
        <v>26869562.135999996</v>
      </c>
      <c r="O93" s="35">
        <f t="shared" si="6"/>
        <v>7321955.6820599986</v>
      </c>
      <c r="P93" s="37">
        <f t="shared" si="4"/>
        <v>76310421.830559999</v>
      </c>
    </row>
    <row r="94" spans="1:16" s="51" customFormat="1" x14ac:dyDescent="0.3">
      <c r="A94" s="51">
        <v>21920001</v>
      </c>
      <c r="B94" s="33" t="s">
        <v>148</v>
      </c>
      <c r="C94" s="51" t="s">
        <v>293</v>
      </c>
      <c r="D94" s="51" t="s">
        <v>57</v>
      </c>
      <c r="E94" s="51" t="s">
        <v>184</v>
      </c>
      <c r="F94" s="51" t="s">
        <v>151</v>
      </c>
      <c r="G94" s="51" t="s">
        <v>189</v>
      </c>
      <c r="H94" s="52">
        <v>43191</v>
      </c>
      <c r="I94" s="34">
        <v>44286</v>
      </c>
      <c r="J94" s="35">
        <f>(((8971635))*70%+(8971635))/30/8</f>
        <v>63549.081250000003</v>
      </c>
      <c r="K94" s="54">
        <v>150</v>
      </c>
      <c r="L94" s="35">
        <f t="shared" si="7"/>
        <v>14298543.28125</v>
      </c>
      <c r="M94" s="35">
        <f>((((((8971635))*7%))+(8971635)*70%+((((8971635))*7%))+(8971635))/30/8)*300</f>
        <v>20634760.5</v>
      </c>
      <c r="N94" s="35">
        <f>((((((8971635))*7%))+(8971635)*70%+((((8971635))*7%))+(8971635))*8%+(((((8971635))*7%))+(8971635)*70%+((((8971635))*7%))+(8971635)))/30/8*300</f>
        <v>22285541.34</v>
      </c>
      <c r="O94" s="35">
        <f t="shared" si="6"/>
        <v>6072810.0151500003</v>
      </c>
      <c r="P94" s="37">
        <f t="shared" si="4"/>
        <v>63291655.136400007</v>
      </c>
    </row>
    <row r="95" spans="1:16" s="51" customFormat="1" x14ac:dyDescent="0.3">
      <c r="A95" s="51">
        <v>21920001</v>
      </c>
      <c r="B95" s="33" t="s">
        <v>148</v>
      </c>
      <c r="C95" s="51" t="s">
        <v>293</v>
      </c>
      <c r="D95" s="51" t="s">
        <v>57</v>
      </c>
      <c r="E95" s="51" t="s">
        <v>184</v>
      </c>
      <c r="F95" s="51" t="s">
        <v>151</v>
      </c>
      <c r="G95" s="51" t="s">
        <v>190</v>
      </c>
      <c r="H95" s="52">
        <v>43191</v>
      </c>
      <c r="I95" s="34">
        <v>44286</v>
      </c>
      <c r="J95" s="35">
        <f>(((55921))*70%+(55921))</f>
        <v>95065.7</v>
      </c>
      <c r="K95" s="54">
        <v>150</v>
      </c>
      <c r="L95" s="35">
        <f t="shared" si="7"/>
        <v>21389782.5</v>
      </c>
      <c r="M95" s="35">
        <f>101720*300</f>
        <v>30516000</v>
      </c>
      <c r="N95" s="35">
        <f>109859*300</f>
        <v>32957700</v>
      </c>
      <c r="O95" s="35">
        <f t="shared" si="6"/>
        <v>8980973.25</v>
      </c>
      <c r="P95" s="37">
        <f t="shared" si="4"/>
        <v>93844455.75</v>
      </c>
    </row>
    <row r="96" spans="1:16" s="51" customFormat="1" x14ac:dyDescent="0.3">
      <c r="A96" s="51">
        <v>21920002</v>
      </c>
      <c r="B96" s="33" t="s">
        <v>148</v>
      </c>
      <c r="C96" s="51" t="s">
        <v>293</v>
      </c>
      <c r="D96" s="51" t="s">
        <v>57</v>
      </c>
      <c r="E96" s="51" t="s">
        <v>184</v>
      </c>
      <c r="F96" s="51" t="s">
        <v>151</v>
      </c>
      <c r="G96" s="51" t="s">
        <v>191</v>
      </c>
      <c r="H96" s="52">
        <v>43191</v>
      </c>
      <c r="I96" s="34">
        <v>44286</v>
      </c>
      <c r="J96" s="35">
        <f>(((6649422))*70%+(6649422))/30/8</f>
        <v>47100.072499999995</v>
      </c>
      <c r="K96" s="54">
        <v>150</v>
      </c>
      <c r="L96" s="35">
        <f t="shared" si="7"/>
        <v>10597516.312499998</v>
      </c>
      <c r="M96" s="35">
        <f>((((((6649422))*7%))+(6649422)*70%+((((6649422))*7%))+(6649422))/30/8)*300</f>
        <v>15293670.600000001</v>
      </c>
      <c r="N96" s="35">
        <f>((((((6649422))*7%))+(6649422)*70%+((((6649422))*7%))+(6649422))*8%+(((((6649422))*7%))+(6649422)*70%+((((6649422))*7%))+(6649422)))/30/8*300</f>
        <v>16517164.248000002</v>
      </c>
      <c r="O96" s="35">
        <f t="shared" si="6"/>
        <v>4500927.25758</v>
      </c>
      <c r="P96" s="37">
        <f t="shared" si="4"/>
        <v>46909278.418080002</v>
      </c>
    </row>
    <row r="97" spans="1:16" s="51" customFormat="1" x14ac:dyDescent="0.3">
      <c r="A97" s="51">
        <v>21920002</v>
      </c>
      <c r="B97" s="33" t="s">
        <v>148</v>
      </c>
      <c r="C97" s="51" t="s">
        <v>293</v>
      </c>
      <c r="D97" s="51" t="s">
        <v>57</v>
      </c>
      <c r="E97" s="51" t="s">
        <v>184</v>
      </c>
      <c r="F97" s="51" t="s">
        <v>151</v>
      </c>
      <c r="G97" s="51" t="s">
        <v>192</v>
      </c>
      <c r="H97" s="52">
        <v>43191</v>
      </c>
      <c r="I97" s="34">
        <v>44286</v>
      </c>
      <c r="J97" s="35">
        <f>(((7778965))*70%+(7778965))/30/8</f>
        <v>55101.002083333333</v>
      </c>
      <c r="K97" s="54">
        <v>150</v>
      </c>
      <c r="L97" s="35">
        <f t="shared" si="7"/>
        <v>12397725.46875</v>
      </c>
      <c r="M97" s="35">
        <f>((((((7778965))*7%))+(7778965)*70%+((((7778965))*7%))+(7778965))/30/8)*300</f>
        <v>17891619.5</v>
      </c>
      <c r="N97" s="35">
        <f>((((((7778965))*7%))+(7778965)*70%+((((7778965))*7%))+(7778965))*8%+(((((7778965))*7%))+(7778965)*70%+((((7778965))*7%))+(7778965)))/30/8*300</f>
        <v>19322949.059999999</v>
      </c>
      <c r="O97" s="35">
        <f t="shared" si="6"/>
        <v>5265503.6188499993</v>
      </c>
      <c r="P97" s="37">
        <f t="shared" si="4"/>
        <v>54877797.647600003</v>
      </c>
    </row>
    <row r="98" spans="1:16" s="51" customFormat="1" x14ac:dyDescent="0.3">
      <c r="A98" s="51">
        <v>21920002</v>
      </c>
      <c r="B98" s="33" t="s">
        <v>148</v>
      </c>
      <c r="C98" s="51" t="s">
        <v>293</v>
      </c>
      <c r="D98" s="51" t="s">
        <v>57</v>
      </c>
      <c r="E98" s="51" t="s">
        <v>184</v>
      </c>
      <c r="F98" s="51" t="s">
        <v>151</v>
      </c>
      <c r="G98" s="51" t="s">
        <v>193</v>
      </c>
      <c r="H98" s="52">
        <v>43191</v>
      </c>
      <c r="I98" s="34">
        <v>44286</v>
      </c>
      <c r="J98" s="35">
        <f>(((7253141))*70%+(7253141))/30/8</f>
        <v>51376.415416666663</v>
      </c>
      <c r="K98" s="54">
        <v>150</v>
      </c>
      <c r="L98" s="35">
        <f t="shared" si="7"/>
        <v>11559693.46875</v>
      </c>
      <c r="M98" s="35">
        <f>((((((7253141))*7%))+(7253141)*70%+((((7253141))*7%))+(7253141))/30/8)*300</f>
        <v>16682224.300000001</v>
      </c>
      <c r="N98" s="35">
        <f>((((((7253141))*7%))+(7253141)*70%+((((7253141))*7%))+(7253141))*8%+(((((7253141))*7%))+(7253141)*70%+((((7253141))*7%))+(7253141)))/30/8*300</f>
        <v>18016802.243999999</v>
      </c>
      <c r="O98" s="35">
        <f t="shared" si="6"/>
        <v>4909578.61149</v>
      </c>
      <c r="P98" s="37">
        <f t="shared" si="4"/>
        <v>51168298.624239996</v>
      </c>
    </row>
    <row r="99" spans="1:16" s="51" customFormat="1" x14ac:dyDescent="0.3">
      <c r="A99" s="51">
        <v>21920001</v>
      </c>
      <c r="B99" s="33" t="s">
        <v>148</v>
      </c>
      <c r="C99" s="51" t="s">
        <v>293</v>
      </c>
      <c r="D99" s="51" t="s">
        <v>57</v>
      </c>
      <c r="E99" s="51" t="s">
        <v>184</v>
      </c>
      <c r="F99" s="51" t="s">
        <v>151</v>
      </c>
      <c r="G99" s="51" t="s">
        <v>194</v>
      </c>
      <c r="H99" s="52">
        <v>43191</v>
      </c>
      <c r="I99" s="34">
        <v>44286</v>
      </c>
      <c r="J99" s="35">
        <f>(((9672258))*70%+(9672258))/30/8</f>
        <v>68511.827499999999</v>
      </c>
      <c r="K99" s="54">
        <v>150</v>
      </c>
      <c r="L99" s="35">
        <f t="shared" si="7"/>
        <v>15415161.1875</v>
      </c>
      <c r="M99" s="35">
        <f>((((((9672258))*7%))+(9672258)*70%+((((9672258))*7%))+(9672258))/30/8)*300</f>
        <v>22246193.399999995</v>
      </c>
      <c r="N99" s="35">
        <f>((((((9672258))*7%))+(9672258)*70%+((((9672258))*7%))+(9672258))*8%+(((((9672258))*7%))+(9672258)*70%+((((9672258))*7%))+(9672258)))/30/8*300</f>
        <v>24025888.871999998</v>
      </c>
      <c r="O99" s="35">
        <f t="shared" si="6"/>
        <v>6547054.7176199993</v>
      </c>
      <c r="P99" s="37">
        <f t="shared" ref="P99:P162" si="8">SUM(L99+M99+N99+O99)</f>
        <v>68234298.177119985</v>
      </c>
    </row>
    <row r="100" spans="1:16" s="51" customFormat="1" x14ac:dyDescent="0.3">
      <c r="A100" s="51">
        <v>21920001</v>
      </c>
      <c r="B100" s="33" t="s">
        <v>148</v>
      </c>
      <c r="C100" s="51" t="s">
        <v>293</v>
      </c>
      <c r="D100" s="51" t="s">
        <v>195</v>
      </c>
      <c r="E100" s="51" t="s">
        <v>184</v>
      </c>
      <c r="F100" s="51" t="s">
        <v>151</v>
      </c>
      <c r="G100" s="51" t="s">
        <v>196</v>
      </c>
      <c r="H100" s="34">
        <v>43191</v>
      </c>
      <c r="I100" s="34">
        <v>44286</v>
      </c>
      <c r="J100" s="53">
        <f>(((7138950))*70%+(7138950))/30/8</f>
        <v>50567.5625</v>
      </c>
      <c r="K100" s="54">
        <v>200</v>
      </c>
      <c r="L100" s="35">
        <f>J100*300</f>
        <v>15170268.75</v>
      </c>
      <c r="M100" s="35">
        <f>((((((7138950))*7%))+(7138950)*70%+((((7138950))*7%))+(7138950))/30/8)*400</f>
        <v>21892780</v>
      </c>
      <c r="N100" s="35">
        <f>((((((7138950))*7%))+(7138950)*70%+((((7138950))*7%))+(7138950))*8%+(((((7138950))*7%))+(7138950)*70%+((((7138950))*7%))+(7138950)))/30/8*400</f>
        <v>23644202.400000002</v>
      </c>
      <c r="O100" s="35">
        <f t="shared" si="6"/>
        <v>6443045.154000001</v>
      </c>
      <c r="P100" s="37">
        <f t="shared" si="8"/>
        <v>67150296.304000005</v>
      </c>
    </row>
    <row r="101" spans="1:16" s="51" customFormat="1" x14ac:dyDescent="0.3">
      <c r="A101" s="51">
        <v>21920002</v>
      </c>
      <c r="B101" s="33" t="s">
        <v>148</v>
      </c>
      <c r="C101" s="51" t="s">
        <v>293</v>
      </c>
      <c r="D101" s="51" t="s">
        <v>195</v>
      </c>
      <c r="E101" s="51" t="s">
        <v>184</v>
      </c>
      <c r="F101" s="51" t="s">
        <v>151</v>
      </c>
      <c r="G101" s="51" t="s">
        <v>197</v>
      </c>
      <c r="H101" s="34">
        <v>43191</v>
      </c>
      <c r="I101" s="34">
        <v>44286</v>
      </c>
      <c r="J101" s="35">
        <f>(((4091639))*70%+(4091639))/30/8</f>
        <v>28982.442916666667</v>
      </c>
      <c r="K101" s="36">
        <v>30</v>
      </c>
      <c r="L101" s="35">
        <f t="shared" ref="L101:L110" si="9">J101*45</f>
        <v>1304209.9312499999</v>
      </c>
      <c r="M101" s="35">
        <f>((((((4091639))*7%))+(4091639)*70%+((((4091639))*7%))+(4091639))/30/8)*60</f>
        <v>1882153.94</v>
      </c>
      <c r="N101" s="35">
        <f>(((((((4091639))*7%))+(4091639)*70%+((((4091639))*7%))+(4091639))/30/8)*400)*8%+(((((((4091639))*7%))+(4091639)*70%+((((4091639))*7%))+(4091639))/30/8)*60)</f>
        <v>2885969.3746666666</v>
      </c>
      <c r="O101" s="35">
        <f t="shared" si="6"/>
        <v>786426.65459666669</v>
      </c>
      <c r="P101" s="37">
        <f t="shared" si="8"/>
        <v>6858759.9005133333</v>
      </c>
    </row>
    <row r="102" spans="1:16" s="51" customFormat="1" x14ac:dyDescent="0.3">
      <c r="A102" s="51">
        <v>21920002</v>
      </c>
      <c r="B102" s="33" t="s">
        <v>148</v>
      </c>
      <c r="C102" s="51" t="s">
        <v>293</v>
      </c>
      <c r="D102" s="51" t="s">
        <v>195</v>
      </c>
      <c r="E102" s="51" t="s">
        <v>184</v>
      </c>
      <c r="F102" s="51" t="s">
        <v>151</v>
      </c>
      <c r="G102" s="51" t="s">
        <v>198</v>
      </c>
      <c r="H102" s="34">
        <v>43191</v>
      </c>
      <c r="I102" s="34">
        <v>44286</v>
      </c>
      <c r="J102" s="53">
        <v>58768</v>
      </c>
      <c r="K102" s="36">
        <v>30</v>
      </c>
      <c r="L102" s="35">
        <f t="shared" si="9"/>
        <v>2644560</v>
      </c>
      <c r="M102" s="35">
        <f>62882*60</f>
        <v>3772920</v>
      </c>
      <c r="N102" s="35">
        <f>67912*60</f>
        <v>4074720</v>
      </c>
      <c r="O102" s="35">
        <f t="shared" si="6"/>
        <v>1110361.2</v>
      </c>
      <c r="P102" s="37">
        <f t="shared" si="8"/>
        <v>11602561.199999999</v>
      </c>
    </row>
    <row r="103" spans="1:16" s="51" customFormat="1" x14ac:dyDescent="0.3">
      <c r="A103" s="51">
        <v>21920001</v>
      </c>
      <c r="B103" s="33" t="s">
        <v>148</v>
      </c>
      <c r="C103" s="51" t="s">
        <v>293</v>
      </c>
      <c r="D103" s="51" t="s">
        <v>195</v>
      </c>
      <c r="E103" s="51" t="s">
        <v>184</v>
      </c>
      <c r="F103" s="51" t="s">
        <v>151</v>
      </c>
      <c r="G103" s="51" t="s">
        <v>199</v>
      </c>
      <c r="H103" s="34">
        <v>43191</v>
      </c>
      <c r="I103" s="34">
        <v>44286</v>
      </c>
      <c r="J103" s="53">
        <v>55921</v>
      </c>
      <c r="K103" s="36">
        <v>30</v>
      </c>
      <c r="L103" s="35">
        <f t="shared" si="9"/>
        <v>2516445</v>
      </c>
      <c r="M103" s="35">
        <f>59835*60</f>
        <v>3590100</v>
      </c>
      <c r="N103" s="35">
        <f>64622*60</f>
        <v>3877320</v>
      </c>
      <c r="O103" s="35">
        <f t="shared" si="6"/>
        <v>1056569.7</v>
      </c>
      <c r="P103" s="37">
        <f t="shared" si="8"/>
        <v>11040434.699999999</v>
      </c>
    </row>
    <row r="104" spans="1:16" s="51" customFormat="1" x14ac:dyDescent="0.3">
      <c r="A104" s="51">
        <v>21920001</v>
      </c>
      <c r="B104" s="33" t="s">
        <v>148</v>
      </c>
      <c r="C104" s="51" t="s">
        <v>293</v>
      </c>
      <c r="D104" s="51" t="s">
        <v>195</v>
      </c>
      <c r="E104" s="51" t="s">
        <v>184</v>
      </c>
      <c r="F104" s="51" t="s">
        <v>151</v>
      </c>
      <c r="G104" s="51" t="s">
        <v>200</v>
      </c>
      <c r="H104" s="34">
        <v>43191</v>
      </c>
      <c r="I104" s="34">
        <v>44286</v>
      </c>
      <c r="J104" s="35">
        <f>(((8971635))*70%+(8971635))/30/8</f>
        <v>63549.081250000003</v>
      </c>
      <c r="K104" s="55">
        <v>30</v>
      </c>
      <c r="L104" s="35">
        <f t="shared" si="9"/>
        <v>2859708.65625</v>
      </c>
      <c r="M104" s="35">
        <f>((((((8971635))*7%))+(8971635)*70%+((((8971635))*7%))+(8971635))/30/8)*60</f>
        <v>4126952.1</v>
      </c>
      <c r="N104" s="35">
        <f>(((((((8971635))*7%))+(8971635)*70%+((((8971635))*7%))+(8971635))/30/8)*400)*8%+(((((((8971635))*7%))+(8971635)*70%+((((8971635))*7%))+(8971635))/30/8)*60)</f>
        <v>6327993.2200000007</v>
      </c>
      <c r="O104" s="35">
        <f t="shared" si="6"/>
        <v>1724378.1524500002</v>
      </c>
      <c r="P104" s="37">
        <f t="shared" si="8"/>
        <v>15039032.128700001</v>
      </c>
    </row>
    <row r="105" spans="1:16" s="51" customFormat="1" x14ac:dyDescent="0.3">
      <c r="A105" s="51">
        <v>21920001</v>
      </c>
      <c r="B105" s="33" t="s">
        <v>148</v>
      </c>
      <c r="C105" s="51" t="s">
        <v>293</v>
      </c>
      <c r="D105" s="51" t="s">
        <v>195</v>
      </c>
      <c r="E105" s="51" t="s">
        <v>184</v>
      </c>
      <c r="F105" s="51" t="s">
        <v>151</v>
      </c>
      <c r="G105" s="51" t="s">
        <v>201</v>
      </c>
      <c r="H105" s="34">
        <v>43191</v>
      </c>
      <c r="I105" s="34">
        <v>44286</v>
      </c>
      <c r="J105" s="35">
        <f>(((9409599))*70%+(9409599))/30/8</f>
        <v>66651.326249999998</v>
      </c>
      <c r="K105" s="38">
        <v>30</v>
      </c>
      <c r="L105" s="35">
        <f t="shared" si="9"/>
        <v>2999309.6812499999</v>
      </c>
      <c r="M105" s="35">
        <f>((((((9409599))*7%))+(9409599)*70%+((((9409599))*7%))+(9409599))/30/8)*60</f>
        <v>4328415.54</v>
      </c>
      <c r="N105" s="35">
        <f>(((((((9409599))*7%))+(9409599)*70%+((((9409599))*7%))+(9409599))/30/8)*400)*8%+(((((((9409599))*7%))+(9409599)*70%+((((9409599))*7%))+(9409599))/30/8)*60)</f>
        <v>6636903.8279999997</v>
      </c>
      <c r="O105" s="35">
        <f t="shared" si="6"/>
        <v>1808556.2931299999</v>
      </c>
      <c r="P105" s="37">
        <f t="shared" si="8"/>
        <v>15773185.342379998</v>
      </c>
    </row>
    <row r="106" spans="1:16" s="51" customFormat="1" x14ac:dyDescent="0.3">
      <c r="A106" s="51" t="s">
        <v>202</v>
      </c>
      <c r="B106" s="51" t="s">
        <v>203</v>
      </c>
      <c r="C106" s="51" t="s">
        <v>293</v>
      </c>
      <c r="D106" s="51" t="s">
        <v>195</v>
      </c>
      <c r="E106" s="51" t="s">
        <v>184</v>
      </c>
      <c r="F106" s="51" t="s">
        <v>151</v>
      </c>
      <c r="G106" s="51" t="s">
        <v>204</v>
      </c>
      <c r="H106" s="34">
        <v>43191</v>
      </c>
      <c r="I106" s="34">
        <v>44286</v>
      </c>
      <c r="J106" s="35">
        <f>(((4405752))*70%+(4405752))/30/8</f>
        <v>31207.41</v>
      </c>
      <c r="K106" s="55">
        <v>30</v>
      </c>
      <c r="L106" s="35">
        <f t="shared" si="9"/>
        <v>1404333.45</v>
      </c>
      <c r="M106" s="35">
        <f>((((((4405752))*7%))+(4405752)*70%+((((4405752))*7%))+(4405752))/30/8)*60</f>
        <v>2026645.92</v>
      </c>
      <c r="N106" s="35">
        <f>(((((((4405752))*7%))+(4405752)*70%+((((4405752))*7%))+(4405752))/30/8)*400)*8%+(((((((4405752))*7%))+(4405752)*70%+((((4405752))*7%))+(4405752))/30/8)*60)</f>
        <v>3107523.7439999999</v>
      </c>
      <c r="O106" s="35">
        <f t="shared" si="6"/>
        <v>846800.22023999994</v>
      </c>
      <c r="P106" s="37">
        <f t="shared" si="8"/>
        <v>7385303.3342399998</v>
      </c>
    </row>
    <row r="107" spans="1:16" s="51" customFormat="1" x14ac:dyDescent="0.3">
      <c r="A107" s="51">
        <v>21920002</v>
      </c>
      <c r="B107" s="33" t="s">
        <v>148</v>
      </c>
      <c r="C107" s="51" t="s">
        <v>293</v>
      </c>
      <c r="D107" s="51" t="s">
        <v>195</v>
      </c>
      <c r="E107" s="51" t="s">
        <v>184</v>
      </c>
      <c r="F107" s="51" t="s">
        <v>151</v>
      </c>
      <c r="G107" s="51" t="s">
        <v>205</v>
      </c>
      <c r="H107" s="34">
        <v>43191</v>
      </c>
      <c r="I107" s="34">
        <v>44286</v>
      </c>
      <c r="J107" s="35">
        <f>(((2209675))*70%+(2209675))/30/8</f>
        <v>15651.864583333334</v>
      </c>
      <c r="K107" s="55">
        <v>30</v>
      </c>
      <c r="L107" s="35">
        <f t="shared" si="9"/>
        <v>704333.90625</v>
      </c>
      <c r="M107" s="35">
        <f>((((((2209675))*7%))+(2209675)*70%+((((2209675))*7%))+(2209675))/30/8)*60</f>
        <v>1016450.5</v>
      </c>
      <c r="N107" s="35">
        <f>(((((((2209675))*7%))+(2209675)*70%+((((2209675))*7%))+(2209675))/30/8)*400)*8%+(((((((2209675))*7%))+(2209675)*70%+((((2209675))*7%))+(2209675))/30/8)*60)</f>
        <v>1558557.4333333333</v>
      </c>
      <c r="O107" s="35">
        <f t="shared" si="6"/>
        <v>424706.90058333334</v>
      </c>
      <c r="P107" s="37">
        <f t="shared" si="8"/>
        <v>3704048.7401666669</v>
      </c>
    </row>
    <row r="108" spans="1:16" s="51" customFormat="1" x14ac:dyDescent="0.3">
      <c r="A108" s="51">
        <v>21920002</v>
      </c>
      <c r="B108" s="33" t="s">
        <v>148</v>
      </c>
      <c r="C108" s="51" t="s">
        <v>293</v>
      </c>
      <c r="D108" s="51" t="s">
        <v>195</v>
      </c>
      <c r="E108" s="51" t="s">
        <v>184</v>
      </c>
      <c r="F108" s="51" t="s">
        <v>151</v>
      </c>
      <c r="G108" s="51" t="s">
        <v>206</v>
      </c>
      <c r="H108" s="34">
        <v>43191</v>
      </c>
      <c r="I108" s="34">
        <v>44286</v>
      </c>
      <c r="J108" s="53">
        <v>34160</v>
      </c>
      <c r="K108" s="55">
        <v>30</v>
      </c>
      <c r="L108" s="35">
        <f t="shared" si="9"/>
        <v>1537200</v>
      </c>
      <c r="M108" s="35">
        <f>36551*60</f>
        <v>2193060</v>
      </c>
      <c r="N108" s="35">
        <f>39475*60</f>
        <v>2368500</v>
      </c>
      <c r="O108" s="35">
        <f t="shared" si="6"/>
        <v>645416.25</v>
      </c>
      <c r="P108" s="37">
        <f t="shared" si="8"/>
        <v>6744176.25</v>
      </c>
    </row>
    <row r="109" spans="1:16" s="51" customFormat="1" x14ac:dyDescent="0.3">
      <c r="A109" s="51">
        <v>21940007</v>
      </c>
      <c r="B109" s="51" t="s">
        <v>207</v>
      </c>
      <c r="C109" s="51" t="s">
        <v>293</v>
      </c>
      <c r="D109" s="51" t="s">
        <v>195</v>
      </c>
      <c r="E109" s="51" t="s">
        <v>184</v>
      </c>
      <c r="F109" s="51" t="s">
        <v>151</v>
      </c>
      <c r="G109" s="56" t="s">
        <v>208</v>
      </c>
      <c r="H109" s="34">
        <v>43191</v>
      </c>
      <c r="I109" s="34">
        <v>44286</v>
      </c>
      <c r="J109" s="53">
        <v>8500</v>
      </c>
      <c r="K109" s="55">
        <v>30</v>
      </c>
      <c r="L109" s="35">
        <f t="shared" si="9"/>
        <v>382500</v>
      </c>
      <c r="M109" s="35">
        <f>(J109*7%+J109)*60</f>
        <v>545700</v>
      </c>
      <c r="N109" s="35">
        <f>(9095*8%+9095)*60</f>
        <v>589356</v>
      </c>
      <c r="O109" s="35">
        <f t="shared" si="6"/>
        <v>160599.51</v>
      </c>
      <c r="P109" s="37">
        <f t="shared" si="8"/>
        <v>1678155.51</v>
      </c>
    </row>
    <row r="110" spans="1:16" s="51" customFormat="1" x14ac:dyDescent="0.3">
      <c r="A110" s="51" t="s">
        <v>202</v>
      </c>
      <c r="B110" s="51" t="s">
        <v>203</v>
      </c>
      <c r="C110" s="51" t="s">
        <v>293</v>
      </c>
      <c r="D110" s="51" t="s">
        <v>195</v>
      </c>
      <c r="E110" s="51" t="s">
        <v>184</v>
      </c>
      <c r="F110" s="51" t="s">
        <v>151</v>
      </c>
      <c r="G110" s="51" t="s">
        <v>209</v>
      </c>
      <c r="H110" s="34">
        <v>43191</v>
      </c>
      <c r="I110" s="34">
        <v>44286</v>
      </c>
      <c r="J110" s="35">
        <f>(((4016850))*70%+(4016850))/30/8</f>
        <v>28452.6875</v>
      </c>
      <c r="K110" s="55">
        <v>30</v>
      </c>
      <c r="L110" s="35">
        <f t="shared" si="9"/>
        <v>1280370.9375</v>
      </c>
      <c r="M110" s="35">
        <f>((((((4016850))*7%))+(4016850)*70%+((((4016850))*7%))+(4016850))/30/8)*60</f>
        <v>1847751</v>
      </c>
      <c r="N110" s="35">
        <f>(((((((4016850))*7%))+(4016850)*70%+((((4016850))*7%))+(4016850))/30/8)*400)*8%+(((((((4016850))*7%))+(4016850)*70%+((((4016850))*7%))+(4016850))/30/8)*60)</f>
        <v>2833218.2</v>
      </c>
      <c r="O110" s="35">
        <f t="shared" si="6"/>
        <v>772051.9595</v>
      </c>
      <c r="P110" s="37">
        <f t="shared" si="8"/>
        <v>6733392.0970000001</v>
      </c>
    </row>
    <row r="111" spans="1:16" s="51" customFormat="1" x14ac:dyDescent="0.3">
      <c r="A111" s="51">
        <v>21940001</v>
      </c>
      <c r="B111" s="33" t="s">
        <v>164</v>
      </c>
      <c r="C111" s="51" t="s">
        <v>293</v>
      </c>
      <c r="D111" s="51" t="s">
        <v>210</v>
      </c>
      <c r="E111" s="51" t="s">
        <v>184</v>
      </c>
      <c r="F111" s="51" t="s">
        <v>211</v>
      </c>
      <c r="G111" s="51" t="s">
        <v>212</v>
      </c>
      <c r="H111" s="52">
        <v>43191</v>
      </c>
      <c r="I111" s="34">
        <v>44286</v>
      </c>
      <c r="J111" s="53">
        <v>35000000</v>
      </c>
      <c r="K111" s="54"/>
      <c r="L111" s="35">
        <v>35000000</v>
      </c>
      <c r="M111" s="35">
        <v>37450000</v>
      </c>
      <c r="N111" s="35">
        <v>40446000</v>
      </c>
      <c r="O111" s="35">
        <f t="shared" si="6"/>
        <v>11021535</v>
      </c>
      <c r="P111" s="37">
        <f t="shared" si="8"/>
        <v>123917535</v>
      </c>
    </row>
    <row r="112" spans="1:16" s="51" customFormat="1" ht="32.25" customHeight="1" x14ac:dyDescent="0.3">
      <c r="A112" s="51">
        <v>21920001</v>
      </c>
      <c r="B112" s="33" t="s">
        <v>148</v>
      </c>
      <c r="C112" s="51" t="s">
        <v>293</v>
      </c>
      <c r="D112" s="51" t="s">
        <v>213</v>
      </c>
      <c r="E112" s="51" t="s">
        <v>184</v>
      </c>
      <c r="F112" s="51" t="s">
        <v>151</v>
      </c>
      <c r="G112" s="57" t="s">
        <v>214</v>
      </c>
      <c r="H112" s="52">
        <v>43191</v>
      </c>
      <c r="I112" s="52">
        <v>43646</v>
      </c>
      <c r="J112" s="35">
        <f>(((10866162))*70%+(10866162))/30/8</f>
        <v>76968.647499999992</v>
      </c>
      <c r="K112" s="54">
        <v>450</v>
      </c>
      <c r="L112" s="35">
        <f>J112*675</f>
        <v>51953837.062499993</v>
      </c>
      <c r="M112" s="35">
        <f>((((((10866162))*7%))+(10866162)*70%+((((10866162))*7%))+(10866162))/30/8)*900</f>
        <v>74976517.799999997</v>
      </c>
      <c r="N112" s="35">
        <f>(((((((10866162))*7%))+(10866162)*70%+((((10866162))*7%))+(10866162))/30/8)*400)*8%+(((((((10866162))*7%))+(10866162)*70%+((((10866162))*7%))+(10866162))/30/8)*900)</f>
        <v>77642349.544</v>
      </c>
      <c r="O112" s="35"/>
      <c r="P112" s="37">
        <f t="shared" si="8"/>
        <v>204572704.40649998</v>
      </c>
    </row>
    <row r="113" spans="1:16" s="51" customFormat="1" ht="32.25" customHeight="1" x14ac:dyDescent="0.3">
      <c r="A113" s="51">
        <v>21930003</v>
      </c>
      <c r="B113" s="33" t="s">
        <v>215</v>
      </c>
      <c r="C113" s="51" t="s">
        <v>293</v>
      </c>
      <c r="D113" s="51" t="s">
        <v>213</v>
      </c>
      <c r="E113" s="51" t="s">
        <v>184</v>
      </c>
      <c r="F113" s="51" t="s">
        <v>151</v>
      </c>
      <c r="G113" s="57" t="s">
        <v>216</v>
      </c>
      <c r="H113" s="52">
        <v>43191</v>
      </c>
      <c r="I113" s="52">
        <v>44286</v>
      </c>
      <c r="J113" s="53">
        <v>80000000</v>
      </c>
      <c r="K113" s="54">
        <v>1</v>
      </c>
      <c r="L113" s="53">
        <v>60000000</v>
      </c>
      <c r="M113" s="53">
        <f>80000000</f>
        <v>80000000</v>
      </c>
      <c r="N113" s="53">
        <v>80000000</v>
      </c>
      <c r="O113" s="58">
        <v>80000000</v>
      </c>
      <c r="P113" s="37">
        <f t="shared" si="8"/>
        <v>300000000</v>
      </c>
    </row>
    <row r="114" spans="1:16" s="51" customFormat="1" x14ac:dyDescent="0.3">
      <c r="A114" s="51">
        <v>21920001</v>
      </c>
      <c r="B114" s="33" t="s">
        <v>148</v>
      </c>
      <c r="C114" s="51" t="s">
        <v>293</v>
      </c>
      <c r="D114" s="51" t="s">
        <v>217</v>
      </c>
      <c r="E114" s="51" t="s">
        <v>184</v>
      </c>
      <c r="F114" s="51" t="s">
        <v>151</v>
      </c>
      <c r="G114" s="51" t="s">
        <v>218</v>
      </c>
      <c r="H114" s="52">
        <v>43191</v>
      </c>
      <c r="I114" s="34">
        <v>44286</v>
      </c>
      <c r="J114" s="53">
        <f>(((6739849))*70%+(6739849))/30/8</f>
        <v>47740.597083333334</v>
      </c>
      <c r="K114" s="54">
        <v>250</v>
      </c>
      <c r="L114" s="53">
        <f>J114*375</f>
        <v>17902723.90625</v>
      </c>
      <c r="M114" s="53">
        <f>((((((6739849))*7%))+(6739849)*70%+((((6739849))*7%))+(6739849))/30/8)*500</f>
        <v>25836087.833333336</v>
      </c>
      <c r="N114" s="35">
        <f>(((((((6739849))*7%))+(6739849)*70%+((((6739849))*7%))+(6739849))/30/8)*400)*8%+(((((((6739849))*7%))+(6739849)*70%+((((6739849))*7%))+(6739849))/30/8)*500)</f>
        <v>27489597.45466667</v>
      </c>
      <c r="O114" s="35">
        <f t="shared" ref="O114:O129" si="10">(N114*9%+N114)/4*1</f>
        <v>7490915.3063966678</v>
      </c>
      <c r="P114" s="37">
        <f t="shared" si="8"/>
        <v>78719324.500646666</v>
      </c>
    </row>
    <row r="115" spans="1:16" s="51" customFormat="1" ht="33" x14ac:dyDescent="0.3">
      <c r="A115" s="51">
        <v>21930003</v>
      </c>
      <c r="B115" s="33" t="s">
        <v>215</v>
      </c>
      <c r="C115" s="51" t="s">
        <v>293</v>
      </c>
      <c r="D115" s="51" t="s">
        <v>217</v>
      </c>
      <c r="E115" s="51" t="s">
        <v>184</v>
      </c>
      <c r="F115" s="51" t="s">
        <v>219</v>
      </c>
      <c r="G115" s="56" t="s">
        <v>220</v>
      </c>
      <c r="H115" s="52">
        <v>43191</v>
      </c>
      <c r="I115" s="34">
        <v>44286</v>
      </c>
      <c r="J115" s="53">
        <v>18000000</v>
      </c>
      <c r="K115" s="54" t="s">
        <v>186</v>
      </c>
      <c r="L115" s="53">
        <v>18000000</v>
      </c>
      <c r="M115" s="53">
        <f>L115*7%+L115</f>
        <v>19260000</v>
      </c>
      <c r="N115" s="35">
        <f>M115*8%+M115</f>
        <v>20800800</v>
      </c>
      <c r="O115" s="35">
        <f t="shared" si="10"/>
        <v>5668218</v>
      </c>
      <c r="P115" s="37">
        <f t="shared" si="8"/>
        <v>63729018</v>
      </c>
    </row>
    <row r="116" spans="1:16" s="51" customFormat="1" x14ac:dyDescent="0.3">
      <c r="A116" s="51">
        <v>21920001</v>
      </c>
      <c r="B116" s="33" t="s">
        <v>148</v>
      </c>
      <c r="C116" s="51" t="s">
        <v>293</v>
      </c>
      <c r="D116" s="51" t="s">
        <v>221</v>
      </c>
      <c r="E116" s="51" t="s">
        <v>184</v>
      </c>
      <c r="F116" s="51" t="s">
        <v>151</v>
      </c>
      <c r="G116" s="51" t="s">
        <v>222</v>
      </c>
      <c r="H116" s="52">
        <v>43191</v>
      </c>
      <c r="I116" s="34">
        <v>44286</v>
      </c>
      <c r="J116" s="35">
        <f>(((21787))*65%+(21787))</f>
        <v>35948.550000000003</v>
      </c>
      <c r="K116" s="54">
        <v>125</v>
      </c>
      <c r="L116" s="35">
        <f>J116*187</f>
        <v>6722378.8500000006</v>
      </c>
      <c r="M116" s="35">
        <f>39630*250</f>
        <v>9907500</v>
      </c>
      <c r="N116" s="35">
        <f>42801*250</f>
        <v>10700250</v>
      </c>
      <c r="O116" s="35">
        <f t="shared" si="10"/>
        <v>2915818.125</v>
      </c>
      <c r="P116" s="37">
        <f t="shared" si="8"/>
        <v>30245946.975000001</v>
      </c>
    </row>
    <row r="117" spans="1:16" s="51" customFormat="1" ht="49.5" x14ac:dyDescent="0.3">
      <c r="A117" s="51">
        <v>21940001</v>
      </c>
      <c r="B117" s="33" t="s">
        <v>164</v>
      </c>
      <c r="C117" s="51" t="s">
        <v>293</v>
      </c>
      <c r="D117" s="51" t="s">
        <v>221</v>
      </c>
      <c r="E117" s="51" t="s">
        <v>184</v>
      </c>
      <c r="F117" s="51" t="s">
        <v>223</v>
      </c>
      <c r="G117" s="56" t="s">
        <v>224</v>
      </c>
      <c r="H117" s="52">
        <v>43191</v>
      </c>
      <c r="I117" s="34">
        <v>44286</v>
      </c>
      <c r="J117" s="35">
        <v>1</v>
      </c>
      <c r="K117" s="54">
        <v>1</v>
      </c>
      <c r="L117" s="35">
        <v>15000000</v>
      </c>
      <c r="M117" s="35">
        <v>16050000</v>
      </c>
      <c r="N117" s="35">
        <v>17334000</v>
      </c>
      <c r="O117" s="35">
        <f t="shared" si="10"/>
        <v>4723515</v>
      </c>
      <c r="P117" s="37">
        <f t="shared" si="8"/>
        <v>53107515</v>
      </c>
    </row>
    <row r="118" spans="1:16" s="51" customFormat="1" x14ac:dyDescent="0.3">
      <c r="A118" s="51">
        <v>21920001</v>
      </c>
      <c r="B118" s="33" t="s">
        <v>148</v>
      </c>
      <c r="C118" s="51" t="s">
        <v>293</v>
      </c>
      <c r="D118" s="51" t="s">
        <v>225</v>
      </c>
      <c r="E118" s="51" t="s">
        <v>184</v>
      </c>
      <c r="F118" s="51" t="s">
        <v>151</v>
      </c>
      <c r="G118" s="51" t="s">
        <v>222</v>
      </c>
      <c r="H118" s="52">
        <v>43191</v>
      </c>
      <c r="I118" s="34">
        <v>44286</v>
      </c>
      <c r="J118" s="35">
        <f>(((21787))*65%+(21787))</f>
        <v>35948.550000000003</v>
      </c>
      <c r="K118" s="54">
        <v>125</v>
      </c>
      <c r="L118" s="35">
        <f>J118*187</f>
        <v>6722378.8500000006</v>
      </c>
      <c r="M118" s="35">
        <f>39630*250</f>
        <v>9907500</v>
      </c>
      <c r="N118" s="35">
        <f>42801*250</f>
        <v>10700250</v>
      </c>
      <c r="O118" s="35">
        <f t="shared" si="10"/>
        <v>2915818.125</v>
      </c>
      <c r="P118" s="37">
        <f t="shared" si="8"/>
        <v>30245946.975000001</v>
      </c>
    </row>
    <row r="119" spans="1:16" s="51" customFormat="1" x14ac:dyDescent="0.3">
      <c r="A119" s="51">
        <v>21940001</v>
      </c>
      <c r="B119" s="33" t="s">
        <v>164</v>
      </c>
      <c r="C119" s="51" t="s">
        <v>293</v>
      </c>
      <c r="D119" s="51" t="s">
        <v>225</v>
      </c>
      <c r="E119" s="51" t="s">
        <v>184</v>
      </c>
      <c r="F119" s="51" t="s">
        <v>226</v>
      </c>
      <c r="G119" s="51" t="s">
        <v>227</v>
      </c>
      <c r="H119" s="52">
        <v>43191</v>
      </c>
      <c r="I119" s="34">
        <v>44286</v>
      </c>
      <c r="J119" s="53">
        <v>1</v>
      </c>
      <c r="K119" s="54">
        <v>1</v>
      </c>
      <c r="L119" s="53">
        <v>21000000</v>
      </c>
      <c r="M119" s="53">
        <f>L119*7%+L119</f>
        <v>22470000</v>
      </c>
      <c r="N119" s="58">
        <f>M119*8%+M119</f>
        <v>24267600</v>
      </c>
      <c r="O119" s="35">
        <f t="shared" si="10"/>
        <v>6612921</v>
      </c>
      <c r="P119" s="37">
        <f t="shared" si="8"/>
        <v>74350521</v>
      </c>
    </row>
    <row r="120" spans="1:16" s="51" customFormat="1" x14ac:dyDescent="0.3">
      <c r="A120" s="51">
        <v>21930003</v>
      </c>
      <c r="B120" s="33" t="s">
        <v>215</v>
      </c>
      <c r="C120" s="51" t="s">
        <v>293</v>
      </c>
      <c r="D120" s="51" t="s">
        <v>225</v>
      </c>
      <c r="E120" s="51" t="s">
        <v>184</v>
      </c>
      <c r="F120" s="51" t="s">
        <v>226</v>
      </c>
      <c r="G120" s="51" t="s">
        <v>228</v>
      </c>
      <c r="H120" s="52">
        <v>43191</v>
      </c>
      <c r="I120" s="34">
        <v>44286</v>
      </c>
      <c r="J120" s="53">
        <v>1</v>
      </c>
      <c r="K120" s="54">
        <v>1</v>
      </c>
      <c r="L120" s="53">
        <v>20000000</v>
      </c>
      <c r="M120" s="53">
        <f>L120*7%+L120</f>
        <v>21400000</v>
      </c>
      <c r="N120" s="58">
        <f>M120*8%+M120</f>
        <v>23112000</v>
      </c>
      <c r="O120" s="35">
        <f t="shared" si="10"/>
        <v>6298020</v>
      </c>
      <c r="P120" s="37">
        <f t="shared" si="8"/>
        <v>70810020</v>
      </c>
    </row>
    <row r="121" spans="1:16" s="51" customFormat="1" x14ac:dyDescent="0.3">
      <c r="A121" s="51">
        <v>21960001</v>
      </c>
      <c r="B121" s="33" t="s">
        <v>148</v>
      </c>
      <c r="C121" s="51" t="s">
        <v>293</v>
      </c>
      <c r="D121" s="51" t="s">
        <v>229</v>
      </c>
      <c r="E121" s="51" t="s">
        <v>184</v>
      </c>
      <c r="F121" s="51" t="s">
        <v>151</v>
      </c>
      <c r="G121" s="51" t="s">
        <v>230</v>
      </c>
      <c r="H121" s="52">
        <v>43191</v>
      </c>
      <c r="I121" s="34">
        <v>44286</v>
      </c>
      <c r="J121" s="53">
        <f>(((5143655))*60%+(5143655))</f>
        <v>8229848</v>
      </c>
      <c r="K121" s="54">
        <v>200</v>
      </c>
      <c r="L121" s="53">
        <f>((((5143655*60%+5143655))/4)*1)*9</f>
        <v>18517158</v>
      </c>
      <c r="M121" s="53">
        <f>(((((5143655*60%+5143655))/4)*1)*12)*7%+(((((5143655*60%+5143655))/4)*1)*12)</f>
        <v>26417812.079999998</v>
      </c>
      <c r="N121" s="53">
        <f>(((((5143655*60%+5143655))/4)*1)*12)*7%+(((((5143655*60%+5143655))/4)*1)*12)*8%+(((((5143655*60%+5143655))/4)*1)*12)*7%+(((((5143655*60%+5143655))/4)*1)*12)</f>
        <v>30121243.68</v>
      </c>
      <c r="O121" s="35">
        <f t="shared" si="10"/>
        <v>8208038.9028000003</v>
      </c>
      <c r="P121" s="37">
        <f t="shared" si="8"/>
        <v>83264252.662799984</v>
      </c>
    </row>
    <row r="122" spans="1:16" s="51" customFormat="1" x14ac:dyDescent="0.3">
      <c r="A122" s="51">
        <v>21940001</v>
      </c>
      <c r="B122" s="33" t="s">
        <v>164</v>
      </c>
      <c r="C122" s="51" t="s">
        <v>293</v>
      </c>
      <c r="D122" s="51" t="s">
        <v>229</v>
      </c>
      <c r="E122" s="51" t="s">
        <v>184</v>
      </c>
      <c r="F122" s="51" t="s">
        <v>151</v>
      </c>
      <c r="G122" s="51" t="s">
        <v>231</v>
      </c>
      <c r="H122" s="52">
        <v>43191</v>
      </c>
      <c r="I122" s="34">
        <v>44286</v>
      </c>
      <c r="J122" s="53">
        <v>1</v>
      </c>
      <c r="K122" s="54">
        <v>1</v>
      </c>
      <c r="L122" s="53">
        <f>42867000+22000000</f>
        <v>64867000</v>
      </c>
      <c r="M122" s="53">
        <f>(42867000+22000000)*7%+(42867000+22000000)</f>
        <v>69407690</v>
      </c>
      <c r="N122" s="53">
        <f>((42867000+22000000)*7%+(42867000+22000000))*8%+((42867000+22000000)*7%+(42867000+22000000))</f>
        <v>74960305.200000003</v>
      </c>
      <c r="O122" s="35">
        <f t="shared" si="10"/>
        <v>20426683.166999999</v>
      </c>
      <c r="P122" s="37">
        <f t="shared" si="8"/>
        <v>229661678.36699998</v>
      </c>
    </row>
    <row r="123" spans="1:16" s="51" customFormat="1" x14ac:dyDescent="0.3">
      <c r="A123" s="51">
        <v>21920001</v>
      </c>
      <c r="B123" s="33" t="s">
        <v>148</v>
      </c>
      <c r="C123" s="51" t="s">
        <v>294</v>
      </c>
      <c r="D123" s="51" t="s">
        <v>232</v>
      </c>
      <c r="E123" s="51" t="s">
        <v>184</v>
      </c>
      <c r="F123" s="51" t="s">
        <v>151</v>
      </c>
      <c r="G123" s="51" t="s">
        <v>233</v>
      </c>
      <c r="H123" s="52">
        <v>43191</v>
      </c>
      <c r="I123" s="34">
        <v>44286</v>
      </c>
      <c r="J123" s="53">
        <f>(((7438651))*70%+(7438651))/30/8</f>
        <v>52690.44458333333</v>
      </c>
      <c r="K123" s="54">
        <v>300</v>
      </c>
      <c r="L123" s="53">
        <f>J123*450</f>
        <v>23710700.0625</v>
      </c>
      <c r="M123" s="53">
        <f>23710700*7%+23710700</f>
        <v>25370449</v>
      </c>
      <c r="N123" s="53">
        <f>25370449*8%+25370449</f>
        <v>27400084.920000002</v>
      </c>
      <c r="O123" s="35">
        <f t="shared" si="10"/>
        <v>7466523.1407000003</v>
      </c>
      <c r="P123" s="37">
        <f t="shared" si="8"/>
        <v>83947757.123199999</v>
      </c>
    </row>
    <row r="124" spans="1:16" s="51" customFormat="1" x14ac:dyDescent="0.3">
      <c r="A124" s="51">
        <v>21940001</v>
      </c>
      <c r="B124" s="33" t="s">
        <v>164</v>
      </c>
      <c r="C124" s="51" t="s">
        <v>294</v>
      </c>
      <c r="D124" s="51" t="s">
        <v>232</v>
      </c>
      <c r="E124" s="51" t="s">
        <v>184</v>
      </c>
      <c r="F124" s="51" t="s">
        <v>223</v>
      </c>
      <c r="G124" s="51" t="s">
        <v>233</v>
      </c>
      <c r="H124" s="52">
        <v>43191</v>
      </c>
      <c r="I124" s="34">
        <v>44286</v>
      </c>
      <c r="J124" s="53">
        <v>1</v>
      </c>
      <c r="K124" s="54">
        <v>1</v>
      </c>
      <c r="L124" s="53">
        <v>2000000</v>
      </c>
      <c r="M124" s="53">
        <f>2000000*7%+2000000</f>
        <v>2140000</v>
      </c>
      <c r="N124" s="53">
        <f>(2000000*7%+2000000)*8%+(2000000*7%+2000000)</f>
        <v>2311200</v>
      </c>
      <c r="O124" s="35">
        <f t="shared" si="10"/>
        <v>629802</v>
      </c>
      <c r="P124" s="37">
        <f t="shared" si="8"/>
        <v>7081002</v>
      </c>
    </row>
    <row r="125" spans="1:16" s="33" customFormat="1" ht="15" customHeight="1" x14ac:dyDescent="0.25">
      <c r="A125" s="63">
        <v>21920001</v>
      </c>
      <c r="B125" s="33" t="s">
        <v>148</v>
      </c>
      <c r="C125" s="33" t="s">
        <v>298</v>
      </c>
      <c r="D125" s="33" t="s">
        <v>235</v>
      </c>
      <c r="E125" s="33" t="s">
        <v>236</v>
      </c>
      <c r="F125" s="33" t="s">
        <v>151</v>
      </c>
      <c r="G125" s="33" t="s">
        <v>170</v>
      </c>
      <c r="H125" s="52">
        <v>43191</v>
      </c>
      <c r="I125" s="34">
        <v>44286</v>
      </c>
      <c r="J125" s="35">
        <f>(((8752653))*70%+(8752653))/30/8</f>
        <v>61997.958749999998</v>
      </c>
      <c r="K125" s="38">
        <v>45</v>
      </c>
      <c r="L125" s="35">
        <f>J125*67.5</f>
        <v>4184862.2156249997</v>
      </c>
      <c r="M125" s="35">
        <f>((((((8752653))*7%))+(8752653)*70%+((((8752653))*7%))+(8752653))/30/8)*90</f>
        <v>6039330.5699999994</v>
      </c>
      <c r="N125" s="35">
        <f>((((((8752653))*7%))+(8752653)*70%+((((8752653))*7%))+(8752653))*8%+(((((8752653))*7%))+(8752653)*70%+((((8752653))*7%))+(8752653)))/30/8*90</f>
        <v>6522477.0155999996</v>
      </c>
      <c r="O125" s="35">
        <f t="shared" si="10"/>
        <v>1777374.9867509999</v>
      </c>
      <c r="P125" s="37">
        <f t="shared" si="8"/>
        <v>18524044.787976</v>
      </c>
    </row>
    <row r="126" spans="1:16" s="33" customFormat="1" ht="15" x14ac:dyDescent="0.25">
      <c r="A126" s="63">
        <v>21960001</v>
      </c>
      <c r="B126" s="33" t="s">
        <v>148</v>
      </c>
      <c r="C126" s="33" t="s">
        <v>298</v>
      </c>
      <c r="D126" s="33" t="s">
        <v>237</v>
      </c>
      <c r="E126" s="33" t="s">
        <v>236</v>
      </c>
      <c r="F126" s="33" t="s">
        <v>151</v>
      </c>
      <c r="G126" s="64" t="s">
        <v>238</v>
      </c>
      <c r="H126" s="52">
        <v>43191</v>
      </c>
      <c r="I126" s="34">
        <v>44286</v>
      </c>
      <c r="J126" s="35">
        <f>(((3473299))*60%+(3473299))/30/8</f>
        <v>23155.326666666668</v>
      </c>
      <c r="K126" s="38">
        <v>72</v>
      </c>
      <c r="L126" s="35">
        <f>(J126)*72/4*3</f>
        <v>1250387.6400000001</v>
      </c>
      <c r="M126" s="35">
        <f>J126*8%+23155*144</f>
        <v>3336172.4261333332</v>
      </c>
      <c r="N126" s="35">
        <f>(K126*8%+23155)*8%+(K126*8%+23155)*144</f>
        <v>3337002.3007999999</v>
      </c>
      <c r="O126" s="35">
        <f t="shared" si="10"/>
        <v>909333.12696799997</v>
      </c>
      <c r="P126" s="37">
        <f t="shared" si="8"/>
        <v>8832895.4939013328</v>
      </c>
    </row>
    <row r="127" spans="1:16" s="33" customFormat="1" ht="15" x14ac:dyDescent="0.25">
      <c r="A127" s="61">
        <v>21920002</v>
      </c>
      <c r="B127" s="33" t="s">
        <v>148</v>
      </c>
      <c r="C127" s="33" t="s">
        <v>298</v>
      </c>
      <c r="D127" s="33" t="s">
        <v>239</v>
      </c>
      <c r="E127" s="33" t="s">
        <v>236</v>
      </c>
      <c r="F127" s="33" t="s">
        <v>151</v>
      </c>
      <c r="G127" s="64" t="s">
        <v>240</v>
      </c>
      <c r="H127" s="52">
        <v>43191</v>
      </c>
      <c r="I127" s="34">
        <v>44286</v>
      </c>
      <c r="J127" s="35">
        <f>(((1618162))*70%+(1618162))/30/8</f>
        <v>11461.980833333333</v>
      </c>
      <c r="K127" s="38">
        <v>125</v>
      </c>
      <c r="L127" s="35">
        <f>J127*188</f>
        <v>2154852.3966666665</v>
      </c>
      <c r="M127" s="35">
        <f>((((((1618162))*7%))+(1618162)*70%+((((1618162))*7%))+(1618162))/30/8)*150</f>
        <v>1860886.3</v>
      </c>
      <c r="N127" s="35">
        <f>((((((1618162))*7%))+(1618162)*70%+((((1618162))*7%))+(1618162))*8%+(((((1618162))*7%))+(1618162)*70%+((((1618162))*7%))+(1618162)))/30/8*150</f>
        <v>2009757.2039999999</v>
      </c>
      <c r="O127" s="35">
        <f t="shared" si="10"/>
        <v>547658.83808999998</v>
      </c>
      <c r="P127" s="37">
        <f t="shared" si="8"/>
        <v>6573154.738756666</v>
      </c>
    </row>
    <row r="128" spans="1:16" s="33" customFormat="1" ht="15" x14ac:dyDescent="0.25">
      <c r="A128" s="61">
        <v>21920002</v>
      </c>
      <c r="B128" s="33" t="s">
        <v>148</v>
      </c>
      <c r="C128" s="33" t="s">
        <v>298</v>
      </c>
      <c r="D128" s="33" t="s">
        <v>241</v>
      </c>
      <c r="E128" s="33" t="s">
        <v>236</v>
      </c>
      <c r="F128" s="33" t="s">
        <v>151</v>
      </c>
      <c r="G128" s="64" t="s">
        <v>240</v>
      </c>
      <c r="H128" s="52">
        <v>43191</v>
      </c>
      <c r="I128" s="34">
        <v>44286</v>
      </c>
      <c r="J128" s="35">
        <f>(((1618162))*70%+(1618162))/30/8</f>
        <v>11461.980833333333</v>
      </c>
      <c r="K128" s="38">
        <v>125</v>
      </c>
      <c r="L128" s="35">
        <f>J128*188</f>
        <v>2154852.3966666665</v>
      </c>
      <c r="M128" s="35">
        <f>((((((1618162))*7%))+(1618162)*70%+((((1618162))*7%))+(1618162))/30/8)*150</f>
        <v>1860886.3</v>
      </c>
      <c r="N128" s="35">
        <f>((((((1618162))*7%))+(1618162)*70%+((((1618162))*7%))+(1618162))*8%+(((((1618162))*7%))+(1618162)*70%+((((1618162))*7%))+(1618162)))/30/8*150</f>
        <v>2009757.2039999999</v>
      </c>
      <c r="O128" s="35">
        <f t="shared" si="10"/>
        <v>547658.83808999998</v>
      </c>
      <c r="P128" s="37">
        <f t="shared" si="8"/>
        <v>6573154.738756666</v>
      </c>
    </row>
    <row r="129" spans="1:16" s="33" customFormat="1" ht="15" x14ac:dyDescent="0.25">
      <c r="A129" s="61">
        <v>21920002</v>
      </c>
      <c r="B129" s="33" t="s">
        <v>148</v>
      </c>
      <c r="C129" s="33" t="s">
        <v>298</v>
      </c>
      <c r="D129" s="33" t="s">
        <v>242</v>
      </c>
      <c r="E129" s="33" t="s">
        <v>236</v>
      </c>
      <c r="F129" s="33" t="s">
        <v>151</v>
      </c>
      <c r="G129" s="64" t="s">
        <v>243</v>
      </c>
      <c r="H129" s="52">
        <v>43191</v>
      </c>
      <c r="I129" s="34">
        <v>44286</v>
      </c>
      <c r="J129" s="35">
        <f>(((24901))*65%+(24901))</f>
        <v>41086.65</v>
      </c>
      <c r="K129" s="38">
        <v>320</v>
      </c>
      <c r="L129" s="35">
        <f>J129*480</f>
        <v>19721592</v>
      </c>
      <c r="M129" s="35">
        <f>(((((24901))*70%+(24901)))*7%+((((24901))*70%+(24901))))*640</f>
        <v>28988748.159999996</v>
      </c>
      <c r="N129" s="35">
        <f>(45295*8%+45295)*640</f>
        <v>31307904</v>
      </c>
      <c r="O129" s="35">
        <f t="shared" si="10"/>
        <v>8531403.8399999999</v>
      </c>
      <c r="P129" s="37">
        <f t="shared" si="8"/>
        <v>88549648</v>
      </c>
    </row>
    <row r="130" spans="1:16" s="51" customFormat="1" x14ac:dyDescent="0.3">
      <c r="A130" s="51">
        <v>21920002</v>
      </c>
      <c r="B130" s="33" t="s">
        <v>148</v>
      </c>
      <c r="C130" s="51" t="s">
        <v>294</v>
      </c>
      <c r="D130" s="51" t="s">
        <v>245</v>
      </c>
      <c r="E130" s="51" t="s">
        <v>246</v>
      </c>
      <c r="F130" s="51" t="s">
        <v>151</v>
      </c>
      <c r="G130" s="59" t="s">
        <v>247</v>
      </c>
      <c r="H130" s="52">
        <v>43191</v>
      </c>
      <c r="I130" s="52">
        <v>44196</v>
      </c>
      <c r="J130" s="35">
        <f>(((7778965))*70%+(7778965))/30/8</f>
        <v>55101.002083333333</v>
      </c>
      <c r="K130" s="54">
        <v>240</v>
      </c>
      <c r="L130" s="35">
        <f>J130*360</f>
        <v>19836360.75</v>
      </c>
      <c r="M130" s="35">
        <f>((((((7778965))*7%))+(7778965)*70%+((((7778965))*7%))+(7778965))/30/8)*480</f>
        <v>28626591.199999999</v>
      </c>
      <c r="N130" s="35">
        <f>((((((7778965))*7%))+(7778965)*70%+((((7778965))*7%))+(7778965))*8%+(((((7778965))*7%))+(7778965)*70%+((((7778965))*7%))+(7778965)))/30/8*480</f>
        <v>30916718.495999999</v>
      </c>
      <c r="P130" s="37">
        <f t="shared" si="8"/>
        <v>79379670.44600001</v>
      </c>
    </row>
    <row r="131" spans="1:16" s="51" customFormat="1" x14ac:dyDescent="0.3">
      <c r="A131" s="51">
        <v>21940007</v>
      </c>
      <c r="B131" s="51" t="s">
        <v>248</v>
      </c>
      <c r="C131" s="51" t="s">
        <v>294</v>
      </c>
      <c r="D131" s="51" t="s">
        <v>245</v>
      </c>
      <c r="E131" s="51" t="s">
        <v>246</v>
      </c>
      <c r="F131" s="51" t="s">
        <v>151</v>
      </c>
      <c r="G131" s="59" t="s">
        <v>249</v>
      </c>
      <c r="H131" s="52">
        <v>43191</v>
      </c>
      <c r="I131" s="52">
        <v>44196</v>
      </c>
      <c r="J131" s="35">
        <v>198696442</v>
      </c>
      <c r="K131" s="54">
        <v>1</v>
      </c>
      <c r="L131" s="60">
        <v>198696442</v>
      </c>
      <c r="M131" s="35">
        <v>173000000</v>
      </c>
      <c r="N131" s="35">
        <v>0</v>
      </c>
      <c r="P131" s="37">
        <f t="shared" si="8"/>
        <v>371696442</v>
      </c>
    </row>
    <row r="132" spans="1:16" s="51" customFormat="1" x14ac:dyDescent="0.3">
      <c r="A132" s="51">
        <v>21940001</v>
      </c>
      <c r="B132" s="33" t="s">
        <v>164</v>
      </c>
      <c r="C132" s="51" t="s">
        <v>294</v>
      </c>
      <c r="D132" s="51" t="s">
        <v>64</v>
      </c>
      <c r="E132" s="51" t="s">
        <v>246</v>
      </c>
      <c r="F132" s="51" t="s">
        <v>250</v>
      </c>
      <c r="G132" s="59" t="s">
        <v>251</v>
      </c>
      <c r="H132" s="52">
        <v>43191</v>
      </c>
      <c r="I132" s="34">
        <v>44286</v>
      </c>
      <c r="J132" s="53">
        <v>1463000</v>
      </c>
      <c r="K132" s="54">
        <v>1463000</v>
      </c>
      <c r="L132" s="60">
        <f>(1463000*2)/4*3</f>
        <v>2194500</v>
      </c>
      <c r="M132" s="60">
        <f>(1463000*2)/4*4</f>
        <v>2926000</v>
      </c>
      <c r="N132" s="60">
        <f>(1463000*2)/4*4</f>
        <v>2926000</v>
      </c>
      <c r="O132" s="35">
        <f t="shared" ref="O132:O143" si="11">(N132*9%+N132)/4*1</f>
        <v>797335</v>
      </c>
      <c r="P132" s="37">
        <f t="shared" si="8"/>
        <v>8843835</v>
      </c>
    </row>
    <row r="133" spans="1:16" s="51" customFormat="1" x14ac:dyDescent="0.3">
      <c r="A133" s="51">
        <v>21960001</v>
      </c>
      <c r="B133" s="33" t="s">
        <v>148</v>
      </c>
      <c r="C133" s="51" t="s">
        <v>294</v>
      </c>
      <c r="D133" s="51" t="s">
        <v>64</v>
      </c>
      <c r="E133" s="51" t="s">
        <v>246</v>
      </c>
      <c r="F133" s="51" t="s">
        <v>151</v>
      </c>
      <c r="G133" s="59" t="s">
        <v>251</v>
      </c>
      <c r="H133" s="52">
        <v>43191</v>
      </c>
      <c r="I133" s="34">
        <v>44286</v>
      </c>
      <c r="J133" s="53">
        <v>902000</v>
      </c>
      <c r="K133" s="54">
        <v>902000</v>
      </c>
      <c r="L133" s="60">
        <f>(902000*2)/4*3</f>
        <v>1353000</v>
      </c>
      <c r="M133" s="60">
        <f>(902000*2)/4*4</f>
        <v>1804000</v>
      </c>
      <c r="N133" s="60">
        <f>(902000*2)/4*4</f>
        <v>1804000</v>
      </c>
      <c r="O133" s="35">
        <f t="shared" si="11"/>
        <v>491590</v>
      </c>
      <c r="P133" s="37">
        <f t="shared" si="8"/>
        <v>5452590</v>
      </c>
    </row>
    <row r="134" spans="1:16" s="51" customFormat="1" x14ac:dyDescent="0.3">
      <c r="A134" s="51">
        <v>21940001</v>
      </c>
      <c r="B134" s="33" t="s">
        <v>164</v>
      </c>
      <c r="C134" s="51" t="s">
        <v>294</v>
      </c>
      <c r="D134" s="51" t="s">
        <v>252</v>
      </c>
      <c r="E134" s="51" t="s">
        <v>246</v>
      </c>
      <c r="F134" s="51" t="s">
        <v>151</v>
      </c>
      <c r="G134" s="59" t="s">
        <v>253</v>
      </c>
      <c r="H134" s="52">
        <v>43191</v>
      </c>
      <c r="I134" s="34">
        <v>44286</v>
      </c>
      <c r="J134" s="35">
        <f>(((16695))*65%+(16695))</f>
        <v>27546.75</v>
      </c>
      <c r="K134" s="54">
        <v>64</v>
      </c>
      <c r="L134" s="35">
        <f>J134*64</f>
        <v>1762992</v>
      </c>
      <c r="M134" s="35">
        <f>(J134*7%+J134)*128</f>
        <v>3772802.88</v>
      </c>
      <c r="N134" s="35">
        <f>(29475*8%+29475)*128</f>
        <v>4074624</v>
      </c>
      <c r="O134" s="35">
        <f t="shared" si="11"/>
        <v>1110335.04</v>
      </c>
      <c r="P134" s="37">
        <f t="shared" si="8"/>
        <v>10720753.919999998</v>
      </c>
    </row>
    <row r="135" spans="1:16" s="51" customFormat="1" x14ac:dyDescent="0.3">
      <c r="A135" s="51">
        <v>21940001</v>
      </c>
      <c r="B135" s="33" t="s">
        <v>164</v>
      </c>
      <c r="C135" s="51" t="s">
        <v>294</v>
      </c>
      <c r="D135" s="51" t="s">
        <v>252</v>
      </c>
      <c r="E135" s="51" t="s">
        <v>246</v>
      </c>
      <c r="F135" s="51" t="s">
        <v>151</v>
      </c>
      <c r="G135" s="59" t="s">
        <v>254</v>
      </c>
      <c r="H135" s="52">
        <v>43191</v>
      </c>
      <c r="I135" s="34">
        <v>44286</v>
      </c>
      <c r="J135" s="35">
        <f>(((19088))*65%+(19088))</f>
        <v>31495.200000000001</v>
      </c>
      <c r="K135" s="54">
        <v>64</v>
      </c>
      <c r="L135" s="35">
        <f>J135*64</f>
        <v>2015692.8</v>
      </c>
      <c r="M135" s="35">
        <f>(J135*7%+J135)*128</f>
        <v>4313582.5920000002</v>
      </c>
      <c r="N135" s="35">
        <f>(33700*8%+33700)*128</f>
        <v>4658688</v>
      </c>
      <c r="O135" s="35">
        <f t="shared" si="11"/>
        <v>1269492.48</v>
      </c>
      <c r="P135" s="37">
        <f t="shared" si="8"/>
        <v>12257455.872000001</v>
      </c>
    </row>
    <row r="136" spans="1:16" s="51" customFormat="1" x14ac:dyDescent="0.3">
      <c r="A136" s="51">
        <v>21960001</v>
      </c>
      <c r="B136" s="33" t="s">
        <v>148</v>
      </c>
      <c r="C136" s="51" t="s">
        <v>299</v>
      </c>
      <c r="D136" s="51" t="s">
        <v>256</v>
      </c>
      <c r="E136" s="51" t="s">
        <v>257</v>
      </c>
      <c r="F136" s="51" t="s">
        <v>151</v>
      </c>
      <c r="G136" s="59" t="s">
        <v>258</v>
      </c>
      <c r="H136" s="52">
        <v>43191</v>
      </c>
      <c r="I136" s="34">
        <v>44286</v>
      </c>
      <c r="J136" s="53">
        <f>(((9502027))*70%+(9502027))/30/8</f>
        <v>67306.024583333332</v>
      </c>
      <c r="K136" s="54">
        <v>300</v>
      </c>
      <c r="L136" s="53">
        <f>J136*450</f>
        <v>30287711.0625</v>
      </c>
      <c r="M136" s="35">
        <f>((((((9502027))*7%))+(9502027)*70%+((((9502027))*7%))+(9502027))/30/8)*600</f>
        <v>43709324.200000003</v>
      </c>
      <c r="N136" s="35">
        <f>((((((9502027))*7%))+(9502027)*70%+((((9502027))*7%))+(9502027))*8%+(((((9502027))*7%))+(9502027)*70%+((((9502027))*7%))+(9502027)))/30/8*600</f>
        <v>47206070.136</v>
      </c>
      <c r="O136" s="35">
        <f t="shared" si="11"/>
        <v>12863654.112059999</v>
      </c>
      <c r="P136" s="37">
        <f t="shared" si="8"/>
        <v>134066759.51055999</v>
      </c>
    </row>
    <row r="137" spans="1:16" s="51" customFormat="1" x14ac:dyDescent="0.3">
      <c r="A137" s="51">
        <v>21960001</v>
      </c>
      <c r="B137" s="33" t="s">
        <v>148</v>
      </c>
      <c r="C137" s="51" t="s">
        <v>299</v>
      </c>
      <c r="D137" s="51" t="s">
        <v>256</v>
      </c>
      <c r="E137" s="51" t="s">
        <v>257</v>
      </c>
      <c r="F137" s="51" t="s">
        <v>151</v>
      </c>
      <c r="G137" s="59" t="s">
        <v>259</v>
      </c>
      <c r="H137" s="52">
        <v>43191</v>
      </c>
      <c r="I137" s="34">
        <v>44286</v>
      </c>
      <c r="J137" s="35">
        <f>(((28468))*65%+(28468))</f>
        <v>46972.2</v>
      </c>
      <c r="K137" s="54">
        <v>100</v>
      </c>
      <c r="L137" s="35">
        <f t="shared" ref="L137:L142" si="12">J137*150</f>
        <v>7045830</v>
      </c>
      <c r="M137" s="35">
        <f>(J137*7%+J137)*200</f>
        <v>10052050.800000001</v>
      </c>
      <c r="N137" s="35">
        <f>(50260*8%+50260)*200</f>
        <v>10856160</v>
      </c>
      <c r="O137" s="35">
        <f t="shared" si="11"/>
        <v>2958303.6</v>
      </c>
      <c r="P137" s="37">
        <f t="shared" si="8"/>
        <v>30912344.400000002</v>
      </c>
    </row>
    <row r="138" spans="1:16" s="51" customFormat="1" x14ac:dyDescent="0.3">
      <c r="A138" s="51">
        <v>21960001</v>
      </c>
      <c r="B138" s="33" t="s">
        <v>148</v>
      </c>
      <c r="C138" s="51" t="s">
        <v>299</v>
      </c>
      <c r="D138" s="51" t="s">
        <v>256</v>
      </c>
      <c r="E138" s="51" t="s">
        <v>257</v>
      </c>
      <c r="F138" s="51" t="s">
        <v>151</v>
      </c>
      <c r="G138" s="59" t="s">
        <v>260</v>
      </c>
      <c r="H138" s="52">
        <v>43191</v>
      </c>
      <c r="I138" s="34">
        <v>44286</v>
      </c>
      <c r="J138" s="35">
        <f>(((19088))*65%+(19088))</f>
        <v>31495.200000000001</v>
      </c>
      <c r="K138" s="54">
        <v>100</v>
      </c>
      <c r="L138" s="35">
        <f t="shared" si="12"/>
        <v>4724280</v>
      </c>
      <c r="M138" s="35">
        <f>(J138*7%+J138)*200</f>
        <v>6739972.8000000007</v>
      </c>
      <c r="N138" s="35">
        <f>(33700*8%+33700)*200</f>
        <v>7279200</v>
      </c>
      <c r="O138" s="35">
        <f t="shared" si="11"/>
        <v>1983582</v>
      </c>
      <c r="P138" s="37">
        <f t="shared" si="8"/>
        <v>20727034.800000001</v>
      </c>
    </row>
    <row r="139" spans="1:16" s="51" customFormat="1" x14ac:dyDescent="0.3">
      <c r="A139" s="51">
        <v>21960001</v>
      </c>
      <c r="B139" s="33" t="s">
        <v>148</v>
      </c>
      <c r="C139" s="51" t="s">
        <v>299</v>
      </c>
      <c r="D139" s="51" t="s">
        <v>256</v>
      </c>
      <c r="E139" s="51" t="s">
        <v>257</v>
      </c>
      <c r="F139" s="51" t="s">
        <v>151</v>
      </c>
      <c r="G139" s="59" t="s">
        <v>155</v>
      </c>
      <c r="H139" s="52">
        <v>43191</v>
      </c>
      <c r="I139" s="34">
        <v>44286</v>
      </c>
      <c r="J139" s="53">
        <f>(((6694811))*70%+(6694811))/30/8</f>
        <v>47421.577916666662</v>
      </c>
      <c r="K139" s="54">
        <v>100</v>
      </c>
      <c r="L139" s="53">
        <f t="shared" si="12"/>
        <v>7113236.6874999991</v>
      </c>
      <c r="M139" s="35">
        <f>((((((6694811))*7%))+(6694811)*70%+((((6694811))*7%))+(6694811))/30/8)*200</f>
        <v>10265376.866666665</v>
      </c>
      <c r="N139" s="35">
        <f>((((((6694811))*7%))+(6694811)*70%+((((6694811))*7%))+(6694811))*8%+(((((6694811))*7%))+(6694811)*70%+((((6694811))*7%))+(6694811)))/30/8*200</f>
        <v>11086607.015999997</v>
      </c>
      <c r="O139" s="35">
        <f t="shared" si="11"/>
        <v>3021100.4118599994</v>
      </c>
      <c r="P139" s="37">
        <f t="shared" si="8"/>
        <v>31486320.982026663</v>
      </c>
    </row>
    <row r="140" spans="1:16" s="51" customFormat="1" x14ac:dyDescent="0.3">
      <c r="A140" s="51">
        <v>21960001</v>
      </c>
      <c r="B140" s="33" t="s">
        <v>148</v>
      </c>
      <c r="C140" s="51" t="s">
        <v>299</v>
      </c>
      <c r="D140" s="51" t="s">
        <v>256</v>
      </c>
      <c r="E140" s="51" t="s">
        <v>257</v>
      </c>
      <c r="F140" s="51" t="s">
        <v>151</v>
      </c>
      <c r="G140" s="59" t="s">
        <v>261</v>
      </c>
      <c r="H140" s="52">
        <v>43191</v>
      </c>
      <c r="I140" s="34">
        <v>44286</v>
      </c>
      <c r="J140" s="53">
        <f>(((9409599))*70%+(9409599))/30/8</f>
        <v>66651.326249999998</v>
      </c>
      <c r="K140" s="54">
        <v>100</v>
      </c>
      <c r="L140" s="53">
        <f t="shared" si="12"/>
        <v>9997698.9375</v>
      </c>
      <c r="M140" s="35">
        <f>((((((9409599))*7%))+(9409599)*70%+((((9409599))*7%))+(9409599))/30/8)*200</f>
        <v>14428051.800000001</v>
      </c>
      <c r="N140" s="35">
        <f>((((((9409599))*7%))+(9409599)*70%+((((9409599))*7%))+(9409599))*8%+(((((9409599))*7%))+(9409599)*70%+((((9409599))*7%))+(9409599)))/30/8*200</f>
        <v>15582295.944</v>
      </c>
      <c r="O140" s="35">
        <f t="shared" si="11"/>
        <v>4246175.6447400004</v>
      </c>
      <c r="P140" s="37">
        <f t="shared" si="8"/>
        <v>44254222.326240003</v>
      </c>
    </row>
    <row r="141" spans="1:16" s="51" customFormat="1" x14ac:dyDescent="0.3">
      <c r="A141" s="51">
        <v>21960001</v>
      </c>
      <c r="B141" s="33" t="s">
        <v>148</v>
      </c>
      <c r="C141" s="51" t="s">
        <v>299</v>
      </c>
      <c r="D141" s="51" t="s">
        <v>256</v>
      </c>
      <c r="E141" s="51" t="s">
        <v>257</v>
      </c>
      <c r="F141" s="51" t="s">
        <v>151</v>
      </c>
      <c r="G141" s="59" t="s">
        <v>262</v>
      </c>
      <c r="H141" s="52">
        <v>43191</v>
      </c>
      <c r="I141" s="34">
        <v>44286</v>
      </c>
      <c r="J141" s="53">
        <f>(((1618162))*70%+(1618162))/30/8</f>
        <v>11461.980833333333</v>
      </c>
      <c r="K141" s="54">
        <v>100</v>
      </c>
      <c r="L141" s="53">
        <f t="shared" si="12"/>
        <v>1719297.125</v>
      </c>
      <c r="M141" s="35">
        <f>((((((1618162))*7%))+(1618162)*70%+((((1618162))*7%))+(1618162))/30/8)*200</f>
        <v>2481181.7333333334</v>
      </c>
      <c r="N141" s="35">
        <f>((((((1618162))*7%))+(1618162)*70%+((((1618162))*7%))+(1618162))*8%+(((((1618162))*7%))+(1618162)*70%+((((1618162))*7%))+(1618162)))/30/8*200</f>
        <v>2679676.2719999999</v>
      </c>
      <c r="O141" s="35">
        <f t="shared" si="11"/>
        <v>730211.78411999997</v>
      </c>
      <c r="P141" s="37">
        <f t="shared" si="8"/>
        <v>7610366.9144533332</v>
      </c>
    </row>
    <row r="142" spans="1:16" s="51" customFormat="1" x14ac:dyDescent="0.3">
      <c r="A142" s="51">
        <v>21960001</v>
      </c>
      <c r="B142" s="33" t="s">
        <v>148</v>
      </c>
      <c r="C142" s="51" t="s">
        <v>299</v>
      </c>
      <c r="D142" s="51" t="s">
        <v>256</v>
      </c>
      <c r="E142" s="51" t="s">
        <v>257</v>
      </c>
      <c r="F142" s="51" t="s">
        <v>151</v>
      </c>
      <c r="G142" s="59" t="s">
        <v>263</v>
      </c>
      <c r="H142" s="52">
        <v>43191</v>
      </c>
      <c r="I142" s="34">
        <v>44286</v>
      </c>
      <c r="J142" s="53">
        <f>((( 3709535))*70%+(3709535))/30/8</f>
        <v>26275.872916666667</v>
      </c>
      <c r="K142" s="54">
        <v>100</v>
      </c>
      <c r="L142" s="53">
        <f t="shared" si="12"/>
        <v>3941380.9375</v>
      </c>
      <c r="M142" s="35">
        <f>((((((3709535))*7%))+(3709535)*70%+((((3709535))*7%))+(3709535))/30/8)*200</f>
        <v>5687953.666666667</v>
      </c>
      <c r="N142" s="35">
        <f>((((((3709535))*7%))+(3709535)*70%+((((3709535))*7%))+(3709535))*8%+(((((3709535))*7%))+(3709535)*70%+((((3709535))*7%))+(3709535)))/30/8*200</f>
        <v>6142989.9600000009</v>
      </c>
      <c r="O142" s="35">
        <f t="shared" si="11"/>
        <v>1673964.7641000003</v>
      </c>
      <c r="P142" s="37">
        <f t="shared" si="8"/>
        <v>17446289.328266669</v>
      </c>
    </row>
    <row r="143" spans="1:16" s="51" customFormat="1" x14ac:dyDescent="0.3">
      <c r="A143" s="51">
        <v>21960001</v>
      </c>
      <c r="B143" s="33" t="s">
        <v>148</v>
      </c>
      <c r="C143" s="51" t="s">
        <v>299</v>
      </c>
      <c r="D143" s="51" t="s">
        <v>124</v>
      </c>
      <c r="E143" s="51" t="s">
        <v>257</v>
      </c>
      <c r="F143" s="51" t="s">
        <v>151</v>
      </c>
      <c r="G143" s="59" t="s">
        <v>264</v>
      </c>
      <c r="H143" s="52">
        <v>43191</v>
      </c>
      <c r="I143" s="34">
        <v>44286</v>
      </c>
      <c r="J143" s="53">
        <f>((( 4676050))*60%+(4676050))/30/8</f>
        <v>31173.666666666668</v>
      </c>
      <c r="K143" s="54">
        <v>240</v>
      </c>
      <c r="L143" s="53">
        <f>J143*360</f>
        <v>11222520</v>
      </c>
      <c r="M143" s="35">
        <f>((((((4676050))*7%))+(4676050)*70%+((((4676050))*7%))+(4676050))/30/8)*480</f>
        <v>17207864</v>
      </c>
      <c r="N143" s="35">
        <f>((((((4676050))*7%))+(4676050)*70%+((((4676050))*7%))+(4676050))*8%+(((((4676050))*7%))+(4676050)*70%+((((4676050))*7%))+(4676050)))/30/8*480</f>
        <v>18584493.120000001</v>
      </c>
      <c r="O143" s="35">
        <f t="shared" si="11"/>
        <v>5064274.3752000006</v>
      </c>
      <c r="P143" s="37">
        <f t="shared" si="8"/>
        <v>52079151.495200008</v>
      </c>
    </row>
    <row r="144" spans="1:16" s="51" customFormat="1" x14ac:dyDescent="0.3">
      <c r="A144" s="51" t="s">
        <v>248</v>
      </c>
      <c r="B144" s="51" t="s">
        <v>248</v>
      </c>
      <c r="C144" s="51" t="s">
        <v>299</v>
      </c>
      <c r="D144" s="51" t="s">
        <v>124</v>
      </c>
      <c r="E144" s="51" t="s">
        <v>257</v>
      </c>
      <c r="F144" s="51" t="s">
        <v>265</v>
      </c>
      <c r="G144" s="59" t="s">
        <v>266</v>
      </c>
      <c r="H144" s="52">
        <v>43191</v>
      </c>
      <c r="I144" s="34">
        <v>44286</v>
      </c>
      <c r="J144" s="53">
        <v>200000000</v>
      </c>
      <c r="K144" s="54">
        <v>1</v>
      </c>
      <c r="L144" s="53">
        <v>166000000</v>
      </c>
      <c r="M144" s="53">
        <v>67000000</v>
      </c>
      <c r="N144" s="53">
        <v>67000000</v>
      </c>
      <c r="O144" s="35">
        <v>0</v>
      </c>
      <c r="P144" s="37">
        <f t="shared" si="8"/>
        <v>300000000</v>
      </c>
    </row>
    <row r="145" spans="1:16" s="51" customFormat="1" x14ac:dyDescent="0.3">
      <c r="A145" s="51">
        <v>10410023</v>
      </c>
      <c r="B145" s="51" t="s">
        <v>267</v>
      </c>
      <c r="C145" s="51" t="s">
        <v>299</v>
      </c>
      <c r="D145" s="51" t="s">
        <v>124</v>
      </c>
      <c r="E145" s="51" t="s">
        <v>257</v>
      </c>
      <c r="F145" s="51" t="s">
        <v>265</v>
      </c>
      <c r="G145" s="59" t="s">
        <v>268</v>
      </c>
      <c r="H145" s="52">
        <v>43191</v>
      </c>
      <c r="I145" s="34">
        <v>44196</v>
      </c>
      <c r="J145" s="53">
        <v>200000000</v>
      </c>
      <c r="K145" s="54">
        <v>1</v>
      </c>
      <c r="L145" s="53">
        <v>66000000</v>
      </c>
      <c r="M145" s="53">
        <v>67000000</v>
      </c>
      <c r="N145" s="53">
        <v>67000000</v>
      </c>
      <c r="O145" s="35">
        <v>0</v>
      </c>
      <c r="P145" s="37">
        <f t="shared" si="8"/>
        <v>200000000</v>
      </c>
    </row>
    <row r="146" spans="1:16" s="51" customFormat="1" x14ac:dyDescent="0.3">
      <c r="A146" s="51">
        <v>21940003</v>
      </c>
      <c r="B146" s="51" t="s">
        <v>269</v>
      </c>
      <c r="C146" s="51" t="s">
        <v>299</v>
      </c>
      <c r="D146" s="51" t="s">
        <v>124</v>
      </c>
      <c r="E146" s="51" t="s">
        <v>257</v>
      </c>
      <c r="F146" s="51" t="s">
        <v>151</v>
      </c>
      <c r="G146" s="59" t="s">
        <v>270</v>
      </c>
      <c r="H146" s="52">
        <v>43191</v>
      </c>
      <c r="I146" s="34">
        <v>44286</v>
      </c>
      <c r="J146" s="53">
        <v>60000000</v>
      </c>
      <c r="K146" s="54">
        <v>1</v>
      </c>
      <c r="L146" s="53">
        <v>15000000</v>
      </c>
      <c r="M146" s="35">
        <v>23000000</v>
      </c>
      <c r="N146" s="35">
        <v>22000000</v>
      </c>
      <c r="O146" s="35">
        <f>(N146*9%+N146)/4*1</f>
        <v>5995000</v>
      </c>
      <c r="P146" s="37">
        <f t="shared" si="8"/>
        <v>65995000</v>
      </c>
    </row>
    <row r="147" spans="1:16" s="51" customFormat="1" x14ac:dyDescent="0.3">
      <c r="A147" s="51">
        <v>21960001</v>
      </c>
      <c r="B147" s="33" t="s">
        <v>148</v>
      </c>
      <c r="C147" s="51" t="s">
        <v>299</v>
      </c>
      <c r="D147" s="51" t="s">
        <v>271</v>
      </c>
      <c r="E147" s="51" t="s">
        <v>257</v>
      </c>
      <c r="F147" s="51" t="s">
        <v>151</v>
      </c>
      <c r="G147" s="59" t="s">
        <v>264</v>
      </c>
      <c r="H147" s="52">
        <v>43191</v>
      </c>
      <c r="I147" s="52">
        <v>43830</v>
      </c>
      <c r="J147" s="53">
        <f>((( 4676050))*60%+(4676050))/30/8</f>
        <v>31173.666666666668</v>
      </c>
      <c r="K147" s="54">
        <v>240</v>
      </c>
      <c r="L147" s="53">
        <f>J147*360</f>
        <v>11222520</v>
      </c>
      <c r="M147" s="35">
        <f>((((((4676050))*7%))+(4676050)*70%+((((4676050))*7%))+(4676050))/30/8)*480</f>
        <v>17207864</v>
      </c>
      <c r="N147" s="35">
        <v>0</v>
      </c>
      <c r="P147" s="37">
        <f t="shared" si="8"/>
        <v>28430384</v>
      </c>
    </row>
    <row r="148" spans="1:16" s="51" customFormat="1" x14ac:dyDescent="0.3">
      <c r="A148" s="51" t="s">
        <v>248</v>
      </c>
      <c r="B148" s="51" t="s">
        <v>248</v>
      </c>
      <c r="C148" s="51" t="s">
        <v>299</v>
      </c>
      <c r="D148" s="51" t="s">
        <v>271</v>
      </c>
      <c r="E148" s="51" t="s">
        <v>257</v>
      </c>
      <c r="F148" s="51" t="s">
        <v>265</v>
      </c>
      <c r="G148" s="59" t="s">
        <v>266</v>
      </c>
      <c r="H148" s="52">
        <v>43191</v>
      </c>
      <c r="I148" s="52">
        <v>43830</v>
      </c>
      <c r="J148" s="53">
        <v>780000000</v>
      </c>
      <c r="K148" s="54">
        <v>1</v>
      </c>
      <c r="L148" s="53">
        <v>0</v>
      </c>
      <c r="M148" s="35">
        <v>200000000</v>
      </c>
      <c r="N148" s="35">
        <v>100000000</v>
      </c>
      <c r="P148" s="37">
        <f t="shared" si="8"/>
        <v>300000000</v>
      </c>
    </row>
    <row r="149" spans="1:16" s="51" customFormat="1" x14ac:dyDescent="0.3">
      <c r="A149" s="61">
        <v>10410023</v>
      </c>
      <c r="B149" s="51" t="s">
        <v>267</v>
      </c>
      <c r="C149" s="51" t="s">
        <v>299</v>
      </c>
      <c r="D149" s="51" t="s">
        <v>271</v>
      </c>
      <c r="E149" s="51" t="s">
        <v>257</v>
      </c>
      <c r="F149" s="51" t="s">
        <v>265</v>
      </c>
      <c r="G149" s="59" t="s">
        <v>268</v>
      </c>
      <c r="H149" s="52">
        <v>43191</v>
      </c>
      <c r="I149" s="52">
        <v>43830</v>
      </c>
      <c r="J149" s="53">
        <v>780000000</v>
      </c>
      <c r="K149" s="54">
        <v>1</v>
      </c>
      <c r="L149" s="53">
        <v>292000000</v>
      </c>
      <c r="M149" s="35">
        <v>488000000</v>
      </c>
      <c r="N149" s="35">
        <v>0</v>
      </c>
      <c r="P149" s="37">
        <f t="shared" si="8"/>
        <v>780000000</v>
      </c>
    </row>
    <row r="150" spans="1:16" s="51" customFormat="1" x14ac:dyDescent="0.3">
      <c r="A150" s="51">
        <v>21960001</v>
      </c>
      <c r="B150" s="33" t="s">
        <v>148</v>
      </c>
      <c r="C150" s="51" t="s">
        <v>299</v>
      </c>
      <c r="D150" s="51" t="s">
        <v>272</v>
      </c>
      <c r="E150" s="51" t="s">
        <v>257</v>
      </c>
      <c r="F150" s="51" t="s">
        <v>151</v>
      </c>
      <c r="G150" s="59" t="s">
        <v>238</v>
      </c>
      <c r="H150" s="52">
        <v>43191</v>
      </c>
      <c r="I150" s="34">
        <v>44286</v>
      </c>
      <c r="J150" s="53">
        <f>(((3473299))*60%+(3473299))/30/8</f>
        <v>23155.326666666668</v>
      </c>
      <c r="K150" s="54">
        <v>24</v>
      </c>
      <c r="L150" s="53">
        <f>J150*36</f>
        <v>833591.76</v>
      </c>
      <c r="M150" s="35">
        <f>((((((3473299))*7%))+(3473299)*70%+((((3473299))*7%))+(3473299))/30/8)*24</f>
        <v>639087.01600000006</v>
      </c>
      <c r="N150" s="35">
        <f>((((((3473299))*7%))+(3473299)*70%+((((3473299))*7%))+(3473299))*8%+(((((3473299))*7%))+(3473299)*70%+((((3473299))*7%))+(3473299)))/30/8*24</f>
        <v>690213.97727999999</v>
      </c>
      <c r="O150" s="35">
        <f>(N150*9%+N150)/4*1</f>
        <v>188083.30880880001</v>
      </c>
      <c r="P150" s="37">
        <f t="shared" si="8"/>
        <v>2350976.0620887997</v>
      </c>
    </row>
    <row r="151" spans="1:16" s="33" customFormat="1" ht="15" x14ac:dyDescent="0.25">
      <c r="A151" s="33">
        <v>21960001</v>
      </c>
      <c r="B151" s="33" t="s">
        <v>148</v>
      </c>
      <c r="C151" s="33" t="s">
        <v>296</v>
      </c>
      <c r="D151" s="33" t="s">
        <v>273</v>
      </c>
      <c r="E151" s="33" t="s">
        <v>274</v>
      </c>
      <c r="F151" s="33" t="s">
        <v>162</v>
      </c>
      <c r="G151" s="33" t="s">
        <v>275</v>
      </c>
      <c r="H151" s="52">
        <v>43191</v>
      </c>
      <c r="I151" s="52">
        <v>44196</v>
      </c>
      <c r="J151" s="35">
        <v>1334</v>
      </c>
      <c r="K151" s="38">
        <v>200</v>
      </c>
      <c r="L151" s="35">
        <f>((300*12)+(4*133))*J151</f>
        <v>5512088</v>
      </c>
      <c r="M151" s="37">
        <f>((10*400)+(2*300))*J151</f>
        <v>6136400</v>
      </c>
      <c r="N151" s="35">
        <f>((100*1)+(1*400))*J151</f>
        <v>667000</v>
      </c>
      <c r="P151" s="37">
        <f t="shared" si="8"/>
        <v>12315488</v>
      </c>
    </row>
    <row r="152" spans="1:16" s="33" customFormat="1" ht="15" x14ac:dyDescent="0.25">
      <c r="A152" s="33">
        <v>21960001</v>
      </c>
      <c r="B152" s="33" t="s">
        <v>148</v>
      </c>
      <c r="C152" s="33" t="s">
        <v>296</v>
      </c>
      <c r="D152" s="33" t="s">
        <v>273</v>
      </c>
      <c r="E152" s="33" t="s">
        <v>274</v>
      </c>
      <c r="F152" s="33" t="s">
        <v>163</v>
      </c>
      <c r="G152" s="33" t="s">
        <v>275</v>
      </c>
      <c r="H152" s="52">
        <v>43191</v>
      </c>
      <c r="I152" s="52">
        <v>44196</v>
      </c>
      <c r="J152" s="35">
        <v>617</v>
      </c>
      <c r="K152" s="38">
        <v>200</v>
      </c>
      <c r="L152" s="35">
        <f>((300*12)+(4*133))*J152</f>
        <v>2549444</v>
      </c>
      <c r="M152" s="37">
        <f>((10*400)+(2*300))*J152</f>
        <v>2838200</v>
      </c>
      <c r="N152" s="35">
        <f>((100*1)+(1*400))*J152</f>
        <v>308500</v>
      </c>
      <c r="P152" s="37">
        <f t="shared" si="8"/>
        <v>5696144</v>
      </c>
    </row>
    <row r="153" spans="1:16" s="33" customFormat="1" ht="15" x14ac:dyDescent="0.25">
      <c r="A153" s="33">
        <v>21940001</v>
      </c>
      <c r="B153" s="33" t="s">
        <v>164</v>
      </c>
      <c r="C153" s="33" t="s">
        <v>296</v>
      </c>
      <c r="D153" s="33" t="s">
        <v>273</v>
      </c>
      <c r="E153" s="33" t="s">
        <v>274</v>
      </c>
      <c r="F153" s="33" t="s">
        <v>165</v>
      </c>
      <c r="G153" s="33" t="s">
        <v>275</v>
      </c>
      <c r="H153" s="52">
        <v>43191</v>
      </c>
      <c r="I153" s="52">
        <v>44196</v>
      </c>
      <c r="J153" s="35">
        <v>16666</v>
      </c>
      <c r="K153" s="38">
        <v>6</v>
      </c>
      <c r="L153" s="35">
        <f>((12*J153)*9)+(4*J153)*5</f>
        <v>2133248</v>
      </c>
      <c r="M153" s="35">
        <f>((10*J153*12)+(2*J153*3))</f>
        <v>2099916</v>
      </c>
      <c r="N153" s="35">
        <f>(1*J153*12)+(1*J153*3)</f>
        <v>249990</v>
      </c>
      <c r="P153" s="37">
        <f>SUM(L153+M153+N153+O153)</f>
        <v>4483154</v>
      </c>
    </row>
    <row r="154" spans="1:16" s="33" customFormat="1" ht="15" x14ac:dyDescent="0.25">
      <c r="A154" s="33">
        <v>21920001</v>
      </c>
      <c r="B154" s="33" t="s">
        <v>148</v>
      </c>
      <c r="C154" s="33" t="s">
        <v>296</v>
      </c>
      <c r="D154" s="33" t="s">
        <v>273</v>
      </c>
      <c r="E154" s="33" t="s">
        <v>274</v>
      </c>
      <c r="F154" s="33" t="s">
        <v>166</v>
      </c>
      <c r="G154" s="33" t="s">
        <v>275</v>
      </c>
      <c r="H154" s="52">
        <v>43191</v>
      </c>
      <c r="I154" s="52">
        <v>44196</v>
      </c>
      <c r="J154" s="35">
        <v>8333</v>
      </c>
      <c r="K154" s="38">
        <v>6</v>
      </c>
      <c r="L154" s="35">
        <f>((12*J154)*9)+(4*J154)*5</f>
        <v>1066624</v>
      </c>
      <c r="M154" s="35">
        <f>((10*J154*12)+(2*J154*3))</f>
        <v>1049958</v>
      </c>
      <c r="N154" s="35">
        <f>(1*J154*12)+(1*J154*3)</f>
        <v>124995</v>
      </c>
      <c r="P154" s="37">
        <f t="shared" si="8"/>
        <v>2241577</v>
      </c>
    </row>
    <row r="155" spans="1:16" s="51" customFormat="1" x14ac:dyDescent="0.3">
      <c r="A155" s="51">
        <v>21960001</v>
      </c>
      <c r="B155" s="33" t="s">
        <v>148</v>
      </c>
      <c r="C155" s="51" t="s">
        <v>294</v>
      </c>
      <c r="D155" s="51" t="s">
        <v>273</v>
      </c>
      <c r="E155" s="51" t="s">
        <v>184</v>
      </c>
      <c r="F155" s="51" t="s">
        <v>162</v>
      </c>
      <c r="G155" s="51" t="s">
        <v>276</v>
      </c>
      <c r="H155" s="52">
        <v>43191</v>
      </c>
      <c r="I155" s="34">
        <v>44286</v>
      </c>
      <c r="J155" s="35">
        <v>1334</v>
      </c>
      <c r="K155" s="38">
        <v>3650</v>
      </c>
      <c r="L155" s="35">
        <f>J155*5475</f>
        <v>7303650</v>
      </c>
      <c r="M155" s="35">
        <f>J155*7300</f>
        <v>9738200</v>
      </c>
      <c r="N155" s="35">
        <f>M155*8%+M155</f>
        <v>10517256</v>
      </c>
      <c r="O155" s="35">
        <f t="shared" ref="O155:O172" si="13">(N155*9%+N155)/4*1</f>
        <v>2865952.26</v>
      </c>
      <c r="P155" s="37">
        <f t="shared" si="8"/>
        <v>30425058.259999998</v>
      </c>
    </row>
    <row r="156" spans="1:16" s="51" customFormat="1" x14ac:dyDescent="0.3">
      <c r="A156" s="51">
        <v>21960001</v>
      </c>
      <c r="B156" s="33" t="s">
        <v>148</v>
      </c>
      <c r="C156" s="51" t="s">
        <v>294</v>
      </c>
      <c r="D156" s="51" t="s">
        <v>273</v>
      </c>
      <c r="E156" s="51" t="s">
        <v>184</v>
      </c>
      <c r="F156" s="51" t="s">
        <v>163</v>
      </c>
      <c r="G156" s="51" t="s">
        <v>276</v>
      </c>
      <c r="H156" s="52">
        <v>43191</v>
      </c>
      <c r="I156" s="34">
        <v>44286</v>
      </c>
      <c r="J156" s="35">
        <v>617</v>
      </c>
      <c r="K156" s="38">
        <v>3650</v>
      </c>
      <c r="L156" s="35">
        <f>J156*5475</f>
        <v>3378075</v>
      </c>
      <c r="M156" s="35">
        <f>J156*7300</f>
        <v>4504100</v>
      </c>
      <c r="N156" s="35">
        <f>M156*8%+M156</f>
        <v>4864428</v>
      </c>
      <c r="O156" s="35">
        <f t="shared" si="13"/>
        <v>1325556.6299999999</v>
      </c>
      <c r="P156" s="37">
        <f t="shared" si="8"/>
        <v>14072159.629999999</v>
      </c>
    </row>
    <row r="157" spans="1:16" s="51" customFormat="1" x14ac:dyDescent="0.3">
      <c r="A157" s="51">
        <v>21940001</v>
      </c>
      <c r="B157" s="33" t="s">
        <v>164</v>
      </c>
      <c r="C157" s="51" t="s">
        <v>294</v>
      </c>
      <c r="D157" s="51" t="s">
        <v>273</v>
      </c>
      <c r="E157" s="51" t="s">
        <v>184</v>
      </c>
      <c r="F157" s="51" t="s">
        <v>165</v>
      </c>
      <c r="G157" s="51" t="s">
        <v>276</v>
      </c>
      <c r="H157" s="52">
        <v>43191</v>
      </c>
      <c r="I157" s="34">
        <v>44286</v>
      </c>
      <c r="J157" s="35">
        <v>16666</v>
      </c>
      <c r="K157" s="38">
        <v>1</v>
      </c>
      <c r="L157" s="35">
        <f>(J157*9)*9</f>
        <v>1349946</v>
      </c>
      <c r="M157" s="35">
        <f>((J157*9)*12)*7%+((J157*9)*12)</f>
        <v>1925922.96</v>
      </c>
      <c r="N157" s="35">
        <f>M157*8%+M157</f>
        <v>2079996.7967999999</v>
      </c>
      <c r="O157" s="35">
        <f t="shared" si="13"/>
        <v>566799.12712800002</v>
      </c>
      <c r="P157" s="37">
        <f t="shared" si="8"/>
        <v>5922664.883928</v>
      </c>
    </row>
    <row r="158" spans="1:16" s="51" customFormat="1" x14ac:dyDescent="0.3">
      <c r="A158" s="51">
        <v>21960001</v>
      </c>
      <c r="B158" s="33" t="s">
        <v>148</v>
      </c>
      <c r="C158" s="51" t="s">
        <v>294</v>
      </c>
      <c r="D158" s="51" t="s">
        <v>273</v>
      </c>
      <c r="E158" s="51" t="s">
        <v>184</v>
      </c>
      <c r="F158" s="51" t="s">
        <v>166</v>
      </c>
      <c r="G158" s="51" t="s">
        <v>276</v>
      </c>
      <c r="H158" s="52">
        <v>43191</v>
      </c>
      <c r="I158" s="34">
        <v>44286</v>
      </c>
      <c r="J158" s="35">
        <v>8333</v>
      </c>
      <c r="K158" s="38">
        <v>1</v>
      </c>
      <c r="L158" s="35">
        <f>(J158*9)*9</f>
        <v>674973</v>
      </c>
      <c r="M158" s="35">
        <f>((J158*9)*12)*7%+((J158*9)*12)</f>
        <v>962961.48</v>
      </c>
      <c r="N158" s="35">
        <f>M158*8%+M158</f>
        <v>1039998.3983999999</v>
      </c>
      <c r="O158" s="35">
        <f t="shared" si="13"/>
        <v>283399.56356400001</v>
      </c>
      <c r="P158" s="37">
        <f t="shared" si="8"/>
        <v>2961332.441964</v>
      </c>
    </row>
    <row r="159" spans="1:16" s="33" customFormat="1" ht="15" x14ac:dyDescent="0.25">
      <c r="A159" s="63">
        <v>21960001</v>
      </c>
      <c r="B159" s="33" t="s">
        <v>148</v>
      </c>
      <c r="C159" s="33" t="s">
        <v>298</v>
      </c>
      <c r="D159" s="33" t="s">
        <v>273</v>
      </c>
      <c r="E159" s="33" t="s">
        <v>234</v>
      </c>
      <c r="F159" s="33" t="s">
        <v>162</v>
      </c>
      <c r="G159" s="64" t="s">
        <v>277</v>
      </c>
      <c r="H159" s="52">
        <v>43191</v>
      </c>
      <c r="I159" s="34">
        <v>44286</v>
      </c>
      <c r="J159" s="35">
        <v>1334</v>
      </c>
      <c r="K159" s="38">
        <v>250</v>
      </c>
      <c r="L159" s="35">
        <f>(67.5+54+188+188)*J159</f>
        <v>663665</v>
      </c>
      <c r="M159" s="35">
        <f>(90+144+150+150)*J159</f>
        <v>712356</v>
      </c>
      <c r="N159" s="35">
        <f>712356*8%+712356</f>
        <v>769344.48</v>
      </c>
      <c r="O159" s="35">
        <f t="shared" si="13"/>
        <v>209646.3708</v>
      </c>
      <c r="P159" s="37">
        <f t="shared" si="8"/>
        <v>2355011.8508000001</v>
      </c>
    </row>
    <row r="160" spans="1:16" s="33" customFormat="1" ht="15" x14ac:dyDescent="0.25">
      <c r="A160" s="63">
        <v>21960001</v>
      </c>
      <c r="B160" s="33" t="s">
        <v>148</v>
      </c>
      <c r="C160" s="33" t="s">
        <v>298</v>
      </c>
      <c r="D160" s="33" t="s">
        <v>273</v>
      </c>
      <c r="E160" s="33" t="s">
        <v>234</v>
      </c>
      <c r="F160" s="33" t="s">
        <v>163</v>
      </c>
      <c r="G160" s="64" t="s">
        <v>276</v>
      </c>
      <c r="H160" s="52">
        <v>43191</v>
      </c>
      <c r="I160" s="34">
        <v>44286</v>
      </c>
      <c r="J160" s="35">
        <v>617</v>
      </c>
      <c r="K160" s="38">
        <v>250</v>
      </c>
      <c r="L160" s="35">
        <f>(67.5+54+188+188)*J160</f>
        <v>306957.5</v>
      </c>
      <c r="M160" s="35">
        <f>(90+144+150+150)*J160</f>
        <v>329478</v>
      </c>
      <c r="N160" s="35">
        <f>712356*8%+712356</f>
        <v>769344.48</v>
      </c>
      <c r="O160" s="35">
        <f t="shared" si="13"/>
        <v>209646.3708</v>
      </c>
      <c r="P160" s="37">
        <f t="shared" si="8"/>
        <v>1615426.3507999999</v>
      </c>
    </row>
    <row r="161" spans="1:16" s="33" customFormat="1" ht="15" x14ac:dyDescent="0.25">
      <c r="A161" s="63">
        <v>21940001</v>
      </c>
      <c r="B161" s="33" t="s">
        <v>164</v>
      </c>
      <c r="C161" s="33" t="s">
        <v>298</v>
      </c>
      <c r="D161" s="33" t="s">
        <v>273</v>
      </c>
      <c r="E161" s="33" t="s">
        <v>234</v>
      </c>
      <c r="F161" s="33" t="s">
        <v>165</v>
      </c>
      <c r="G161" s="64" t="s">
        <v>276</v>
      </c>
      <c r="H161" s="52">
        <v>43191</v>
      </c>
      <c r="I161" s="34">
        <v>44286</v>
      </c>
      <c r="J161" s="35">
        <v>16666</v>
      </c>
      <c r="K161" s="38">
        <v>6</v>
      </c>
      <c r="L161" s="35">
        <f>(J161*5)*9</f>
        <v>749970</v>
      </c>
      <c r="M161" s="35">
        <f>(J161*5)*12</f>
        <v>999960</v>
      </c>
      <c r="N161" s="35">
        <f>J161*5*12</f>
        <v>999960</v>
      </c>
      <c r="O161" s="35">
        <f t="shared" si="13"/>
        <v>272489.09999999998</v>
      </c>
      <c r="P161" s="37">
        <f t="shared" si="8"/>
        <v>3022379.1</v>
      </c>
    </row>
    <row r="162" spans="1:16" s="33" customFormat="1" ht="15" x14ac:dyDescent="0.25">
      <c r="A162" s="63">
        <v>21960001</v>
      </c>
      <c r="B162" s="33" t="s">
        <v>148</v>
      </c>
      <c r="C162" s="33" t="s">
        <v>298</v>
      </c>
      <c r="D162" s="33" t="s">
        <v>273</v>
      </c>
      <c r="E162" s="33" t="s">
        <v>234</v>
      </c>
      <c r="F162" s="33" t="s">
        <v>166</v>
      </c>
      <c r="G162" s="64" t="s">
        <v>276</v>
      </c>
      <c r="H162" s="52">
        <v>43191</v>
      </c>
      <c r="I162" s="34">
        <v>44286</v>
      </c>
      <c r="J162" s="35">
        <v>8333</v>
      </c>
      <c r="K162" s="38">
        <v>6</v>
      </c>
      <c r="L162" s="35">
        <f>(J162*5)*9</f>
        <v>374985</v>
      </c>
      <c r="M162" s="35">
        <f>(J162*5)*12</f>
        <v>499980</v>
      </c>
      <c r="N162" s="35">
        <f>J162*5*12</f>
        <v>499980</v>
      </c>
      <c r="O162" s="35">
        <f t="shared" si="13"/>
        <v>136244.54999999999</v>
      </c>
      <c r="P162" s="37">
        <f t="shared" si="8"/>
        <v>1511189.55</v>
      </c>
    </row>
    <row r="163" spans="1:16" s="33" customFormat="1" ht="15" x14ac:dyDescent="0.25">
      <c r="A163" s="63">
        <v>21940001</v>
      </c>
      <c r="B163" s="33" t="s">
        <v>164</v>
      </c>
      <c r="C163" s="33" t="s">
        <v>298</v>
      </c>
      <c r="D163" s="33" t="s">
        <v>237</v>
      </c>
      <c r="E163" s="33" t="s">
        <v>234</v>
      </c>
      <c r="F163" s="33" t="s">
        <v>278</v>
      </c>
      <c r="G163" s="64" t="s">
        <v>279</v>
      </c>
      <c r="H163" s="52">
        <v>43191</v>
      </c>
      <c r="I163" s="34">
        <v>44286</v>
      </c>
      <c r="J163" s="35">
        <v>28000000</v>
      </c>
      <c r="K163" s="38"/>
      <c r="L163" s="37">
        <f>((J163)/4)*3</f>
        <v>21000000</v>
      </c>
      <c r="M163" s="37">
        <f>J163*7%+J163</f>
        <v>29960000</v>
      </c>
      <c r="N163" s="37">
        <f>M163*8%+M163</f>
        <v>32356800</v>
      </c>
      <c r="O163" s="35">
        <f t="shared" si="13"/>
        <v>8817228</v>
      </c>
      <c r="P163" s="37">
        <f t="shared" ref="P163:P172" si="14">SUM(L163+M163+N163+O163)</f>
        <v>92134028</v>
      </c>
    </row>
    <row r="164" spans="1:16" s="33" customFormat="1" ht="15" x14ac:dyDescent="0.25">
      <c r="A164" s="63">
        <v>21930003</v>
      </c>
      <c r="B164" s="33" t="s">
        <v>215</v>
      </c>
      <c r="C164" s="33" t="s">
        <v>298</v>
      </c>
      <c r="D164" s="33" t="s">
        <v>237</v>
      </c>
      <c r="E164" s="33" t="s">
        <v>234</v>
      </c>
      <c r="F164" s="33" t="s">
        <v>280</v>
      </c>
      <c r="G164" s="64" t="s">
        <v>279</v>
      </c>
      <c r="H164" s="52">
        <v>43191</v>
      </c>
      <c r="I164" s="34">
        <v>44286</v>
      </c>
      <c r="J164" s="35">
        <v>25000000</v>
      </c>
      <c r="K164" s="38"/>
      <c r="L164" s="37">
        <f>((J164)/4)*3</f>
        <v>18750000</v>
      </c>
      <c r="M164" s="37">
        <f>J164*7%+J164</f>
        <v>26750000</v>
      </c>
      <c r="N164" s="37">
        <f>M164*8%+M164</f>
        <v>28890000</v>
      </c>
      <c r="O164" s="35">
        <f t="shared" si="13"/>
        <v>7872525</v>
      </c>
      <c r="P164" s="37">
        <f t="shared" si="14"/>
        <v>82262525</v>
      </c>
    </row>
    <row r="165" spans="1:16" s="51" customFormat="1" x14ac:dyDescent="0.3">
      <c r="A165" s="51">
        <v>21960001</v>
      </c>
      <c r="B165" s="33" t="s">
        <v>148</v>
      </c>
      <c r="C165" s="51" t="s">
        <v>294</v>
      </c>
      <c r="D165" s="51" t="s">
        <v>273</v>
      </c>
      <c r="E165" s="51" t="s">
        <v>244</v>
      </c>
      <c r="F165" s="51" t="s">
        <v>162</v>
      </c>
      <c r="G165" s="59" t="s">
        <v>276</v>
      </c>
      <c r="H165" s="52">
        <v>43191</v>
      </c>
      <c r="I165" s="34">
        <v>44286</v>
      </c>
      <c r="J165" s="35">
        <v>900450</v>
      </c>
      <c r="K165" s="38">
        <v>1</v>
      </c>
      <c r="L165" s="35">
        <f>J165*11</f>
        <v>9904950</v>
      </c>
      <c r="M165" s="35">
        <f>L165*7%+L165</f>
        <v>10598296.5</v>
      </c>
      <c r="N165" s="35">
        <v>0</v>
      </c>
      <c r="O165" s="35">
        <f t="shared" si="13"/>
        <v>0</v>
      </c>
      <c r="P165" s="37">
        <f t="shared" si="14"/>
        <v>20503246.5</v>
      </c>
    </row>
    <row r="166" spans="1:16" s="51" customFormat="1" x14ac:dyDescent="0.3">
      <c r="A166" s="51">
        <v>21960001</v>
      </c>
      <c r="B166" s="33" t="s">
        <v>148</v>
      </c>
      <c r="C166" s="51" t="s">
        <v>294</v>
      </c>
      <c r="D166" s="51" t="s">
        <v>273</v>
      </c>
      <c r="E166" s="51" t="s">
        <v>244</v>
      </c>
      <c r="F166" s="51" t="s">
        <v>163</v>
      </c>
      <c r="G166" s="59" t="s">
        <v>276</v>
      </c>
      <c r="H166" s="52">
        <v>43191</v>
      </c>
      <c r="I166" s="34">
        <v>44286</v>
      </c>
      <c r="J166" s="35">
        <v>69444</v>
      </c>
      <c r="K166" s="38">
        <v>4</v>
      </c>
      <c r="L166" s="35">
        <f>J166*K166*9</f>
        <v>2499984</v>
      </c>
      <c r="M166" s="35">
        <f>(J166*K166*11)*7%+(J166*K166*11)</f>
        <v>3269423.52</v>
      </c>
      <c r="N166" s="35">
        <f t="shared" ref="N166:N172" si="15">M166*8%+M166</f>
        <v>3530977.4016</v>
      </c>
      <c r="O166" s="35">
        <f t="shared" si="13"/>
        <v>962191.34193600004</v>
      </c>
      <c r="P166" s="37">
        <f t="shared" si="14"/>
        <v>10262576.263535999</v>
      </c>
    </row>
    <row r="167" spans="1:16" s="51" customFormat="1" x14ac:dyDescent="0.3">
      <c r="A167" s="51">
        <v>21940001</v>
      </c>
      <c r="B167" s="33" t="s">
        <v>164</v>
      </c>
      <c r="C167" s="51" t="s">
        <v>294</v>
      </c>
      <c r="D167" s="51" t="s">
        <v>273</v>
      </c>
      <c r="E167" s="51" t="s">
        <v>244</v>
      </c>
      <c r="F167" s="51" t="s">
        <v>165</v>
      </c>
      <c r="G167" s="59" t="s">
        <v>276</v>
      </c>
      <c r="H167" s="52">
        <v>43191</v>
      </c>
      <c r="I167" s="34">
        <v>44286</v>
      </c>
      <c r="J167" s="35">
        <v>16666</v>
      </c>
      <c r="K167" s="38">
        <v>1</v>
      </c>
      <c r="L167" s="35">
        <f>J167*9</f>
        <v>149994</v>
      </c>
      <c r="M167" s="35">
        <f>J167*12</f>
        <v>199992</v>
      </c>
      <c r="N167" s="35">
        <f t="shared" si="15"/>
        <v>215991.36</v>
      </c>
      <c r="O167" s="35">
        <f t="shared" si="13"/>
        <v>58857.645599999996</v>
      </c>
      <c r="P167" s="37">
        <f t="shared" si="14"/>
        <v>624835.00560000003</v>
      </c>
    </row>
    <row r="168" spans="1:16" s="51" customFormat="1" x14ac:dyDescent="0.3">
      <c r="A168" s="51">
        <v>21960001</v>
      </c>
      <c r="B168" s="33" t="s">
        <v>148</v>
      </c>
      <c r="C168" s="51" t="s">
        <v>294</v>
      </c>
      <c r="D168" s="51" t="s">
        <v>273</v>
      </c>
      <c r="E168" s="51" t="s">
        <v>244</v>
      </c>
      <c r="F168" s="51" t="s">
        <v>166</v>
      </c>
      <c r="G168" s="59" t="s">
        <v>276</v>
      </c>
      <c r="H168" s="52">
        <v>43191</v>
      </c>
      <c r="I168" s="34">
        <v>44286</v>
      </c>
      <c r="J168" s="35">
        <v>8333</v>
      </c>
      <c r="K168" s="38">
        <v>1</v>
      </c>
      <c r="L168" s="35">
        <f>J168*9</f>
        <v>74997</v>
      </c>
      <c r="M168" s="35">
        <f>J168*12</f>
        <v>99996</v>
      </c>
      <c r="N168" s="35">
        <f t="shared" si="15"/>
        <v>107995.68</v>
      </c>
      <c r="O168" s="35">
        <f t="shared" si="13"/>
        <v>29428.822799999998</v>
      </c>
      <c r="P168" s="37">
        <f t="shared" si="14"/>
        <v>312417.50280000002</v>
      </c>
    </row>
    <row r="169" spans="1:16" s="51" customFormat="1" x14ac:dyDescent="0.3">
      <c r="A169" s="51">
        <v>21960001</v>
      </c>
      <c r="B169" s="33" t="s">
        <v>148</v>
      </c>
      <c r="C169" s="51" t="s">
        <v>299</v>
      </c>
      <c r="D169" s="51" t="s">
        <v>273</v>
      </c>
      <c r="E169" s="51" t="s">
        <v>255</v>
      </c>
      <c r="F169" s="51" t="s">
        <v>162</v>
      </c>
      <c r="G169" s="59" t="s">
        <v>276</v>
      </c>
      <c r="H169" s="52">
        <v>43191</v>
      </c>
      <c r="I169" s="34">
        <v>44286</v>
      </c>
      <c r="J169" s="35">
        <v>1334</v>
      </c>
      <c r="K169" s="38">
        <v>1404</v>
      </c>
      <c r="L169" s="35">
        <f>J169*2106</f>
        <v>2809404</v>
      </c>
      <c r="M169" s="35">
        <f>J169*2808</f>
        <v>3745872</v>
      </c>
      <c r="N169" s="35">
        <f t="shared" si="15"/>
        <v>4045541.76</v>
      </c>
      <c r="O169" s="35">
        <f t="shared" si="13"/>
        <v>1102410.1295999999</v>
      </c>
      <c r="P169" s="37">
        <f t="shared" si="14"/>
        <v>11703227.889599999</v>
      </c>
    </row>
    <row r="170" spans="1:16" s="51" customFormat="1" x14ac:dyDescent="0.3">
      <c r="A170" s="51">
        <v>21960001</v>
      </c>
      <c r="B170" s="33" t="s">
        <v>148</v>
      </c>
      <c r="C170" s="51" t="s">
        <v>299</v>
      </c>
      <c r="D170" s="51" t="s">
        <v>273</v>
      </c>
      <c r="E170" s="51" t="s">
        <v>255</v>
      </c>
      <c r="F170" s="51" t="s">
        <v>163</v>
      </c>
      <c r="G170" s="59" t="s">
        <v>276</v>
      </c>
      <c r="H170" s="52">
        <v>43191</v>
      </c>
      <c r="I170" s="34">
        <v>44286</v>
      </c>
      <c r="J170" s="35">
        <v>617</v>
      </c>
      <c r="K170" s="38">
        <v>1404</v>
      </c>
      <c r="L170" s="35">
        <f>J170*2106</f>
        <v>1299402</v>
      </c>
      <c r="M170" s="35">
        <f>J170*2808</f>
        <v>1732536</v>
      </c>
      <c r="N170" s="35">
        <f t="shared" si="15"/>
        <v>1871138.88</v>
      </c>
      <c r="O170" s="35">
        <f t="shared" si="13"/>
        <v>509885.34479999996</v>
      </c>
      <c r="P170" s="37">
        <f t="shared" si="14"/>
        <v>5412962.2248</v>
      </c>
    </row>
    <row r="171" spans="1:16" s="51" customFormat="1" x14ac:dyDescent="0.3">
      <c r="A171" s="51">
        <v>21940001</v>
      </c>
      <c r="B171" s="33" t="s">
        <v>164</v>
      </c>
      <c r="C171" s="51" t="s">
        <v>299</v>
      </c>
      <c r="D171" s="51" t="s">
        <v>273</v>
      </c>
      <c r="E171" s="51" t="s">
        <v>255</v>
      </c>
      <c r="F171" s="51" t="s">
        <v>165</v>
      </c>
      <c r="G171" s="59" t="s">
        <v>276</v>
      </c>
      <c r="H171" s="52">
        <v>43191</v>
      </c>
      <c r="I171" s="34">
        <v>44286</v>
      </c>
      <c r="J171" s="35">
        <v>16666</v>
      </c>
      <c r="K171" s="38">
        <v>1</v>
      </c>
      <c r="L171" s="35">
        <f>(J171*4)*9</f>
        <v>599976</v>
      </c>
      <c r="M171" s="35">
        <f>((J171*4)*12)*7%+((J171*9)*12)</f>
        <v>1855925.76</v>
      </c>
      <c r="N171" s="35">
        <f t="shared" si="15"/>
        <v>2004399.8208000001</v>
      </c>
      <c r="O171" s="35">
        <f t="shared" si="13"/>
        <v>546198.951168</v>
      </c>
      <c r="P171" s="37">
        <f t="shared" si="14"/>
        <v>5006500.5319679994</v>
      </c>
    </row>
    <row r="172" spans="1:16" s="51" customFormat="1" x14ac:dyDescent="0.3">
      <c r="A172" s="51">
        <v>21960001</v>
      </c>
      <c r="B172" s="33" t="s">
        <v>148</v>
      </c>
      <c r="C172" s="51" t="s">
        <v>299</v>
      </c>
      <c r="D172" s="51" t="s">
        <v>273</v>
      </c>
      <c r="E172" s="51" t="s">
        <v>255</v>
      </c>
      <c r="F172" s="51" t="s">
        <v>166</v>
      </c>
      <c r="G172" s="59" t="s">
        <v>276</v>
      </c>
      <c r="H172" s="52">
        <v>43191</v>
      </c>
      <c r="I172" s="34">
        <v>44286</v>
      </c>
      <c r="J172" s="35">
        <v>8333</v>
      </c>
      <c r="K172" s="38">
        <v>1</v>
      </c>
      <c r="L172" s="35">
        <f>(J172*4)*9</f>
        <v>299988</v>
      </c>
      <c r="M172" s="35">
        <f>((J172*4)*12)*7%+((J172*4)*12)</f>
        <v>427982.88</v>
      </c>
      <c r="N172" s="35">
        <f t="shared" si="15"/>
        <v>462221.51040000003</v>
      </c>
      <c r="O172" s="35">
        <f t="shared" si="13"/>
        <v>125955.36158400001</v>
      </c>
      <c r="P172" s="37">
        <f t="shared" si="14"/>
        <v>1316147.751984</v>
      </c>
    </row>
    <row r="173" spans="1:16" s="51" customFormat="1" x14ac:dyDescent="0.3">
      <c r="A173" s="33">
        <v>21920001</v>
      </c>
      <c r="B173" s="33" t="s">
        <v>148</v>
      </c>
      <c r="C173" s="33" t="s">
        <v>296</v>
      </c>
      <c r="D173" s="33" t="s">
        <v>114</v>
      </c>
      <c r="E173" s="33" t="s">
        <v>281</v>
      </c>
      <c r="F173" s="33" t="s">
        <v>151</v>
      </c>
      <c r="G173" s="35" t="s">
        <v>276</v>
      </c>
      <c r="H173" s="34">
        <v>43191</v>
      </c>
      <c r="I173" s="34">
        <v>43646</v>
      </c>
      <c r="J173" s="35">
        <f>(((4676050))*70%+(4676050))/30/8</f>
        <v>33122.020833333336</v>
      </c>
      <c r="K173" s="38">
        <v>200</v>
      </c>
      <c r="L173" s="35">
        <f t="shared" ref="L173" si="16">J173*300</f>
        <v>9936606.25</v>
      </c>
      <c r="M173" s="35">
        <f>((((((4676050))*7%))+(4676050)*70%+((((4676050))*7%))+(4676050))/30/8)*200</f>
        <v>7169943.333333333</v>
      </c>
      <c r="N173" s="33">
        <v>0</v>
      </c>
      <c r="O173" s="33">
        <v>0</v>
      </c>
      <c r="P173" s="37">
        <f>SUM(L173+M173+N173+O173)</f>
        <v>17106549.583333332</v>
      </c>
    </row>
    <row r="174" spans="1:16" x14ac:dyDescent="0.3">
      <c r="B174" s="28"/>
      <c r="G174" s="41"/>
      <c r="H174" s="42"/>
      <c r="I174" s="43"/>
      <c r="J174" s="29"/>
      <c r="K174" s="30"/>
      <c r="L174" s="31"/>
      <c r="M174" s="31"/>
      <c r="N174" s="31"/>
      <c r="O174" s="31"/>
      <c r="P174" s="32"/>
    </row>
    <row r="175" spans="1:16" x14ac:dyDescent="0.3">
      <c r="B175" s="28"/>
      <c r="G175" s="41"/>
      <c r="H175" s="42"/>
      <c r="I175" s="43"/>
      <c r="J175" s="29"/>
      <c r="K175" s="30"/>
      <c r="L175" s="31"/>
      <c r="M175" s="31"/>
      <c r="N175" s="31"/>
      <c r="O175" s="31"/>
      <c r="P175" s="32"/>
    </row>
    <row r="176" spans="1:16" x14ac:dyDescent="0.3">
      <c r="B176" s="28"/>
      <c r="G176" s="41"/>
      <c r="H176" s="42"/>
      <c r="I176" s="43"/>
      <c r="J176" s="29"/>
      <c r="K176" s="30"/>
      <c r="L176" s="31"/>
      <c r="M176" s="31"/>
      <c r="N176" s="31"/>
      <c r="O176" s="31"/>
      <c r="P176" s="32"/>
    </row>
    <row r="177" spans="2:18" x14ac:dyDescent="0.3">
      <c r="B177" s="28"/>
      <c r="G177" s="41"/>
      <c r="H177" s="42"/>
      <c r="I177" s="43"/>
      <c r="J177" s="29"/>
      <c r="K177" s="30"/>
      <c r="L177" s="31"/>
      <c r="M177" s="31"/>
      <c r="N177" s="31"/>
      <c r="O177" s="31"/>
      <c r="P177" s="32"/>
    </row>
    <row r="178" spans="2:18" x14ac:dyDescent="0.3">
      <c r="L178" s="44">
        <f>SUM(L2:L173)</f>
        <v>1842138422.5231249</v>
      </c>
      <c r="M178" s="44">
        <f>SUM(M2:M173)</f>
        <v>3203138610.6908011</v>
      </c>
      <c r="N178" s="44">
        <f>SUM(N2:N173)</f>
        <v>1902718714.5883467</v>
      </c>
      <c r="O178" s="44">
        <f>SUM(O2:O173)</f>
        <v>344029271.72077453</v>
      </c>
      <c r="P178" s="44">
        <f>SUM(P2:P173)</f>
        <v>7292025019.5230484</v>
      </c>
    </row>
    <row r="179" spans="2:18" ht="17.25" thickBot="1" x14ac:dyDescent="0.35">
      <c r="K179" s="45"/>
      <c r="L179" s="46">
        <f>SUBTOTAL(9,L2:L173)</f>
        <v>1842138422.5231249</v>
      </c>
      <c r="M179" s="46">
        <f>SUBTOTAL(9,M2:M173)</f>
        <v>3203138610.6908011</v>
      </c>
      <c r="N179" s="46">
        <f>SUBTOTAL(9,N2:N173)</f>
        <v>1902718714.5883467</v>
      </c>
      <c r="O179" s="46">
        <f>SUBTOTAL(9,O2:O173)</f>
        <v>344029271.72077453</v>
      </c>
      <c r="P179" s="46">
        <f>SUBTOTAL(9,P2:P173)</f>
        <v>7292025019.5230484</v>
      </c>
    </row>
    <row r="180" spans="2:18" ht="17.25" thickTop="1" x14ac:dyDescent="0.3">
      <c r="K180" s="45"/>
      <c r="L180" s="47"/>
      <c r="M180" s="47"/>
      <c r="N180" s="47"/>
      <c r="O180" s="47"/>
      <c r="P180" s="47"/>
    </row>
    <row r="181" spans="2:18" ht="17.25" thickBot="1" x14ac:dyDescent="0.35">
      <c r="K181" s="45"/>
      <c r="L181" s="48">
        <f>SUBTOTAL(9,L2:L173)</f>
        <v>1842138422.5231249</v>
      </c>
      <c r="M181" s="48">
        <f t="shared" ref="M181:O181" si="17">SUBTOTAL(9,M2:M173)</f>
        <v>3203138610.6908011</v>
      </c>
      <c r="N181" s="48">
        <f t="shared" si="17"/>
        <v>1902718714.5883467</v>
      </c>
      <c r="O181" s="48">
        <f t="shared" si="17"/>
        <v>344029271.72077453</v>
      </c>
      <c r="P181" s="48">
        <f t="shared" ref="P181" si="18">SUBTOTAL(9,P2:P173)</f>
        <v>7292025019.5230484</v>
      </c>
    </row>
    <row r="182" spans="2:18" ht="17.25" thickTop="1" x14ac:dyDescent="0.3">
      <c r="K182" s="45"/>
      <c r="L182" s="49"/>
    </row>
    <row r="183" spans="2:18" x14ac:dyDescent="0.3">
      <c r="K183" s="45"/>
      <c r="P183" s="50">
        <f>P181/1000000</f>
        <v>7292.0250195230483</v>
      </c>
      <c r="Q183" s="27">
        <f>2036.2+664.4+1628.3+311.9+2038.8+612.4</f>
        <v>7291.9999999999991</v>
      </c>
      <c r="R183" s="65"/>
    </row>
    <row r="184" spans="2:18" x14ac:dyDescent="0.3">
      <c r="K184" s="45"/>
    </row>
  </sheetData>
  <autoFilter ref="A1:P18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5"/>
  <sheetViews>
    <sheetView showGridLines="0" topLeftCell="A37" zoomScaleNormal="100" workbookViewId="0">
      <selection activeCell="F40" sqref="F40:G40"/>
    </sheetView>
  </sheetViews>
  <sheetFormatPr baseColWidth="10" defaultColWidth="11.42578125" defaultRowHeight="45" customHeight="1" outlineLevelCol="1" x14ac:dyDescent="0.25"/>
  <cols>
    <col min="1" max="1" width="4.42578125" style="2" customWidth="1"/>
    <col min="2" max="2" width="15.42578125" style="1" customWidth="1"/>
    <col min="3" max="3" width="11" style="1" customWidth="1"/>
    <col min="4" max="4" width="11.42578125" style="1"/>
    <col min="5" max="6" width="10.7109375" style="1" customWidth="1"/>
    <col min="7" max="7" width="15.140625" style="1" customWidth="1"/>
    <col min="8" max="8" width="10.7109375" style="1" customWidth="1"/>
    <col min="9" max="9" width="12" style="1" customWidth="1"/>
    <col min="10" max="11" width="10.7109375" style="1" customWidth="1"/>
    <col min="12" max="50" width="5.7109375" style="1" customWidth="1" outlineLevel="1"/>
    <col min="51" max="16384" width="11.42578125" style="1"/>
  </cols>
  <sheetData>
    <row r="1" spans="1:50" ht="45" customHeight="1" x14ac:dyDescent="0.25">
      <c r="A1" s="92"/>
      <c r="B1" s="92"/>
      <c r="C1" s="93" t="s">
        <v>30</v>
      </c>
      <c r="D1" s="93"/>
      <c r="E1" s="93"/>
      <c r="F1" s="93"/>
      <c r="G1" s="93"/>
      <c r="H1" s="93"/>
      <c r="I1" s="93"/>
      <c r="J1" s="93"/>
      <c r="K1" s="9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5" customHeight="1" x14ac:dyDescent="0.25">
      <c r="A2" s="92"/>
      <c r="B2" s="92"/>
      <c r="C2" s="93" t="s">
        <v>31</v>
      </c>
      <c r="D2" s="93"/>
      <c r="E2" s="93"/>
      <c r="F2" s="93"/>
      <c r="G2" s="93"/>
      <c r="H2" s="93"/>
      <c r="I2" s="93"/>
      <c r="J2" s="93"/>
      <c r="K2" s="9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45" customHeight="1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45" customHeight="1" x14ac:dyDescent="0.25">
      <c r="A4" s="95" t="s">
        <v>35</v>
      </c>
      <c r="B4" s="95"/>
      <c r="C4" s="95"/>
      <c r="D4" s="96" t="s">
        <v>85</v>
      </c>
      <c r="E4" s="96"/>
      <c r="F4" s="96"/>
      <c r="G4" s="96"/>
      <c r="H4" s="96"/>
      <c r="I4" s="96"/>
      <c r="J4" s="96"/>
      <c r="K4" s="96"/>
    </row>
    <row r="5" spans="1:50" ht="45" customHeight="1" x14ac:dyDescent="0.25">
      <c r="A5" s="95" t="s">
        <v>1</v>
      </c>
      <c r="B5" s="95"/>
      <c r="C5" s="95"/>
      <c r="D5" s="96" t="s">
        <v>101</v>
      </c>
      <c r="E5" s="96"/>
      <c r="F5" s="96"/>
      <c r="G5" s="96"/>
      <c r="H5" s="96"/>
      <c r="I5" s="96"/>
      <c r="J5" s="96"/>
      <c r="K5" s="96"/>
    </row>
    <row r="6" spans="1:50" ht="45" customHeight="1" x14ac:dyDescent="0.25">
      <c r="A6" s="95" t="s">
        <v>32</v>
      </c>
      <c r="B6" s="95"/>
      <c r="C6" s="95"/>
      <c r="D6" s="96" t="s">
        <v>48</v>
      </c>
      <c r="E6" s="96"/>
      <c r="F6" s="96"/>
      <c r="G6" s="96"/>
      <c r="H6" s="96"/>
      <c r="I6" s="96"/>
      <c r="J6" s="96"/>
      <c r="K6" s="96"/>
    </row>
    <row r="7" spans="1:50" ht="45" customHeight="1" x14ac:dyDescent="0.25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50" ht="45" customHeight="1" x14ac:dyDescent="0.25">
      <c r="A8" s="104" t="s">
        <v>102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50" ht="45" customHeight="1" x14ac:dyDescent="0.25">
      <c r="A9" s="98" t="s">
        <v>2</v>
      </c>
      <c r="B9" s="85" t="s">
        <v>37</v>
      </c>
      <c r="C9" s="85"/>
      <c r="D9" s="85"/>
      <c r="E9" s="85" t="s">
        <v>3</v>
      </c>
      <c r="F9" s="85"/>
      <c r="G9" s="85" t="s">
        <v>36</v>
      </c>
      <c r="H9" s="85" t="s">
        <v>4</v>
      </c>
      <c r="I9" s="85"/>
      <c r="J9" s="85" t="s">
        <v>5</v>
      </c>
      <c r="K9" s="85"/>
      <c r="L9" s="86" t="s">
        <v>45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45" customHeight="1" x14ac:dyDescent="0.25">
      <c r="A10" s="98"/>
      <c r="B10" s="85"/>
      <c r="C10" s="85"/>
      <c r="D10" s="85"/>
      <c r="E10" s="85"/>
      <c r="F10" s="85"/>
      <c r="G10" s="85"/>
      <c r="H10" s="85" t="s">
        <v>6</v>
      </c>
      <c r="I10" s="85" t="s">
        <v>7</v>
      </c>
      <c r="J10" s="85" t="s">
        <v>6</v>
      </c>
      <c r="K10" s="85" t="s">
        <v>7</v>
      </c>
      <c r="L10" s="85" t="s">
        <v>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 t="s">
        <v>9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 t="s">
        <v>10</v>
      </c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 t="s">
        <v>11</v>
      </c>
      <c r="AW10" s="85"/>
      <c r="AX10" s="85"/>
    </row>
    <row r="11" spans="1:50" ht="45" customHeight="1" x14ac:dyDescent="0.25">
      <c r="A11" s="9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2" t="s">
        <v>41</v>
      </c>
      <c r="M11" s="83"/>
      <c r="N11" s="84"/>
      <c r="O11" s="82" t="s">
        <v>42</v>
      </c>
      <c r="P11" s="83"/>
      <c r="Q11" s="84"/>
      <c r="R11" s="82" t="s">
        <v>43</v>
      </c>
      <c r="S11" s="83"/>
      <c r="T11" s="84"/>
      <c r="U11" s="82" t="s">
        <v>44</v>
      </c>
      <c r="V11" s="83"/>
      <c r="W11" s="84"/>
      <c r="X11" s="82" t="s">
        <v>41</v>
      </c>
      <c r="Y11" s="83"/>
      <c r="Z11" s="84"/>
      <c r="AA11" s="82" t="s">
        <v>42</v>
      </c>
      <c r="AB11" s="83"/>
      <c r="AC11" s="84"/>
      <c r="AD11" s="82" t="s">
        <v>43</v>
      </c>
      <c r="AE11" s="83"/>
      <c r="AF11" s="84"/>
      <c r="AG11" s="82" t="s">
        <v>44</v>
      </c>
      <c r="AH11" s="83"/>
      <c r="AI11" s="84"/>
      <c r="AJ11" s="82" t="s">
        <v>41</v>
      </c>
      <c r="AK11" s="83"/>
      <c r="AL11" s="84"/>
      <c r="AM11" s="82" t="s">
        <v>42</v>
      </c>
      <c r="AN11" s="83"/>
      <c r="AO11" s="84"/>
      <c r="AP11" s="82" t="s">
        <v>43</v>
      </c>
      <c r="AQ11" s="83"/>
      <c r="AR11" s="84"/>
      <c r="AS11" s="82" t="s">
        <v>44</v>
      </c>
      <c r="AT11" s="83"/>
      <c r="AU11" s="84"/>
      <c r="AV11" s="82" t="s">
        <v>41</v>
      </c>
      <c r="AW11" s="83"/>
      <c r="AX11" s="84"/>
    </row>
    <row r="12" spans="1:50" ht="45" customHeight="1" x14ac:dyDescent="0.2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7" t="s">
        <v>12</v>
      </c>
      <c r="M12" s="17" t="s">
        <v>13</v>
      </c>
      <c r="N12" s="17" t="s">
        <v>14</v>
      </c>
      <c r="O12" s="17" t="s">
        <v>15</v>
      </c>
      <c r="P12" s="17" t="s">
        <v>16</v>
      </c>
      <c r="Q12" s="17" t="s">
        <v>17</v>
      </c>
      <c r="R12" s="17" t="s">
        <v>18</v>
      </c>
      <c r="S12" s="17" t="s">
        <v>19</v>
      </c>
      <c r="T12" s="17" t="s">
        <v>20</v>
      </c>
      <c r="U12" s="17" t="s">
        <v>21</v>
      </c>
      <c r="V12" s="17" t="s">
        <v>22</v>
      </c>
      <c r="W12" s="17" t="s">
        <v>23</v>
      </c>
      <c r="X12" s="17" t="s">
        <v>12</v>
      </c>
      <c r="Y12" s="17" t="s">
        <v>13</v>
      </c>
      <c r="Z12" s="17" t="s">
        <v>14</v>
      </c>
      <c r="AA12" s="17" t="s">
        <v>15</v>
      </c>
      <c r="AB12" s="17" t="s">
        <v>16</v>
      </c>
      <c r="AC12" s="17" t="s">
        <v>17</v>
      </c>
      <c r="AD12" s="17" t="s">
        <v>18</v>
      </c>
      <c r="AE12" s="17" t="s">
        <v>19</v>
      </c>
      <c r="AF12" s="17" t="s">
        <v>20</v>
      </c>
      <c r="AG12" s="17" t="s">
        <v>21</v>
      </c>
      <c r="AH12" s="17" t="s">
        <v>22</v>
      </c>
      <c r="AI12" s="17" t="s">
        <v>23</v>
      </c>
      <c r="AJ12" s="17" t="s">
        <v>12</v>
      </c>
      <c r="AK12" s="17" t="s">
        <v>13</v>
      </c>
      <c r="AL12" s="17" t="s">
        <v>14</v>
      </c>
      <c r="AM12" s="17" t="s">
        <v>15</v>
      </c>
      <c r="AN12" s="17" t="s">
        <v>16</v>
      </c>
      <c r="AO12" s="17" t="s">
        <v>17</v>
      </c>
      <c r="AP12" s="17" t="s">
        <v>18</v>
      </c>
      <c r="AQ12" s="17" t="s">
        <v>19</v>
      </c>
      <c r="AR12" s="17" t="s">
        <v>20</v>
      </c>
      <c r="AS12" s="17" t="s">
        <v>21</v>
      </c>
      <c r="AT12" s="17" t="s">
        <v>22</v>
      </c>
      <c r="AU12" s="17" t="s">
        <v>23</v>
      </c>
      <c r="AV12" s="17" t="s">
        <v>12</v>
      </c>
      <c r="AW12" s="17" t="s">
        <v>13</v>
      </c>
      <c r="AX12" s="17" t="s">
        <v>14</v>
      </c>
    </row>
    <row r="13" spans="1:50" s="14" customFormat="1" ht="20.25" customHeight="1" x14ac:dyDescent="0.2">
      <c r="A13" s="109" t="s">
        <v>103</v>
      </c>
      <c r="B13" s="109"/>
      <c r="C13" s="109"/>
      <c r="D13" s="109"/>
      <c r="E13" s="109"/>
      <c r="F13" s="109"/>
      <c r="G13" s="21">
        <v>0.19</v>
      </c>
      <c r="H13" s="6"/>
      <c r="I13" s="6"/>
      <c r="J13" s="6"/>
      <c r="K13" s="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45" customHeight="1" x14ac:dyDescent="0.25">
      <c r="A14" s="16">
        <v>1</v>
      </c>
      <c r="B14" s="106" t="s">
        <v>104</v>
      </c>
      <c r="C14" s="106"/>
      <c r="D14" s="106"/>
      <c r="E14" s="117" t="s">
        <v>116</v>
      </c>
      <c r="F14" s="117"/>
      <c r="G14" s="5">
        <v>0.3</v>
      </c>
      <c r="H14" s="6" t="s">
        <v>19</v>
      </c>
      <c r="I14" s="6">
        <v>2018</v>
      </c>
      <c r="J14" s="6" t="s">
        <v>23</v>
      </c>
      <c r="K14" s="6">
        <v>2019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0.05</v>
      </c>
      <c r="S14" s="7">
        <v>0.05</v>
      </c>
      <c r="T14" s="7">
        <v>0.06</v>
      </c>
      <c r="U14" s="7">
        <v>0.05</v>
      </c>
      <c r="V14" s="7">
        <v>0.05</v>
      </c>
      <c r="W14" s="7">
        <v>7.0000000000000007E-2</v>
      </c>
      <c r="X14" s="7">
        <v>0.05</v>
      </c>
      <c r="Y14" s="7">
        <v>0.05</v>
      </c>
      <c r="Z14" s="7">
        <v>7.0000000000000007E-2</v>
      </c>
      <c r="AA14" s="7">
        <v>0.05</v>
      </c>
      <c r="AB14" s="7">
        <v>0.05</v>
      </c>
      <c r="AC14" s="7">
        <v>7.0000000000000007E-2</v>
      </c>
      <c r="AD14" s="7">
        <v>0.05</v>
      </c>
      <c r="AE14" s="7">
        <v>0.05</v>
      </c>
      <c r="AF14" s="7">
        <v>7.0000000000000007E-2</v>
      </c>
      <c r="AG14" s="7">
        <v>0.05</v>
      </c>
      <c r="AH14" s="7">
        <v>0.05</v>
      </c>
      <c r="AI14" s="7">
        <v>0.06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</row>
    <row r="15" spans="1:50" ht="48" customHeight="1" x14ac:dyDescent="0.25">
      <c r="A15" s="16">
        <f>A14+1</f>
        <v>2</v>
      </c>
      <c r="B15" s="106" t="s">
        <v>80</v>
      </c>
      <c r="C15" s="106"/>
      <c r="D15" s="106"/>
      <c r="E15" s="117" t="s">
        <v>98</v>
      </c>
      <c r="F15" s="117" t="s">
        <v>98</v>
      </c>
      <c r="G15" s="5">
        <v>0.3</v>
      </c>
      <c r="H15" s="6" t="s">
        <v>12</v>
      </c>
      <c r="I15" s="6">
        <v>2019</v>
      </c>
      <c r="J15" s="6" t="s">
        <v>14</v>
      </c>
      <c r="K15" s="6">
        <v>2021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0.04</v>
      </c>
      <c r="Y15" s="7">
        <v>0.04</v>
      </c>
      <c r="Z15" s="7">
        <v>0.03</v>
      </c>
      <c r="AA15" s="7">
        <v>0.04</v>
      </c>
      <c r="AB15" s="7">
        <v>0.04</v>
      </c>
      <c r="AC15" s="7">
        <v>0.03</v>
      </c>
      <c r="AD15" s="7">
        <v>0.04</v>
      </c>
      <c r="AE15" s="7">
        <v>0.04</v>
      </c>
      <c r="AF15" s="7">
        <v>0.03</v>
      </c>
      <c r="AG15" s="7">
        <v>0.04</v>
      </c>
      <c r="AH15" s="7">
        <v>0.04</v>
      </c>
      <c r="AI15" s="7">
        <v>0.03</v>
      </c>
      <c r="AJ15" s="7">
        <v>0.04</v>
      </c>
      <c r="AK15" s="7">
        <v>0.04</v>
      </c>
      <c r="AL15" s="7">
        <v>0.03</v>
      </c>
      <c r="AM15" s="7">
        <v>0.04</v>
      </c>
      <c r="AN15" s="7">
        <v>0.04</v>
      </c>
      <c r="AO15" s="7">
        <v>0.03</v>
      </c>
      <c r="AP15" s="7">
        <v>0.04</v>
      </c>
      <c r="AQ15" s="7">
        <v>0.04</v>
      </c>
      <c r="AR15" s="7">
        <v>0.03</v>
      </c>
      <c r="AS15" s="7">
        <v>0.04</v>
      </c>
      <c r="AT15" s="7">
        <v>0.04</v>
      </c>
      <c r="AU15" s="7">
        <v>0.03</v>
      </c>
      <c r="AV15" s="7">
        <v>0.04</v>
      </c>
      <c r="AW15" s="7">
        <v>0.04</v>
      </c>
      <c r="AX15" s="7">
        <v>0.04</v>
      </c>
    </row>
    <row r="16" spans="1:50" ht="45" customHeight="1" x14ac:dyDescent="0.25">
      <c r="A16" s="25">
        <f t="shared" ref="A16" si="0">A15+1</f>
        <v>3</v>
      </c>
      <c r="B16" s="111" t="s">
        <v>71</v>
      </c>
      <c r="C16" s="111"/>
      <c r="D16" s="111"/>
      <c r="E16" s="118" t="s">
        <v>96</v>
      </c>
      <c r="F16" s="118" t="s">
        <v>96</v>
      </c>
      <c r="G16" s="15">
        <v>0.4</v>
      </c>
      <c r="H16" s="6" t="s">
        <v>15</v>
      </c>
      <c r="I16" s="6">
        <v>2018</v>
      </c>
      <c r="J16" s="6" t="s">
        <v>23</v>
      </c>
      <c r="K16" s="6">
        <v>2019</v>
      </c>
      <c r="L16" s="7">
        <v>0</v>
      </c>
      <c r="M16" s="7">
        <v>0</v>
      </c>
      <c r="N16" s="7">
        <v>0</v>
      </c>
      <c r="O16" s="7">
        <v>0.11</v>
      </c>
      <c r="P16" s="7">
        <v>0.11</v>
      </c>
      <c r="Q16" s="7">
        <v>0.11</v>
      </c>
      <c r="R16" s="7">
        <v>0.11</v>
      </c>
      <c r="S16" s="7">
        <v>0.11</v>
      </c>
      <c r="T16" s="7">
        <v>0.12</v>
      </c>
      <c r="U16" s="7">
        <v>0.02</v>
      </c>
      <c r="V16" s="7">
        <v>0.02</v>
      </c>
      <c r="W16" s="7">
        <v>0.02</v>
      </c>
      <c r="X16" s="7">
        <v>0.02</v>
      </c>
      <c r="Y16" s="7">
        <v>0.02</v>
      </c>
      <c r="Z16" s="7">
        <v>0.02</v>
      </c>
      <c r="AA16" s="7">
        <v>0.02</v>
      </c>
      <c r="AB16" s="7">
        <v>0.02</v>
      </c>
      <c r="AC16" s="7">
        <v>0.02</v>
      </c>
      <c r="AD16" s="7">
        <v>0.02</v>
      </c>
      <c r="AE16" s="7">
        <v>0.02</v>
      </c>
      <c r="AF16" s="7">
        <v>0.02</v>
      </c>
      <c r="AG16" s="7">
        <v>0.03</v>
      </c>
      <c r="AH16" s="7">
        <v>0.03</v>
      </c>
      <c r="AI16" s="7">
        <v>0.03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</row>
    <row r="17" spans="1:50" s="14" customFormat="1" ht="20.25" customHeight="1" x14ac:dyDescent="0.2">
      <c r="A17" s="109" t="s">
        <v>130</v>
      </c>
      <c r="B17" s="109"/>
      <c r="C17" s="109"/>
      <c r="D17" s="109"/>
      <c r="E17" s="109"/>
      <c r="F17" s="109"/>
      <c r="G17" s="21">
        <v>0.1</v>
      </c>
      <c r="H17" s="6"/>
      <c r="I17" s="6"/>
      <c r="J17" s="6"/>
      <c r="K17" s="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45" customHeight="1" x14ac:dyDescent="0.25">
      <c r="A18" s="18">
        <v>4</v>
      </c>
      <c r="B18" s="119" t="s">
        <v>131</v>
      </c>
      <c r="C18" s="120"/>
      <c r="D18" s="121"/>
      <c r="E18" s="122" t="s">
        <v>95</v>
      </c>
      <c r="F18" s="123"/>
      <c r="G18" s="19">
        <v>1</v>
      </c>
      <c r="H18" s="6" t="s">
        <v>15</v>
      </c>
      <c r="I18" s="6">
        <v>2018</v>
      </c>
      <c r="J18" s="6" t="s">
        <v>23</v>
      </c>
      <c r="K18" s="6">
        <v>2019</v>
      </c>
      <c r="L18" s="7">
        <v>0</v>
      </c>
      <c r="M18" s="7">
        <v>0</v>
      </c>
      <c r="N18" s="7">
        <v>0</v>
      </c>
      <c r="O18" s="7">
        <v>0.11</v>
      </c>
      <c r="P18" s="7">
        <v>0.11</v>
      </c>
      <c r="Q18" s="7">
        <v>0.11</v>
      </c>
      <c r="R18" s="7">
        <v>0.11</v>
      </c>
      <c r="S18" s="7">
        <v>0.11</v>
      </c>
      <c r="T18" s="7">
        <v>0.12</v>
      </c>
      <c r="U18" s="7">
        <v>0.11</v>
      </c>
      <c r="V18" s="7">
        <v>0.11</v>
      </c>
      <c r="W18" s="7">
        <v>0.11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</row>
    <row r="19" spans="1:50" s="14" customFormat="1" ht="20.25" customHeight="1" x14ac:dyDescent="0.2">
      <c r="A19" s="109" t="s">
        <v>105</v>
      </c>
      <c r="B19" s="109"/>
      <c r="C19" s="109"/>
      <c r="D19" s="109"/>
      <c r="E19" s="109"/>
      <c r="F19" s="109"/>
      <c r="G19" s="21">
        <v>0.1</v>
      </c>
      <c r="H19" s="6"/>
      <c r="I19" s="6"/>
      <c r="J19" s="6"/>
      <c r="K19" s="6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45" customHeight="1" x14ac:dyDescent="0.25">
      <c r="A20" s="16">
        <v>5</v>
      </c>
      <c r="B20" s="106" t="s">
        <v>106</v>
      </c>
      <c r="C20" s="106"/>
      <c r="D20" s="106"/>
      <c r="E20" s="117" t="s">
        <v>117</v>
      </c>
      <c r="F20" s="117"/>
      <c r="G20" s="5">
        <v>1</v>
      </c>
      <c r="H20" s="6" t="s">
        <v>15</v>
      </c>
      <c r="I20" s="6">
        <v>2019</v>
      </c>
      <c r="J20" s="6" t="s">
        <v>23</v>
      </c>
      <c r="K20" s="6">
        <v>2019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0.11</v>
      </c>
      <c r="AB20" s="7">
        <v>0.11</v>
      </c>
      <c r="AC20" s="7">
        <v>0.11</v>
      </c>
      <c r="AD20" s="7">
        <v>0.11</v>
      </c>
      <c r="AE20" s="7">
        <v>0.11</v>
      </c>
      <c r="AF20" s="7">
        <v>0.12</v>
      </c>
      <c r="AG20" s="7">
        <v>0.11</v>
      </c>
      <c r="AH20" s="7">
        <v>0.11</v>
      </c>
      <c r="AI20" s="7">
        <v>0.11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</row>
    <row r="21" spans="1:50" s="14" customFormat="1" ht="20.25" customHeight="1" x14ac:dyDescent="0.2">
      <c r="A21" s="109" t="s">
        <v>107</v>
      </c>
      <c r="B21" s="109"/>
      <c r="C21" s="109"/>
      <c r="D21" s="109"/>
      <c r="E21" s="109"/>
      <c r="F21" s="109"/>
      <c r="G21" s="21">
        <v>0.1</v>
      </c>
      <c r="H21" s="6"/>
      <c r="I21" s="6"/>
      <c r="J21" s="6"/>
      <c r="K21" s="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45" customHeight="1" x14ac:dyDescent="0.25">
      <c r="A22" s="16">
        <v>6</v>
      </c>
      <c r="B22" s="106" t="s">
        <v>83</v>
      </c>
      <c r="C22" s="106"/>
      <c r="D22" s="106"/>
      <c r="E22" s="117" t="s">
        <v>95</v>
      </c>
      <c r="F22" s="117"/>
      <c r="G22" s="5">
        <v>1</v>
      </c>
      <c r="H22" s="6" t="s">
        <v>12</v>
      </c>
      <c r="I22" s="6">
        <v>2019</v>
      </c>
      <c r="J22" s="6" t="s">
        <v>17</v>
      </c>
      <c r="K22" s="6">
        <v>2019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0.16</v>
      </c>
      <c r="Y22" s="7">
        <v>0.17</v>
      </c>
      <c r="Z22" s="7">
        <v>0.17</v>
      </c>
      <c r="AA22" s="7">
        <v>0.16</v>
      </c>
      <c r="AB22" s="7">
        <v>0.17</v>
      </c>
      <c r="AC22" s="7">
        <v>0.17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</row>
    <row r="23" spans="1:50" s="14" customFormat="1" ht="20.25" customHeight="1" x14ac:dyDescent="0.2">
      <c r="A23" s="109" t="s">
        <v>108</v>
      </c>
      <c r="B23" s="109"/>
      <c r="C23" s="109"/>
      <c r="D23" s="109"/>
      <c r="E23" s="109"/>
      <c r="F23" s="109"/>
      <c r="G23" s="21">
        <v>0.19</v>
      </c>
      <c r="H23" s="6"/>
      <c r="I23" s="6"/>
      <c r="J23" s="6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45" customHeight="1" x14ac:dyDescent="0.25">
      <c r="A24" s="16">
        <v>7</v>
      </c>
      <c r="B24" s="106" t="s">
        <v>104</v>
      </c>
      <c r="C24" s="106"/>
      <c r="D24" s="106"/>
      <c r="E24" s="117" t="s">
        <v>118</v>
      </c>
      <c r="F24" s="117"/>
      <c r="G24" s="5">
        <v>0.3</v>
      </c>
      <c r="H24" s="6" t="s">
        <v>19</v>
      </c>
      <c r="I24" s="6">
        <v>2018</v>
      </c>
      <c r="J24" s="6" t="s">
        <v>23</v>
      </c>
      <c r="K24" s="6">
        <v>2019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0.1</v>
      </c>
      <c r="T24" s="7">
        <v>7.0000000000000007E-2</v>
      </c>
      <c r="U24" s="7">
        <v>0.05</v>
      </c>
      <c r="V24" s="7">
        <v>0.05</v>
      </c>
      <c r="W24" s="7">
        <v>0.06</v>
      </c>
      <c r="X24" s="7">
        <v>0.05</v>
      </c>
      <c r="Y24" s="7">
        <v>0.05</v>
      </c>
      <c r="Z24" s="7">
        <v>7.0000000000000007E-2</v>
      </c>
      <c r="AA24" s="7">
        <v>0.05</v>
      </c>
      <c r="AB24" s="7">
        <v>0.05</v>
      </c>
      <c r="AC24" s="7">
        <v>0.06</v>
      </c>
      <c r="AD24" s="7">
        <v>0.05</v>
      </c>
      <c r="AE24" s="7">
        <v>0.05</v>
      </c>
      <c r="AF24" s="7">
        <v>7.0000000000000007E-2</v>
      </c>
      <c r="AG24" s="7">
        <v>0.05</v>
      </c>
      <c r="AH24" s="7">
        <v>0.05</v>
      </c>
      <c r="AI24" s="7">
        <v>7.0000000000000007E-2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</row>
    <row r="25" spans="1:50" ht="45" customHeight="1" x14ac:dyDescent="0.25">
      <c r="A25" s="16">
        <v>8</v>
      </c>
      <c r="B25" s="106" t="s">
        <v>78</v>
      </c>
      <c r="C25" s="106"/>
      <c r="D25" s="106"/>
      <c r="E25" s="117" t="s">
        <v>95</v>
      </c>
      <c r="F25" s="117" t="s">
        <v>95</v>
      </c>
      <c r="G25" s="5">
        <v>0.3</v>
      </c>
      <c r="H25" s="6" t="s">
        <v>15</v>
      </c>
      <c r="I25" s="6">
        <v>2018</v>
      </c>
      <c r="J25" s="6" t="s">
        <v>23</v>
      </c>
      <c r="K25" s="6">
        <v>2019</v>
      </c>
      <c r="L25" s="7">
        <v>0</v>
      </c>
      <c r="M25" s="7">
        <v>0</v>
      </c>
      <c r="N25" s="7">
        <v>0</v>
      </c>
      <c r="O25" s="7">
        <v>0.05</v>
      </c>
      <c r="P25" s="7">
        <v>0.05</v>
      </c>
      <c r="Q25" s="7">
        <v>0.04</v>
      </c>
      <c r="R25" s="7">
        <v>0.05</v>
      </c>
      <c r="S25" s="7">
        <v>0.05</v>
      </c>
      <c r="T25" s="7">
        <v>0.05</v>
      </c>
      <c r="U25" s="7">
        <v>0.05</v>
      </c>
      <c r="V25" s="7">
        <v>0.05</v>
      </c>
      <c r="W25" s="7">
        <v>0.04</v>
      </c>
      <c r="X25" s="7">
        <v>0.05</v>
      </c>
      <c r="Y25" s="7">
        <v>0.05</v>
      </c>
      <c r="Z25" s="7">
        <v>0.04</v>
      </c>
      <c r="AA25" s="7">
        <v>0.05</v>
      </c>
      <c r="AB25" s="7">
        <v>0.05</v>
      </c>
      <c r="AC25" s="7">
        <v>0.04</v>
      </c>
      <c r="AD25" s="7">
        <v>0.05</v>
      </c>
      <c r="AE25" s="7">
        <v>0.05</v>
      </c>
      <c r="AF25" s="7">
        <v>0.04</v>
      </c>
      <c r="AG25" s="7">
        <v>0.05</v>
      </c>
      <c r="AH25" s="7">
        <v>0.05</v>
      </c>
      <c r="AI25" s="7">
        <v>0.05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</row>
    <row r="26" spans="1:50" ht="45" customHeight="1" x14ac:dyDescent="0.25">
      <c r="A26" s="16">
        <v>9</v>
      </c>
      <c r="B26" s="106" t="s">
        <v>80</v>
      </c>
      <c r="C26" s="106"/>
      <c r="D26" s="106"/>
      <c r="E26" s="117" t="s">
        <v>98</v>
      </c>
      <c r="F26" s="117" t="s">
        <v>98</v>
      </c>
      <c r="G26" s="5">
        <v>0.2</v>
      </c>
      <c r="H26" s="6" t="s">
        <v>15</v>
      </c>
      <c r="I26" s="6">
        <v>2018</v>
      </c>
      <c r="J26" s="6" t="s">
        <v>23</v>
      </c>
      <c r="K26" s="6">
        <v>2019</v>
      </c>
      <c r="L26" s="7">
        <v>0</v>
      </c>
      <c r="M26" s="7">
        <v>0</v>
      </c>
      <c r="N26" s="7">
        <v>0</v>
      </c>
      <c r="O26" s="7">
        <v>0.05</v>
      </c>
      <c r="P26" s="7">
        <v>0.05</v>
      </c>
      <c r="Q26" s="7">
        <v>0.04</v>
      </c>
      <c r="R26" s="7">
        <v>0.05</v>
      </c>
      <c r="S26" s="7">
        <v>0.05</v>
      </c>
      <c r="T26" s="7">
        <v>0.05</v>
      </c>
      <c r="U26" s="7">
        <v>0.05</v>
      </c>
      <c r="V26" s="7">
        <v>0.05</v>
      </c>
      <c r="W26" s="7">
        <v>0.04</v>
      </c>
      <c r="X26" s="7">
        <v>0.05</v>
      </c>
      <c r="Y26" s="7">
        <v>0.05</v>
      </c>
      <c r="Z26" s="7">
        <v>0.04</v>
      </c>
      <c r="AA26" s="7">
        <v>0.05</v>
      </c>
      <c r="AB26" s="7">
        <v>0.05</v>
      </c>
      <c r="AC26" s="7">
        <v>0.04</v>
      </c>
      <c r="AD26" s="7">
        <v>0.05</v>
      </c>
      <c r="AE26" s="7">
        <v>0.05</v>
      </c>
      <c r="AF26" s="7">
        <v>0.04</v>
      </c>
      <c r="AG26" s="7">
        <v>0.05</v>
      </c>
      <c r="AH26" s="7">
        <v>0.05</v>
      </c>
      <c r="AI26" s="7">
        <v>0.05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</row>
    <row r="27" spans="1:50" ht="45" customHeight="1" x14ac:dyDescent="0.25">
      <c r="A27" s="16">
        <v>10</v>
      </c>
      <c r="B27" s="106" t="s">
        <v>71</v>
      </c>
      <c r="C27" s="106"/>
      <c r="D27" s="106"/>
      <c r="E27" s="117" t="s">
        <v>96</v>
      </c>
      <c r="F27" s="117" t="s">
        <v>96</v>
      </c>
      <c r="G27" s="5">
        <v>0.2</v>
      </c>
      <c r="H27" s="6" t="s">
        <v>15</v>
      </c>
      <c r="I27" s="6">
        <v>2018</v>
      </c>
      <c r="J27" s="6" t="s">
        <v>14</v>
      </c>
      <c r="K27" s="6">
        <v>2021</v>
      </c>
      <c r="L27" s="7">
        <v>0</v>
      </c>
      <c r="M27" s="7">
        <v>0</v>
      </c>
      <c r="N27" s="7">
        <v>0</v>
      </c>
      <c r="O27" s="7">
        <v>0.02</v>
      </c>
      <c r="P27" s="7">
        <v>0.03</v>
      </c>
      <c r="Q27" s="7">
        <v>0.03</v>
      </c>
      <c r="R27" s="7">
        <v>0.02</v>
      </c>
      <c r="S27" s="7">
        <v>0.03</v>
      </c>
      <c r="T27" s="7">
        <v>0.03</v>
      </c>
      <c r="U27" s="7">
        <v>0.02</v>
      </c>
      <c r="V27" s="7">
        <v>0.03</v>
      </c>
      <c r="W27" s="7">
        <v>0.03</v>
      </c>
      <c r="X27" s="7">
        <v>0.03</v>
      </c>
      <c r="Y27" s="7">
        <v>0.03</v>
      </c>
      <c r="Z27" s="7">
        <v>0.03</v>
      </c>
      <c r="AA27" s="7">
        <v>0.02</v>
      </c>
      <c r="AB27" s="7">
        <v>0.03</v>
      </c>
      <c r="AC27" s="7">
        <v>0.03</v>
      </c>
      <c r="AD27" s="7">
        <v>0.03</v>
      </c>
      <c r="AE27" s="7">
        <v>0.03</v>
      </c>
      <c r="AF27" s="7">
        <v>0.03</v>
      </c>
      <c r="AG27" s="7">
        <v>0.02</v>
      </c>
      <c r="AH27" s="7">
        <v>0.03</v>
      </c>
      <c r="AI27" s="7">
        <v>0.03</v>
      </c>
      <c r="AJ27" s="7">
        <v>0.03</v>
      </c>
      <c r="AK27" s="7">
        <v>0.03</v>
      </c>
      <c r="AL27" s="7">
        <v>0.03</v>
      </c>
      <c r="AM27" s="7">
        <v>0.02</v>
      </c>
      <c r="AN27" s="7">
        <v>0.03</v>
      </c>
      <c r="AO27" s="7">
        <v>0.03</v>
      </c>
      <c r="AP27" s="7">
        <v>0.02</v>
      </c>
      <c r="AQ27" s="7">
        <v>0.03</v>
      </c>
      <c r="AR27" s="7">
        <v>0.03</v>
      </c>
      <c r="AS27" s="7">
        <v>0.03</v>
      </c>
      <c r="AT27" s="7">
        <v>0.03</v>
      </c>
      <c r="AU27" s="7">
        <v>0.03</v>
      </c>
      <c r="AV27" s="7">
        <v>0.02</v>
      </c>
      <c r="AW27" s="7">
        <v>0.03</v>
      </c>
      <c r="AX27" s="7">
        <v>0.03</v>
      </c>
    </row>
    <row r="28" spans="1:50" s="14" customFormat="1" ht="20.25" customHeight="1" x14ac:dyDescent="0.2">
      <c r="A28" s="109" t="s">
        <v>112</v>
      </c>
      <c r="B28" s="109"/>
      <c r="C28" s="109"/>
      <c r="D28" s="109"/>
      <c r="E28" s="109"/>
      <c r="F28" s="109"/>
      <c r="G28" s="21">
        <v>0.19</v>
      </c>
      <c r="H28" s="6"/>
      <c r="I28" s="6"/>
      <c r="J28" s="6"/>
      <c r="K28" s="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45" customHeight="1" x14ac:dyDescent="0.25">
      <c r="A29" s="16">
        <v>11</v>
      </c>
      <c r="B29" s="106" t="s">
        <v>78</v>
      </c>
      <c r="C29" s="106"/>
      <c r="D29" s="106"/>
      <c r="E29" s="117" t="s">
        <v>95</v>
      </c>
      <c r="F29" s="117"/>
      <c r="G29" s="5">
        <v>0.6</v>
      </c>
      <c r="H29" s="6" t="s">
        <v>15</v>
      </c>
      <c r="I29" s="6">
        <v>2018</v>
      </c>
      <c r="J29" s="6" t="s">
        <v>23</v>
      </c>
      <c r="K29" s="6">
        <v>2019</v>
      </c>
      <c r="L29" s="7">
        <v>0</v>
      </c>
      <c r="M29" s="7">
        <v>0</v>
      </c>
      <c r="N29" s="7">
        <v>0</v>
      </c>
      <c r="O29" s="7">
        <v>0.05</v>
      </c>
      <c r="P29" s="7">
        <v>0.05</v>
      </c>
      <c r="Q29" s="7">
        <v>0.04</v>
      </c>
      <c r="R29" s="7">
        <v>0.05</v>
      </c>
      <c r="S29" s="7">
        <v>0.05</v>
      </c>
      <c r="T29" s="7">
        <v>0.05</v>
      </c>
      <c r="U29" s="7">
        <v>0.05</v>
      </c>
      <c r="V29" s="7">
        <v>0.05</v>
      </c>
      <c r="W29" s="7">
        <v>0.04</v>
      </c>
      <c r="X29" s="7">
        <v>0.05</v>
      </c>
      <c r="Y29" s="7">
        <v>0.05</v>
      </c>
      <c r="Z29" s="7">
        <v>0.04</v>
      </c>
      <c r="AA29" s="7">
        <v>0.05</v>
      </c>
      <c r="AB29" s="7">
        <v>0.05</v>
      </c>
      <c r="AC29" s="7">
        <v>0.04</v>
      </c>
      <c r="AD29" s="7">
        <v>0.05</v>
      </c>
      <c r="AE29" s="7">
        <v>0.05</v>
      </c>
      <c r="AF29" s="7">
        <v>0.04</v>
      </c>
      <c r="AG29" s="7">
        <v>0.05</v>
      </c>
      <c r="AH29" s="7">
        <v>0.05</v>
      </c>
      <c r="AI29" s="7">
        <v>0.05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</row>
    <row r="30" spans="1:50" ht="45" customHeight="1" x14ac:dyDescent="0.25">
      <c r="A30" s="16">
        <v>12</v>
      </c>
      <c r="B30" s="106" t="s">
        <v>80</v>
      </c>
      <c r="C30" s="106"/>
      <c r="D30" s="106"/>
      <c r="E30" s="117" t="s">
        <v>98</v>
      </c>
      <c r="F30" s="117" t="s">
        <v>98</v>
      </c>
      <c r="G30" s="5">
        <v>0.2</v>
      </c>
      <c r="H30" s="6" t="s">
        <v>15</v>
      </c>
      <c r="I30" s="6">
        <v>2018</v>
      </c>
      <c r="J30" s="6" t="s">
        <v>23</v>
      </c>
      <c r="K30" s="6">
        <v>2019</v>
      </c>
      <c r="L30" s="7">
        <v>0</v>
      </c>
      <c r="M30" s="7">
        <v>0</v>
      </c>
      <c r="N30" s="7">
        <v>0</v>
      </c>
      <c r="O30" s="7">
        <v>0.05</v>
      </c>
      <c r="P30" s="7">
        <v>0.05</v>
      </c>
      <c r="Q30" s="7">
        <v>0.04</v>
      </c>
      <c r="R30" s="7">
        <v>0.05</v>
      </c>
      <c r="S30" s="7">
        <v>0.05</v>
      </c>
      <c r="T30" s="7">
        <v>0.05</v>
      </c>
      <c r="U30" s="7">
        <v>0.05</v>
      </c>
      <c r="V30" s="7">
        <v>0.05</v>
      </c>
      <c r="W30" s="7">
        <v>0.04</v>
      </c>
      <c r="X30" s="7">
        <v>0.05</v>
      </c>
      <c r="Y30" s="7">
        <v>0.05</v>
      </c>
      <c r="Z30" s="7">
        <v>0.04</v>
      </c>
      <c r="AA30" s="7">
        <v>0.05</v>
      </c>
      <c r="AB30" s="7">
        <v>0.05</v>
      </c>
      <c r="AC30" s="7">
        <v>0.04</v>
      </c>
      <c r="AD30" s="7">
        <v>0.05</v>
      </c>
      <c r="AE30" s="7">
        <v>0.05</v>
      </c>
      <c r="AF30" s="7">
        <v>0.04</v>
      </c>
      <c r="AG30" s="7">
        <v>0.05</v>
      </c>
      <c r="AH30" s="7">
        <v>0.05</v>
      </c>
      <c r="AI30" s="7">
        <v>0.05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</row>
    <row r="31" spans="1:50" ht="45" customHeight="1" x14ac:dyDescent="0.25">
      <c r="A31" s="16">
        <v>13</v>
      </c>
      <c r="B31" s="106" t="s">
        <v>71</v>
      </c>
      <c r="C31" s="106"/>
      <c r="D31" s="106"/>
      <c r="E31" s="117" t="s">
        <v>96</v>
      </c>
      <c r="F31" s="117" t="s">
        <v>96</v>
      </c>
      <c r="G31" s="5">
        <v>0.2</v>
      </c>
      <c r="H31" s="6" t="s">
        <v>15</v>
      </c>
      <c r="I31" s="6">
        <v>2018</v>
      </c>
      <c r="J31" s="6" t="s">
        <v>14</v>
      </c>
      <c r="K31" s="6">
        <v>2021</v>
      </c>
      <c r="L31" s="7">
        <v>0</v>
      </c>
      <c r="M31" s="7">
        <v>0</v>
      </c>
      <c r="N31" s="7">
        <v>0</v>
      </c>
      <c r="O31" s="7">
        <v>0.02</v>
      </c>
      <c r="P31" s="7">
        <v>0.03</v>
      </c>
      <c r="Q31" s="7">
        <v>0.03</v>
      </c>
      <c r="R31" s="7">
        <v>0.02</v>
      </c>
      <c r="S31" s="7">
        <v>0.03</v>
      </c>
      <c r="T31" s="7">
        <v>0.03</v>
      </c>
      <c r="U31" s="7">
        <v>0.02</v>
      </c>
      <c r="V31" s="7">
        <v>0.03</v>
      </c>
      <c r="W31" s="7">
        <v>0.03</v>
      </c>
      <c r="X31" s="7">
        <v>0.03</v>
      </c>
      <c r="Y31" s="7">
        <v>0.03</v>
      </c>
      <c r="Z31" s="7">
        <v>0.03</v>
      </c>
      <c r="AA31" s="7">
        <v>0.02</v>
      </c>
      <c r="AB31" s="7">
        <v>0.03</v>
      </c>
      <c r="AC31" s="7">
        <v>0.03</v>
      </c>
      <c r="AD31" s="7">
        <v>0.03</v>
      </c>
      <c r="AE31" s="7">
        <v>0.03</v>
      </c>
      <c r="AF31" s="7">
        <v>0.03</v>
      </c>
      <c r="AG31" s="7">
        <v>0.02</v>
      </c>
      <c r="AH31" s="7">
        <v>0.03</v>
      </c>
      <c r="AI31" s="7">
        <v>0.03</v>
      </c>
      <c r="AJ31" s="7">
        <v>0.03</v>
      </c>
      <c r="AK31" s="7">
        <v>0.03</v>
      </c>
      <c r="AL31" s="7">
        <v>0.03</v>
      </c>
      <c r="AM31" s="7">
        <v>0.02</v>
      </c>
      <c r="AN31" s="7">
        <v>0.03</v>
      </c>
      <c r="AO31" s="7">
        <v>0.03</v>
      </c>
      <c r="AP31" s="7">
        <v>0.02</v>
      </c>
      <c r="AQ31" s="7">
        <v>0.03</v>
      </c>
      <c r="AR31" s="7">
        <v>0.03</v>
      </c>
      <c r="AS31" s="7">
        <v>0.03</v>
      </c>
      <c r="AT31" s="7">
        <v>0.03</v>
      </c>
      <c r="AU31" s="7">
        <v>0.03</v>
      </c>
      <c r="AV31" s="7">
        <v>0.02</v>
      </c>
      <c r="AW31" s="7">
        <v>0.03</v>
      </c>
      <c r="AX31" s="7">
        <v>0.03</v>
      </c>
    </row>
    <row r="32" spans="1:50" s="14" customFormat="1" ht="20.25" customHeight="1" x14ac:dyDescent="0.2">
      <c r="A32" s="109" t="s">
        <v>109</v>
      </c>
      <c r="B32" s="109"/>
      <c r="C32" s="109"/>
      <c r="D32" s="109"/>
      <c r="E32" s="109"/>
      <c r="F32" s="109"/>
      <c r="G32" s="21">
        <v>0.05</v>
      </c>
      <c r="H32" s="6"/>
      <c r="I32" s="6"/>
      <c r="J32" s="6"/>
      <c r="K32" s="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45" customHeight="1" x14ac:dyDescent="0.25">
      <c r="A33" s="16">
        <v>14</v>
      </c>
      <c r="B33" s="106" t="s">
        <v>110</v>
      </c>
      <c r="C33" s="106"/>
      <c r="D33" s="106"/>
      <c r="E33" s="117" t="s">
        <v>119</v>
      </c>
      <c r="F33" s="117"/>
      <c r="G33" s="5">
        <v>0.8</v>
      </c>
      <c r="H33" s="6" t="s">
        <v>15</v>
      </c>
      <c r="I33" s="6">
        <v>2018</v>
      </c>
      <c r="J33" s="6" t="s">
        <v>15</v>
      </c>
      <c r="K33" s="6">
        <v>2019</v>
      </c>
      <c r="L33" s="7">
        <v>0</v>
      </c>
      <c r="M33" s="7">
        <v>0</v>
      </c>
      <c r="N33" s="7">
        <v>0</v>
      </c>
      <c r="O33" s="7">
        <v>0.05</v>
      </c>
      <c r="P33" s="7">
        <v>0.05</v>
      </c>
      <c r="Q33" s="7">
        <v>0.04</v>
      </c>
      <c r="R33" s="7">
        <v>0.05</v>
      </c>
      <c r="S33" s="7">
        <v>0.05</v>
      </c>
      <c r="T33" s="7">
        <v>0.05</v>
      </c>
      <c r="U33" s="7">
        <v>0.1</v>
      </c>
      <c r="V33" s="7">
        <v>0.1</v>
      </c>
      <c r="W33" s="7">
        <v>0.05</v>
      </c>
      <c r="X33" s="7">
        <v>0.12</v>
      </c>
      <c r="Y33" s="7">
        <v>0.12</v>
      </c>
      <c r="Z33" s="7">
        <v>0.11</v>
      </c>
      <c r="AA33" s="7">
        <v>0.11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</row>
    <row r="34" spans="1:50" ht="45" customHeight="1" x14ac:dyDescent="0.25">
      <c r="A34" s="16">
        <v>15</v>
      </c>
      <c r="B34" s="106" t="s">
        <v>111</v>
      </c>
      <c r="C34" s="106"/>
      <c r="D34" s="106"/>
      <c r="E34" s="117" t="s">
        <v>120</v>
      </c>
      <c r="F34" s="117" t="s">
        <v>120</v>
      </c>
      <c r="G34" s="5">
        <v>0.2</v>
      </c>
      <c r="H34" s="6" t="s">
        <v>16</v>
      </c>
      <c r="I34" s="6">
        <v>2019</v>
      </c>
      <c r="J34" s="6" t="s">
        <v>14</v>
      </c>
      <c r="K34" s="6">
        <v>2021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0.06</v>
      </c>
      <c r="AC34" s="7">
        <v>7.0000000000000007E-2</v>
      </c>
      <c r="AD34" s="7">
        <v>0.04</v>
      </c>
      <c r="AE34" s="7">
        <v>0.04</v>
      </c>
      <c r="AF34" s="7">
        <v>0.04</v>
      </c>
      <c r="AG34" s="7">
        <v>0.05</v>
      </c>
      <c r="AH34" s="7">
        <v>0.05</v>
      </c>
      <c r="AI34" s="7">
        <v>0.03</v>
      </c>
      <c r="AJ34" s="7">
        <v>0.04</v>
      </c>
      <c r="AK34" s="7">
        <v>0.04</v>
      </c>
      <c r="AL34" s="7">
        <v>0.04</v>
      </c>
      <c r="AM34" s="7">
        <v>0.04</v>
      </c>
      <c r="AN34" s="7">
        <v>0.04</v>
      </c>
      <c r="AO34" s="7">
        <v>0.05</v>
      </c>
      <c r="AP34" s="7">
        <v>0.04</v>
      </c>
      <c r="AQ34" s="7">
        <v>0.04</v>
      </c>
      <c r="AR34" s="7">
        <v>0.04</v>
      </c>
      <c r="AS34" s="7">
        <v>0.05</v>
      </c>
      <c r="AT34" s="7">
        <v>0.05</v>
      </c>
      <c r="AU34" s="7">
        <v>0.03</v>
      </c>
      <c r="AV34" s="7">
        <v>0.05</v>
      </c>
      <c r="AW34" s="7">
        <v>0.04</v>
      </c>
      <c r="AX34" s="7">
        <v>0.03</v>
      </c>
    </row>
    <row r="35" spans="1:50" s="14" customFormat="1" ht="37.5" customHeight="1" x14ac:dyDescent="0.2">
      <c r="A35" s="109" t="s">
        <v>113</v>
      </c>
      <c r="B35" s="109"/>
      <c r="C35" s="109"/>
      <c r="D35" s="109"/>
      <c r="E35" s="117" t="s">
        <v>121</v>
      </c>
      <c r="F35" s="117" t="s">
        <v>121</v>
      </c>
      <c r="G35" s="21">
        <v>0.02</v>
      </c>
      <c r="H35" s="6" t="s">
        <v>15</v>
      </c>
      <c r="I35" s="6">
        <v>2018</v>
      </c>
      <c r="J35" s="6" t="s">
        <v>23</v>
      </c>
      <c r="K35" s="6">
        <v>2018</v>
      </c>
      <c r="L35" s="7">
        <v>0</v>
      </c>
      <c r="M35" s="7">
        <v>0</v>
      </c>
      <c r="N35" s="7">
        <v>0</v>
      </c>
      <c r="O35" s="7">
        <v>0.11</v>
      </c>
      <c r="P35" s="7">
        <v>0.11</v>
      </c>
      <c r="Q35" s="7">
        <v>0.11</v>
      </c>
      <c r="R35" s="7">
        <v>0.11</v>
      </c>
      <c r="S35" s="7">
        <v>0.11</v>
      </c>
      <c r="T35" s="7">
        <v>0.12</v>
      </c>
      <c r="U35" s="7">
        <v>0.11</v>
      </c>
      <c r="V35" s="7">
        <v>0.11</v>
      </c>
      <c r="W35" s="7">
        <v>0.11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</row>
    <row r="36" spans="1:50" s="14" customFormat="1" ht="37.5" customHeight="1" x14ac:dyDescent="0.2">
      <c r="A36" s="109" t="s">
        <v>114</v>
      </c>
      <c r="B36" s="109"/>
      <c r="C36" s="109"/>
      <c r="D36" s="109"/>
      <c r="E36" s="117" t="s">
        <v>122</v>
      </c>
      <c r="F36" s="117" t="s">
        <v>122</v>
      </c>
      <c r="G36" s="21">
        <v>0.03</v>
      </c>
      <c r="H36" s="6" t="s">
        <v>17</v>
      </c>
      <c r="I36" s="6">
        <v>2018</v>
      </c>
      <c r="J36" s="6" t="s">
        <v>17</v>
      </c>
      <c r="K36" s="6">
        <v>2019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0.2</v>
      </c>
      <c r="R36" s="7">
        <v>7.0000000000000007E-2</v>
      </c>
      <c r="S36" s="7">
        <v>7.0000000000000007E-2</v>
      </c>
      <c r="T36" s="7">
        <v>0.06</v>
      </c>
      <c r="U36" s="7">
        <v>7.0000000000000007E-2</v>
      </c>
      <c r="V36" s="7">
        <v>7.0000000000000007E-2</v>
      </c>
      <c r="W36" s="7">
        <v>0.06</v>
      </c>
      <c r="X36" s="7">
        <v>7.0000000000000007E-2</v>
      </c>
      <c r="Y36" s="7">
        <v>7.0000000000000007E-2</v>
      </c>
      <c r="Z36" s="7">
        <v>0.06</v>
      </c>
      <c r="AA36" s="7">
        <v>7.0000000000000007E-2</v>
      </c>
      <c r="AB36" s="7">
        <v>7.0000000000000007E-2</v>
      </c>
      <c r="AC36" s="7">
        <v>0.06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</row>
    <row r="37" spans="1:50" s="14" customFormat="1" ht="37.5" customHeight="1" x14ac:dyDescent="0.2">
      <c r="A37" s="109" t="s">
        <v>115</v>
      </c>
      <c r="B37" s="109"/>
      <c r="C37" s="109"/>
      <c r="D37" s="109"/>
      <c r="E37" s="117" t="s">
        <v>122</v>
      </c>
      <c r="F37" s="117" t="s">
        <v>122</v>
      </c>
      <c r="G37" s="21">
        <v>0.03</v>
      </c>
      <c r="H37" s="6" t="s">
        <v>15</v>
      </c>
      <c r="I37" s="6">
        <v>2018</v>
      </c>
      <c r="J37" s="6" t="s">
        <v>23</v>
      </c>
      <c r="K37" s="6">
        <v>2018</v>
      </c>
      <c r="L37" s="7">
        <v>0</v>
      </c>
      <c r="M37" s="7">
        <v>0</v>
      </c>
      <c r="N37" s="7">
        <v>0</v>
      </c>
      <c r="O37" s="7">
        <v>0.11</v>
      </c>
      <c r="P37" s="7">
        <v>0.11</v>
      </c>
      <c r="Q37" s="7">
        <v>0.11</v>
      </c>
      <c r="R37" s="7">
        <v>0.11</v>
      </c>
      <c r="S37" s="7">
        <v>0.11</v>
      </c>
      <c r="T37" s="7">
        <v>0.12</v>
      </c>
      <c r="U37" s="7">
        <v>0.11</v>
      </c>
      <c r="V37" s="7">
        <v>0.11</v>
      </c>
      <c r="W37" s="7">
        <v>0.11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</row>
    <row r="38" spans="1:50" ht="45" customHeight="1" x14ac:dyDescent="0.25">
      <c r="A38" s="108" t="s">
        <v>34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50" ht="45" customHeight="1" x14ac:dyDescent="0.25">
      <c r="A39" s="81" t="s">
        <v>24</v>
      </c>
      <c r="B39" s="81"/>
      <c r="C39" s="81"/>
      <c r="D39" s="70">
        <v>2018</v>
      </c>
      <c r="E39" s="70"/>
      <c r="F39" s="70">
        <v>2019</v>
      </c>
      <c r="G39" s="70"/>
      <c r="H39" s="78" t="s">
        <v>25</v>
      </c>
      <c r="I39" s="78"/>
      <c r="J39" s="70" t="s">
        <v>26</v>
      </c>
      <c r="K39" s="70"/>
    </row>
    <row r="40" spans="1:50" ht="45" customHeight="1" x14ac:dyDescent="0.25">
      <c r="A40" s="77" t="s">
        <v>29</v>
      </c>
      <c r="B40" s="77"/>
      <c r="C40" s="77"/>
      <c r="D40" s="78">
        <f>196343616/1000000</f>
        <v>196.343616</v>
      </c>
      <c r="E40" s="78"/>
      <c r="F40" s="78">
        <f>300669049/1000000</f>
        <v>300.66904899999997</v>
      </c>
      <c r="G40" s="78"/>
      <c r="H40" s="78">
        <v>110.9</v>
      </c>
      <c r="I40" s="78"/>
      <c r="J40" s="79">
        <f>SUM(D40:I40)</f>
        <v>607.91266499999995</v>
      </c>
      <c r="K40" s="79"/>
    </row>
    <row r="41" spans="1:50" ht="45" customHeight="1" x14ac:dyDescent="0.25">
      <c r="A41" s="77" t="s">
        <v>27</v>
      </c>
      <c r="B41" s="77"/>
      <c r="C41" s="77"/>
      <c r="D41" s="78">
        <f>2133248/1000000</f>
        <v>2.133248</v>
      </c>
      <c r="E41" s="78"/>
      <c r="F41" s="78">
        <f>2099916/1000000</f>
        <v>2.0999159999999999</v>
      </c>
      <c r="G41" s="78"/>
      <c r="H41" s="78">
        <v>0.249</v>
      </c>
      <c r="I41" s="78"/>
      <c r="J41" s="79">
        <f t="shared" ref="J41:J43" si="1">SUM(D41:I41)</f>
        <v>4.482164</v>
      </c>
      <c r="K41" s="79"/>
    </row>
    <row r="42" spans="1:50" ht="45" customHeight="1" x14ac:dyDescent="0.25">
      <c r="A42" s="77" t="s">
        <v>39</v>
      </c>
      <c r="B42" s="77"/>
      <c r="C42" s="77"/>
      <c r="D42" s="78">
        <v>0</v>
      </c>
      <c r="E42" s="78"/>
      <c r="F42" s="78">
        <v>0</v>
      </c>
      <c r="G42" s="78"/>
      <c r="H42" s="78">
        <v>0</v>
      </c>
      <c r="I42" s="78"/>
      <c r="J42" s="79">
        <f t="shared" si="1"/>
        <v>0</v>
      </c>
      <c r="K42" s="79"/>
    </row>
    <row r="43" spans="1:50" ht="45" customHeight="1" x14ac:dyDescent="0.25">
      <c r="A43" s="77" t="s">
        <v>33</v>
      </c>
      <c r="B43" s="77"/>
      <c r="C43" s="77"/>
      <c r="D43" s="78">
        <v>0</v>
      </c>
      <c r="E43" s="78"/>
      <c r="F43" s="78">
        <v>0</v>
      </c>
      <c r="G43" s="78"/>
      <c r="H43" s="78">
        <v>0</v>
      </c>
      <c r="I43" s="78"/>
      <c r="J43" s="79">
        <f t="shared" si="1"/>
        <v>0</v>
      </c>
      <c r="K43" s="79"/>
    </row>
    <row r="44" spans="1:50" ht="45" customHeight="1" x14ac:dyDescent="0.25">
      <c r="A44" s="80" t="s">
        <v>28</v>
      </c>
      <c r="B44" s="80"/>
      <c r="C44" s="80"/>
      <c r="D44" s="75">
        <f>SUM(D40:E43)</f>
        <v>198.47686400000001</v>
      </c>
      <c r="E44" s="75"/>
      <c r="F44" s="75">
        <f t="shared" ref="F44" si="2">SUM(F40:G43)</f>
        <v>302.76896499999998</v>
      </c>
      <c r="G44" s="75"/>
      <c r="H44" s="75">
        <f t="shared" ref="H44" si="3">SUM(H40:I43)</f>
        <v>111.149</v>
      </c>
      <c r="I44" s="75"/>
      <c r="J44" s="75">
        <f t="shared" ref="J44" si="4">SUM(J40:K43)</f>
        <v>612.39482899999996</v>
      </c>
      <c r="K44" s="75"/>
      <c r="N44" s="87"/>
      <c r="O44" s="88"/>
      <c r="P44" s="88"/>
    </row>
    <row r="45" spans="1:50" ht="45" customHeight="1" x14ac:dyDescent="0.25">
      <c r="A45" s="76" t="s">
        <v>40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</row>
  </sheetData>
  <mergeCells count="116">
    <mergeCell ref="N44:P44"/>
    <mergeCell ref="E33:F33"/>
    <mergeCell ref="B34:D34"/>
    <mergeCell ref="E34:F34"/>
    <mergeCell ref="A44:C44"/>
    <mergeCell ref="D44:E44"/>
    <mergeCell ref="F44:G44"/>
    <mergeCell ref="H44:I44"/>
    <mergeCell ref="F41:G41"/>
    <mergeCell ref="H41:I41"/>
    <mergeCell ref="J44:K44"/>
    <mergeCell ref="J41:K41"/>
    <mergeCell ref="A40:C40"/>
    <mergeCell ref="D40:E40"/>
    <mergeCell ref="F40:G40"/>
    <mergeCell ref="H40:I40"/>
    <mergeCell ref="J40:K40"/>
    <mergeCell ref="A41:C41"/>
    <mergeCell ref="D41:E41"/>
    <mergeCell ref="A45:K45"/>
    <mergeCell ref="A42:C42"/>
    <mergeCell ref="D42:E42"/>
    <mergeCell ref="F42:G42"/>
    <mergeCell ref="H42:I42"/>
    <mergeCell ref="J42:K42"/>
    <mergeCell ref="A43:C43"/>
    <mergeCell ref="D43:E43"/>
    <mergeCell ref="F43:G43"/>
    <mergeCell ref="H43:I43"/>
    <mergeCell ref="J43:K43"/>
    <mergeCell ref="B31:D31"/>
    <mergeCell ref="E31:F31"/>
    <mergeCell ref="A38:K38"/>
    <mergeCell ref="A39:C39"/>
    <mergeCell ref="D39:E39"/>
    <mergeCell ref="F39:G39"/>
    <mergeCell ref="H39:I39"/>
    <mergeCell ref="J39:K39"/>
    <mergeCell ref="A32:F32"/>
    <mergeCell ref="A36:D36"/>
    <mergeCell ref="A37:D37"/>
    <mergeCell ref="A35:D35"/>
    <mergeCell ref="E35:F35"/>
    <mergeCell ref="E36:F36"/>
    <mergeCell ref="E37:F37"/>
    <mergeCell ref="B33:D33"/>
    <mergeCell ref="A28:F28"/>
    <mergeCell ref="B29:D29"/>
    <mergeCell ref="E29:F29"/>
    <mergeCell ref="B30:D30"/>
    <mergeCell ref="E30:F30"/>
    <mergeCell ref="B25:D25"/>
    <mergeCell ref="E25:F25"/>
    <mergeCell ref="B27:D27"/>
    <mergeCell ref="E27:F27"/>
    <mergeCell ref="B26:D26"/>
    <mergeCell ref="E26:F26"/>
    <mergeCell ref="B24:D24"/>
    <mergeCell ref="E24:F24"/>
    <mergeCell ref="B22:D22"/>
    <mergeCell ref="E22:F22"/>
    <mergeCell ref="A21:F21"/>
    <mergeCell ref="A23:F23"/>
    <mergeCell ref="B20:D20"/>
    <mergeCell ref="E20:F20"/>
    <mergeCell ref="B15:D15"/>
    <mergeCell ref="E15:F15"/>
    <mergeCell ref="B16:D16"/>
    <mergeCell ref="E16:F16"/>
    <mergeCell ref="A19:F19"/>
    <mergeCell ref="A17:F17"/>
    <mergeCell ref="B18:D18"/>
    <mergeCell ref="E18:F18"/>
    <mergeCell ref="B14:D14"/>
    <mergeCell ref="E14:F14"/>
    <mergeCell ref="AG11:AI11"/>
    <mergeCell ref="AJ11:AL11"/>
    <mergeCell ref="AM11:AO11"/>
    <mergeCell ref="A9:A12"/>
    <mergeCell ref="B9:D12"/>
    <mergeCell ref="E9:F12"/>
    <mergeCell ref="G9:G12"/>
    <mergeCell ref="A13:F13"/>
    <mergeCell ref="L9:AX9"/>
    <mergeCell ref="H10:H12"/>
    <mergeCell ref="I10:I12"/>
    <mergeCell ref="J10:J12"/>
    <mergeCell ref="K10:K12"/>
    <mergeCell ref="L10:W10"/>
    <mergeCell ref="X10:AI10"/>
    <mergeCell ref="AJ10:AU10"/>
    <mergeCell ref="AV10:AX10"/>
    <mergeCell ref="L11:N11"/>
    <mergeCell ref="H9:I9"/>
    <mergeCell ref="J9:K9"/>
    <mergeCell ref="AP11:AR11"/>
    <mergeCell ref="AS11:AU11"/>
    <mergeCell ref="A1:B2"/>
    <mergeCell ref="C1:K1"/>
    <mergeCell ref="C2:K2"/>
    <mergeCell ref="A3:K3"/>
    <mergeCell ref="A4:C4"/>
    <mergeCell ref="D4:K4"/>
    <mergeCell ref="AV11:AX11"/>
    <mergeCell ref="O11:Q11"/>
    <mergeCell ref="R11:T11"/>
    <mergeCell ref="U11:W11"/>
    <mergeCell ref="X11:Z11"/>
    <mergeCell ref="AA11:AC11"/>
    <mergeCell ref="AD11:AF11"/>
    <mergeCell ref="A5:C5"/>
    <mergeCell ref="D5:K5"/>
    <mergeCell ref="A6:C6"/>
    <mergeCell ref="D6:K6"/>
    <mergeCell ref="A7:K7"/>
    <mergeCell ref="A8:K8"/>
  </mergeCells>
  <dataValidations count="4">
    <dataValidation allowBlank="1" showInputMessage="1" showErrorMessage="1" prompt="Describa qué fases se llevarán a cabo para desarrollar la iniciativa" sqref="B22:D22 B20:D20"/>
    <dataValidation type="list" allowBlank="1" showInputMessage="1" showErrorMessage="1" sqref="I14:I37 K14:K37">
      <formula1>"2018,2019,2020,2021"</formula1>
    </dataValidation>
    <dataValidation type="list" allowBlank="1" showInputMessage="1" showErrorMessage="1" sqref="H14:H37 J14:J37">
      <formula1>"Ene,Feb,Mar,Abr,May,Jun,Jul,Ago,Sep,Oct,Nov,Dic"</formula1>
    </dataValidation>
    <dataValidation allowBlank="1" showInputMessage="1" showErrorMessage="1" prompt="Registre para el período en cuestión, el valor de las inversiones de acuerdo con la fuente de recursos" sqref="D42:E43 F41:G41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5"/>
  <sheetViews>
    <sheetView showGridLines="0" topLeftCell="L19" zoomScale="120" zoomScaleNormal="120" workbookViewId="0">
      <selection activeCell="B16" sqref="B16:D16"/>
    </sheetView>
  </sheetViews>
  <sheetFormatPr baseColWidth="10" defaultColWidth="11.42578125" defaultRowHeight="45" customHeight="1" outlineLevelCol="1" x14ac:dyDescent="0.25"/>
  <cols>
    <col min="1" max="1" width="4.42578125" style="2" customWidth="1"/>
    <col min="2" max="2" width="15.42578125" style="1" customWidth="1"/>
    <col min="3" max="3" width="11" style="1" customWidth="1"/>
    <col min="4" max="4" width="11.42578125" style="1"/>
    <col min="5" max="6" width="10.7109375" style="1" customWidth="1"/>
    <col min="7" max="7" width="15.140625" style="1" customWidth="1"/>
    <col min="8" max="8" width="10.7109375" style="1" customWidth="1"/>
    <col min="9" max="9" width="12" style="1" customWidth="1"/>
    <col min="10" max="11" width="10.7109375" style="1" customWidth="1"/>
    <col min="12" max="50" width="5.7109375" style="1" customWidth="1" outlineLevel="1"/>
    <col min="52" max="16384" width="11.42578125" style="1"/>
  </cols>
  <sheetData>
    <row r="1" spans="1:50" ht="45" customHeight="1" x14ac:dyDescent="0.25">
      <c r="A1" s="92"/>
      <c r="B1" s="92"/>
      <c r="C1" s="93" t="s">
        <v>30</v>
      </c>
      <c r="D1" s="93"/>
      <c r="E1" s="93"/>
      <c r="F1" s="93"/>
      <c r="G1" s="93"/>
      <c r="H1" s="93"/>
      <c r="I1" s="93"/>
      <c r="J1" s="93"/>
      <c r="K1" s="9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5" customHeight="1" x14ac:dyDescent="0.25">
      <c r="A2" s="92"/>
      <c r="B2" s="92"/>
      <c r="C2" s="93" t="s">
        <v>31</v>
      </c>
      <c r="D2" s="93"/>
      <c r="E2" s="93"/>
      <c r="F2" s="93"/>
      <c r="G2" s="93"/>
      <c r="H2" s="93"/>
      <c r="I2" s="93"/>
      <c r="J2" s="93"/>
      <c r="K2" s="9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45" customHeight="1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45" customHeight="1" x14ac:dyDescent="0.25">
      <c r="A4" s="95" t="s">
        <v>35</v>
      </c>
      <c r="B4" s="95"/>
      <c r="C4" s="95"/>
      <c r="D4" s="96" t="s">
        <v>291</v>
      </c>
      <c r="E4" s="96"/>
      <c r="F4" s="96"/>
      <c r="G4" s="96"/>
      <c r="H4" s="96"/>
      <c r="I4" s="96"/>
      <c r="J4" s="96"/>
      <c r="K4" s="96"/>
    </row>
    <row r="5" spans="1:50" ht="45" customHeight="1" x14ac:dyDescent="0.25">
      <c r="A5" s="95" t="s">
        <v>1</v>
      </c>
      <c r="B5" s="95"/>
      <c r="C5" s="95"/>
      <c r="D5" s="96" t="s">
        <v>298</v>
      </c>
      <c r="E5" s="96"/>
      <c r="F5" s="96"/>
      <c r="G5" s="96"/>
      <c r="H5" s="96"/>
      <c r="I5" s="96"/>
      <c r="J5" s="96"/>
      <c r="K5" s="96"/>
    </row>
    <row r="6" spans="1:50" ht="45" customHeight="1" x14ac:dyDescent="0.25">
      <c r="A6" s="95" t="s">
        <v>32</v>
      </c>
      <c r="B6" s="95"/>
      <c r="C6" s="95"/>
      <c r="D6" s="96" t="s">
        <v>48</v>
      </c>
      <c r="E6" s="96"/>
      <c r="F6" s="96"/>
      <c r="G6" s="96"/>
      <c r="H6" s="96"/>
      <c r="I6" s="96"/>
      <c r="J6" s="96"/>
      <c r="K6" s="96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:50" ht="45" customHeight="1" x14ac:dyDescent="0.25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50" ht="45" customHeight="1" x14ac:dyDescent="0.25">
      <c r="A8" s="104" t="s">
        <v>292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</row>
    <row r="9" spans="1:50" ht="45" customHeight="1" x14ac:dyDescent="0.25">
      <c r="A9" s="98" t="s">
        <v>2</v>
      </c>
      <c r="B9" s="85" t="s">
        <v>37</v>
      </c>
      <c r="C9" s="85"/>
      <c r="D9" s="85"/>
      <c r="E9" s="85" t="s">
        <v>3</v>
      </c>
      <c r="F9" s="85"/>
      <c r="G9" s="85" t="s">
        <v>36</v>
      </c>
      <c r="H9" s="85" t="s">
        <v>4</v>
      </c>
      <c r="I9" s="85"/>
      <c r="J9" s="85" t="s">
        <v>5</v>
      </c>
      <c r="K9" s="85"/>
      <c r="L9" s="86" t="s">
        <v>45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45" customHeight="1" x14ac:dyDescent="0.25">
      <c r="A10" s="98"/>
      <c r="B10" s="85"/>
      <c r="C10" s="85"/>
      <c r="D10" s="85"/>
      <c r="E10" s="85"/>
      <c r="F10" s="85"/>
      <c r="G10" s="85"/>
      <c r="H10" s="85" t="s">
        <v>6</v>
      </c>
      <c r="I10" s="85" t="s">
        <v>7</v>
      </c>
      <c r="J10" s="85" t="s">
        <v>6</v>
      </c>
      <c r="K10" s="85" t="s">
        <v>7</v>
      </c>
      <c r="L10" s="85" t="s">
        <v>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 t="s">
        <v>9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 t="s">
        <v>10</v>
      </c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 t="s">
        <v>11</v>
      </c>
      <c r="AW10" s="85"/>
      <c r="AX10" s="85"/>
    </row>
    <row r="11" spans="1:50" ht="45" customHeight="1" x14ac:dyDescent="0.25">
      <c r="A11" s="9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2" t="s">
        <v>41</v>
      </c>
      <c r="M11" s="83"/>
      <c r="N11" s="84"/>
      <c r="O11" s="82" t="s">
        <v>42</v>
      </c>
      <c r="P11" s="83"/>
      <c r="Q11" s="84"/>
      <c r="R11" s="82" t="s">
        <v>43</v>
      </c>
      <c r="S11" s="83"/>
      <c r="T11" s="84"/>
      <c r="U11" s="82" t="s">
        <v>44</v>
      </c>
      <c r="V11" s="83"/>
      <c r="W11" s="84"/>
      <c r="X11" s="82" t="s">
        <v>41</v>
      </c>
      <c r="Y11" s="83"/>
      <c r="Z11" s="84"/>
      <c r="AA11" s="82" t="s">
        <v>42</v>
      </c>
      <c r="AB11" s="83"/>
      <c r="AC11" s="84"/>
      <c r="AD11" s="82" t="s">
        <v>43</v>
      </c>
      <c r="AE11" s="83"/>
      <c r="AF11" s="84"/>
      <c r="AG11" s="82" t="s">
        <v>44</v>
      </c>
      <c r="AH11" s="83"/>
      <c r="AI11" s="84"/>
      <c r="AJ11" s="82" t="s">
        <v>41</v>
      </c>
      <c r="AK11" s="83"/>
      <c r="AL11" s="84"/>
      <c r="AM11" s="82" t="s">
        <v>42</v>
      </c>
      <c r="AN11" s="83"/>
      <c r="AO11" s="84"/>
      <c r="AP11" s="82" t="s">
        <v>43</v>
      </c>
      <c r="AQ11" s="83"/>
      <c r="AR11" s="84"/>
      <c r="AS11" s="82" t="s">
        <v>44</v>
      </c>
      <c r="AT11" s="83"/>
      <c r="AU11" s="84"/>
      <c r="AV11" s="82" t="s">
        <v>41</v>
      </c>
      <c r="AW11" s="83"/>
      <c r="AX11" s="84"/>
    </row>
    <row r="12" spans="1:50" ht="45" customHeight="1" x14ac:dyDescent="0.25">
      <c r="A12" s="98"/>
      <c r="B12" s="103"/>
      <c r="C12" s="103"/>
      <c r="D12" s="103"/>
      <c r="E12" s="103"/>
      <c r="F12" s="103"/>
      <c r="G12" s="85"/>
      <c r="H12" s="85"/>
      <c r="I12" s="85"/>
      <c r="J12" s="85"/>
      <c r="K12" s="85"/>
      <c r="L12" s="11" t="s">
        <v>12</v>
      </c>
      <c r="M12" s="11" t="s">
        <v>13</v>
      </c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11" t="s">
        <v>19</v>
      </c>
      <c r="T12" s="11" t="s">
        <v>20</v>
      </c>
      <c r="U12" s="11" t="s">
        <v>21</v>
      </c>
      <c r="V12" s="11" t="s">
        <v>22</v>
      </c>
      <c r="W12" s="11" t="s">
        <v>23</v>
      </c>
      <c r="X12" s="11" t="s">
        <v>12</v>
      </c>
      <c r="Y12" s="11" t="s">
        <v>13</v>
      </c>
      <c r="Z12" s="11" t="s">
        <v>14</v>
      </c>
      <c r="AA12" s="11" t="s">
        <v>15</v>
      </c>
      <c r="AB12" s="11" t="s">
        <v>16</v>
      </c>
      <c r="AC12" s="11" t="s">
        <v>17</v>
      </c>
      <c r="AD12" s="11" t="s">
        <v>18</v>
      </c>
      <c r="AE12" s="11" t="s">
        <v>19</v>
      </c>
      <c r="AF12" s="11" t="s">
        <v>20</v>
      </c>
      <c r="AG12" s="11" t="s">
        <v>21</v>
      </c>
      <c r="AH12" s="11" t="s">
        <v>22</v>
      </c>
      <c r="AI12" s="11" t="s">
        <v>23</v>
      </c>
      <c r="AJ12" s="11" t="s">
        <v>12</v>
      </c>
      <c r="AK12" s="11" t="s">
        <v>13</v>
      </c>
      <c r="AL12" s="11" t="s">
        <v>14</v>
      </c>
      <c r="AM12" s="11" t="s">
        <v>15</v>
      </c>
      <c r="AN12" s="11" t="s">
        <v>16</v>
      </c>
      <c r="AO12" s="11" t="s">
        <v>17</v>
      </c>
      <c r="AP12" s="11" t="s">
        <v>18</v>
      </c>
      <c r="AQ12" s="11" t="s">
        <v>19</v>
      </c>
      <c r="AR12" s="11" t="s">
        <v>20</v>
      </c>
      <c r="AS12" s="11" t="s">
        <v>21</v>
      </c>
      <c r="AT12" s="11" t="s">
        <v>22</v>
      </c>
      <c r="AU12" s="11" t="s">
        <v>23</v>
      </c>
      <c r="AV12" s="11" t="s">
        <v>12</v>
      </c>
      <c r="AW12" s="11" t="s">
        <v>13</v>
      </c>
      <c r="AX12" s="11" t="s">
        <v>14</v>
      </c>
    </row>
    <row r="13" spans="1:50" ht="60.75" customHeight="1" x14ac:dyDescent="0.25">
      <c r="A13" s="23">
        <v>1</v>
      </c>
      <c r="B13" s="126" t="s">
        <v>282</v>
      </c>
      <c r="C13" s="126"/>
      <c r="D13" s="126"/>
      <c r="E13" s="127" t="s">
        <v>290</v>
      </c>
      <c r="F13" s="127"/>
      <c r="G13" s="5">
        <v>0.1</v>
      </c>
      <c r="H13" s="6" t="s">
        <v>15</v>
      </c>
      <c r="I13" s="6">
        <v>2018</v>
      </c>
      <c r="J13" s="6" t="s">
        <v>14</v>
      </c>
      <c r="K13" s="6">
        <v>2021</v>
      </c>
      <c r="L13" s="7">
        <v>0</v>
      </c>
      <c r="M13" s="7">
        <v>0</v>
      </c>
      <c r="N13" s="7">
        <v>0</v>
      </c>
      <c r="O13" s="7">
        <v>0.02</v>
      </c>
      <c r="P13" s="7">
        <v>0.03</v>
      </c>
      <c r="Q13" s="7">
        <v>0.03</v>
      </c>
      <c r="R13" s="7">
        <v>0.03</v>
      </c>
      <c r="S13" s="7">
        <v>0.02</v>
      </c>
      <c r="T13" s="7">
        <v>0.03</v>
      </c>
      <c r="U13" s="7">
        <v>0.03</v>
      </c>
      <c r="V13" s="7">
        <v>0.02</v>
      </c>
      <c r="W13" s="7">
        <v>0.03</v>
      </c>
      <c r="X13" s="7">
        <v>0.03</v>
      </c>
      <c r="Y13" s="7">
        <v>0.03</v>
      </c>
      <c r="Z13" s="7">
        <v>0.03</v>
      </c>
      <c r="AA13" s="7">
        <v>0.03</v>
      </c>
      <c r="AB13" s="7">
        <v>0.02</v>
      </c>
      <c r="AC13" s="7">
        <v>0.03</v>
      </c>
      <c r="AD13" s="7">
        <v>0.03</v>
      </c>
      <c r="AE13" s="7">
        <v>0.03</v>
      </c>
      <c r="AF13" s="7">
        <v>0.03</v>
      </c>
      <c r="AG13" s="7">
        <v>0.03</v>
      </c>
      <c r="AH13" s="7">
        <v>0.02</v>
      </c>
      <c r="AI13" s="7">
        <v>0.03</v>
      </c>
      <c r="AJ13" s="7">
        <v>0.03</v>
      </c>
      <c r="AK13" s="7">
        <v>0.02</v>
      </c>
      <c r="AL13" s="7">
        <v>0.03</v>
      </c>
      <c r="AM13" s="7">
        <v>0.03</v>
      </c>
      <c r="AN13" s="7">
        <v>0.03</v>
      </c>
      <c r="AO13" s="7">
        <v>0.03</v>
      </c>
      <c r="AP13" s="7">
        <v>0.03</v>
      </c>
      <c r="AQ13" s="7">
        <v>0.02</v>
      </c>
      <c r="AR13" s="7">
        <v>0.03</v>
      </c>
      <c r="AS13" s="7">
        <v>0.03</v>
      </c>
      <c r="AT13" s="7">
        <v>0.02</v>
      </c>
      <c r="AU13" s="7">
        <v>0.03</v>
      </c>
      <c r="AV13" s="7">
        <v>0.03</v>
      </c>
      <c r="AW13" s="7">
        <v>0.03</v>
      </c>
      <c r="AX13" s="7">
        <v>0.03</v>
      </c>
    </row>
    <row r="14" spans="1:50" ht="48" customHeight="1" x14ac:dyDescent="0.25">
      <c r="A14" s="23">
        <f>A13+1</f>
        <v>2</v>
      </c>
      <c r="B14" s="126" t="s">
        <v>283</v>
      </c>
      <c r="C14" s="126"/>
      <c r="D14" s="126"/>
      <c r="E14" s="127" t="s">
        <v>306</v>
      </c>
      <c r="F14" s="127" t="s">
        <v>286</v>
      </c>
      <c r="G14" s="5">
        <v>0.25</v>
      </c>
      <c r="H14" s="6" t="s">
        <v>15</v>
      </c>
      <c r="I14" s="6">
        <v>2018</v>
      </c>
      <c r="J14" s="6" t="s">
        <v>14</v>
      </c>
      <c r="K14" s="6">
        <v>2021</v>
      </c>
      <c r="L14" s="7">
        <v>0</v>
      </c>
      <c r="M14" s="7">
        <v>0</v>
      </c>
      <c r="N14" s="7">
        <v>0</v>
      </c>
      <c r="O14" s="7">
        <v>0.02</v>
      </c>
      <c r="P14" s="7">
        <v>0.03</v>
      </c>
      <c r="Q14" s="7">
        <v>0.03</v>
      </c>
      <c r="R14" s="7">
        <v>0.03</v>
      </c>
      <c r="S14" s="7">
        <v>0.02</v>
      </c>
      <c r="T14" s="7">
        <v>0.03</v>
      </c>
      <c r="U14" s="7">
        <v>0.03</v>
      </c>
      <c r="V14" s="7">
        <v>0.02</v>
      </c>
      <c r="W14" s="7">
        <v>0.03</v>
      </c>
      <c r="X14" s="7">
        <v>0.03</v>
      </c>
      <c r="Y14" s="7">
        <v>0.03</v>
      </c>
      <c r="Z14" s="7">
        <v>0.03</v>
      </c>
      <c r="AA14" s="7">
        <v>0.03</v>
      </c>
      <c r="AB14" s="7">
        <v>0.02</v>
      </c>
      <c r="AC14" s="7">
        <v>0.03</v>
      </c>
      <c r="AD14" s="7">
        <v>0.03</v>
      </c>
      <c r="AE14" s="7">
        <v>0.03</v>
      </c>
      <c r="AF14" s="7">
        <v>0.03</v>
      </c>
      <c r="AG14" s="7">
        <v>0.03</v>
      </c>
      <c r="AH14" s="7">
        <v>0.02</v>
      </c>
      <c r="AI14" s="7">
        <v>0.03</v>
      </c>
      <c r="AJ14" s="7">
        <v>0.03</v>
      </c>
      <c r="AK14" s="7">
        <v>0.02</v>
      </c>
      <c r="AL14" s="7">
        <v>0.03</v>
      </c>
      <c r="AM14" s="7">
        <v>0.03</v>
      </c>
      <c r="AN14" s="7">
        <v>0.03</v>
      </c>
      <c r="AO14" s="7">
        <v>0.03</v>
      </c>
      <c r="AP14" s="7">
        <v>0.03</v>
      </c>
      <c r="AQ14" s="7">
        <v>0.02</v>
      </c>
      <c r="AR14" s="7">
        <v>0.03</v>
      </c>
      <c r="AS14" s="7">
        <v>0.03</v>
      </c>
      <c r="AT14" s="7">
        <v>0.02</v>
      </c>
      <c r="AU14" s="7">
        <v>0.03</v>
      </c>
      <c r="AV14" s="7">
        <v>0.03</v>
      </c>
      <c r="AW14" s="7">
        <v>0.03</v>
      </c>
      <c r="AX14" s="7">
        <v>0.03</v>
      </c>
    </row>
    <row r="15" spans="1:50" ht="59.25" customHeight="1" x14ac:dyDescent="0.25">
      <c r="A15" s="23">
        <f t="shared" ref="A15" si="0">A14+1</f>
        <v>3</v>
      </c>
      <c r="B15" s="126" t="s">
        <v>284</v>
      </c>
      <c r="C15" s="126"/>
      <c r="D15" s="126"/>
      <c r="E15" s="127" t="s">
        <v>287</v>
      </c>
      <c r="F15" s="127" t="s">
        <v>287</v>
      </c>
      <c r="G15" s="5">
        <v>0.3</v>
      </c>
      <c r="H15" s="6" t="s">
        <v>15</v>
      </c>
      <c r="I15" s="6">
        <v>2018</v>
      </c>
      <c r="J15" s="6" t="s">
        <v>14</v>
      </c>
      <c r="K15" s="6">
        <v>2021</v>
      </c>
      <c r="L15" s="7">
        <v>0</v>
      </c>
      <c r="M15" s="7">
        <v>0</v>
      </c>
      <c r="N15" s="7">
        <v>0</v>
      </c>
      <c r="O15" s="7">
        <v>0.02</v>
      </c>
      <c r="P15" s="7">
        <v>0.03</v>
      </c>
      <c r="Q15" s="7">
        <v>0.03</v>
      </c>
      <c r="R15" s="7">
        <v>0.03</v>
      </c>
      <c r="S15" s="7">
        <v>0.02</v>
      </c>
      <c r="T15" s="7">
        <v>0.03</v>
      </c>
      <c r="U15" s="7">
        <v>0.03</v>
      </c>
      <c r="V15" s="7">
        <v>0.02</v>
      </c>
      <c r="W15" s="7">
        <v>0.03</v>
      </c>
      <c r="X15" s="7">
        <v>0.03</v>
      </c>
      <c r="Y15" s="7">
        <v>0.03</v>
      </c>
      <c r="Z15" s="7">
        <v>0.03</v>
      </c>
      <c r="AA15" s="7">
        <v>0.03</v>
      </c>
      <c r="AB15" s="7">
        <v>0.02</v>
      </c>
      <c r="AC15" s="7">
        <v>0.03</v>
      </c>
      <c r="AD15" s="7">
        <v>0.03</v>
      </c>
      <c r="AE15" s="7">
        <v>0.03</v>
      </c>
      <c r="AF15" s="7">
        <v>0.03</v>
      </c>
      <c r="AG15" s="7">
        <v>0.03</v>
      </c>
      <c r="AH15" s="7">
        <v>0.02</v>
      </c>
      <c r="AI15" s="7">
        <v>0.03</v>
      </c>
      <c r="AJ15" s="7">
        <v>0.03</v>
      </c>
      <c r="AK15" s="7">
        <v>0.02</v>
      </c>
      <c r="AL15" s="7">
        <v>0.03</v>
      </c>
      <c r="AM15" s="7">
        <v>0.03</v>
      </c>
      <c r="AN15" s="7">
        <v>0.03</v>
      </c>
      <c r="AO15" s="7">
        <v>0.03</v>
      </c>
      <c r="AP15" s="7">
        <v>0.03</v>
      </c>
      <c r="AQ15" s="7">
        <v>0.02</v>
      </c>
      <c r="AR15" s="7">
        <v>0.03</v>
      </c>
      <c r="AS15" s="7">
        <v>0.03</v>
      </c>
      <c r="AT15" s="7">
        <v>0.02</v>
      </c>
      <c r="AU15" s="7">
        <v>0.03</v>
      </c>
      <c r="AV15" s="7">
        <v>0.03</v>
      </c>
      <c r="AW15" s="7">
        <v>0.03</v>
      </c>
      <c r="AX15" s="7">
        <v>0.03</v>
      </c>
    </row>
    <row r="16" spans="1:50" ht="45" customHeight="1" x14ac:dyDescent="0.25">
      <c r="A16" s="23">
        <v>4</v>
      </c>
      <c r="B16" s="126" t="s">
        <v>320</v>
      </c>
      <c r="C16" s="126"/>
      <c r="D16" s="126"/>
      <c r="E16" s="127" t="s">
        <v>288</v>
      </c>
      <c r="F16" s="127" t="s">
        <v>288</v>
      </c>
      <c r="G16" s="5">
        <v>0.2</v>
      </c>
      <c r="H16" s="6" t="s">
        <v>15</v>
      </c>
      <c r="I16" s="6">
        <v>2018</v>
      </c>
      <c r="J16" s="6" t="s">
        <v>14</v>
      </c>
      <c r="K16" s="6">
        <v>2021</v>
      </c>
      <c r="L16" s="7">
        <v>0</v>
      </c>
      <c r="M16" s="7">
        <v>0</v>
      </c>
      <c r="N16" s="7">
        <v>0</v>
      </c>
      <c r="O16" s="7">
        <v>0.02</v>
      </c>
      <c r="P16" s="7">
        <v>0.03</v>
      </c>
      <c r="Q16" s="7">
        <v>0.03</v>
      </c>
      <c r="R16" s="7">
        <v>0.03</v>
      </c>
      <c r="S16" s="7">
        <v>0.02</v>
      </c>
      <c r="T16" s="7">
        <v>0.03</v>
      </c>
      <c r="U16" s="7">
        <v>0.03</v>
      </c>
      <c r="V16" s="7">
        <v>0.02</v>
      </c>
      <c r="W16" s="7">
        <v>0.03</v>
      </c>
      <c r="X16" s="7">
        <v>0.03</v>
      </c>
      <c r="Y16" s="7">
        <v>0.03</v>
      </c>
      <c r="Z16" s="7">
        <v>0.03</v>
      </c>
      <c r="AA16" s="7">
        <v>0.03</v>
      </c>
      <c r="AB16" s="7">
        <v>0.02</v>
      </c>
      <c r="AC16" s="7">
        <v>0.03</v>
      </c>
      <c r="AD16" s="7">
        <v>0.03</v>
      </c>
      <c r="AE16" s="7">
        <v>0.03</v>
      </c>
      <c r="AF16" s="7">
        <v>0.03</v>
      </c>
      <c r="AG16" s="7">
        <v>0.03</v>
      </c>
      <c r="AH16" s="7">
        <v>0.02</v>
      </c>
      <c r="AI16" s="7">
        <v>0.03</v>
      </c>
      <c r="AJ16" s="7">
        <v>0.03</v>
      </c>
      <c r="AK16" s="7">
        <v>0.02</v>
      </c>
      <c r="AL16" s="7">
        <v>0.03</v>
      </c>
      <c r="AM16" s="7">
        <v>0.03</v>
      </c>
      <c r="AN16" s="7">
        <v>0.03</v>
      </c>
      <c r="AO16" s="7">
        <v>0.03</v>
      </c>
      <c r="AP16" s="7">
        <v>0.03</v>
      </c>
      <c r="AQ16" s="7">
        <v>0.02</v>
      </c>
      <c r="AR16" s="7">
        <v>0.03</v>
      </c>
      <c r="AS16" s="7">
        <v>0.03</v>
      </c>
      <c r="AT16" s="7">
        <v>0.02</v>
      </c>
      <c r="AU16" s="7">
        <v>0.03</v>
      </c>
      <c r="AV16" s="7">
        <v>0.03</v>
      </c>
      <c r="AW16" s="7">
        <v>0.03</v>
      </c>
      <c r="AX16" s="7">
        <v>0.03</v>
      </c>
    </row>
    <row r="17" spans="1:53" ht="56.25" customHeight="1" x14ac:dyDescent="0.25">
      <c r="A17" s="23">
        <v>5</v>
      </c>
      <c r="B17" s="126" t="s">
        <v>285</v>
      </c>
      <c r="C17" s="126"/>
      <c r="D17" s="126"/>
      <c r="E17" s="127" t="s">
        <v>289</v>
      </c>
      <c r="F17" s="127" t="s">
        <v>289</v>
      </c>
      <c r="G17" s="5">
        <v>0.15</v>
      </c>
      <c r="H17" s="6" t="s">
        <v>15</v>
      </c>
      <c r="I17" s="6">
        <v>2018</v>
      </c>
      <c r="J17" s="6" t="s">
        <v>14</v>
      </c>
      <c r="K17" s="6">
        <v>2021</v>
      </c>
      <c r="L17" s="7">
        <v>0</v>
      </c>
      <c r="M17" s="7">
        <v>0</v>
      </c>
      <c r="N17" s="7">
        <v>0</v>
      </c>
      <c r="O17" s="7">
        <v>0.02</v>
      </c>
      <c r="P17" s="7">
        <v>0.03</v>
      </c>
      <c r="Q17" s="7">
        <v>0.03</v>
      </c>
      <c r="R17" s="7">
        <v>0.03</v>
      </c>
      <c r="S17" s="7">
        <v>0.02</v>
      </c>
      <c r="T17" s="7">
        <v>0.03</v>
      </c>
      <c r="U17" s="7">
        <v>0.03</v>
      </c>
      <c r="V17" s="7">
        <v>0.02</v>
      </c>
      <c r="W17" s="7">
        <v>0.03</v>
      </c>
      <c r="X17" s="7">
        <v>0.03</v>
      </c>
      <c r="Y17" s="7">
        <v>0.03</v>
      </c>
      <c r="Z17" s="7">
        <v>0.03</v>
      </c>
      <c r="AA17" s="7">
        <v>0.03</v>
      </c>
      <c r="AB17" s="7">
        <v>0.02</v>
      </c>
      <c r="AC17" s="7">
        <v>0.03</v>
      </c>
      <c r="AD17" s="7">
        <v>0.03</v>
      </c>
      <c r="AE17" s="7">
        <v>0.03</v>
      </c>
      <c r="AF17" s="7">
        <v>0.03</v>
      </c>
      <c r="AG17" s="7">
        <v>0.03</v>
      </c>
      <c r="AH17" s="7">
        <v>0.02</v>
      </c>
      <c r="AI17" s="7">
        <v>0.03</v>
      </c>
      <c r="AJ17" s="7">
        <v>0.03</v>
      </c>
      <c r="AK17" s="7">
        <v>0.02</v>
      </c>
      <c r="AL17" s="7">
        <v>0.03</v>
      </c>
      <c r="AM17" s="7">
        <v>0.03</v>
      </c>
      <c r="AN17" s="7">
        <v>0.03</v>
      </c>
      <c r="AO17" s="7">
        <v>0.03</v>
      </c>
      <c r="AP17" s="7">
        <v>0.03</v>
      </c>
      <c r="AQ17" s="7">
        <v>0.02</v>
      </c>
      <c r="AR17" s="7">
        <v>0.03</v>
      </c>
      <c r="AS17" s="7">
        <v>0.03</v>
      </c>
      <c r="AT17" s="7">
        <v>0.02</v>
      </c>
      <c r="AU17" s="7">
        <v>0.03</v>
      </c>
      <c r="AV17" s="7">
        <v>0.03</v>
      </c>
      <c r="AW17" s="7">
        <v>0.03</v>
      </c>
      <c r="AX17" s="7">
        <v>0.03</v>
      </c>
      <c r="AY17" s="69"/>
      <c r="AZ17" s="68"/>
      <c r="BA17" s="68"/>
    </row>
    <row r="18" spans="1:53" ht="45" customHeight="1" x14ac:dyDescent="0.25">
      <c r="A18" s="128" t="s">
        <v>34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30"/>
    </row>
    <row r="19" spans="1:53" ht="45" customHeight="1" x14ac:dyDescent="0.25">
      <c r="A19" s="131" t="s">
        <v>24</v>
      </c>
      <c r="B19" s="132"/>
      <c r="C19" s="133"/>
      <c r="D19" s="70">
        <v>2018</v>
      </c>
      <c r="E19" s="70"/>
      <c r="F19" s="134">
        <v>2019</v>
      </c>
      <c r="G19" s="135"/>
      <c r="H19" s="70" t="s">
        <v>25</v>
      </c>
      <c r="I19" s="70"/>
      <c r="J19" s="70" t="s">
        <v>26</v>
      </c>
      <c r="K19" s="70"/>
    </row>
    <row r="20" spans="1:53" ht="45" customHeight="1" x14ac:dyDescent="0.25">
      <c r="A20" s="136" t="s">
        <v>29</v>
      </c>
      <c r="B20" s="137"/>
      <c r="C20" s="138"/>
      <c r="D20" s="78">
        <f>30812154/1000000</f>
        <v>30.812154</v>
      </c>
      <c r="E20" s="78"/>
      <c r="F20" s="78">
        <f>43627838/1000000</f>
        <v>43.627837999999997</v>
      </c>
      <c r="G20" s="78"/>
      <c r="H20" s="78">
        <v>60.1</v>
      </c>
      <c r="I20" s="78"/>
      <c r="J20" s="79">
        <f>SUM(D20:I20)</f>
        <v>134.53999199999998</v>
      </c>
      <c r="K20" s="79"/>
    </row>
    <row r="21" spans="1:53" ht="45" customHeight="1" x14ac:dyDescent="0.25">
      <c r="A21" s="136" t="s">
        <v>27</v>
      </c>
      <c r="B21" s="137"/>
      <c r="C21" s="138"/>
      <c r="D21" s="78">
        <f>40499970/1000000</f>
        <v>40.499969999999998</v>
      </c>
      <c r="E21" s="78"/>
      <c r="F21" s="78">
        <f>57709960/1000000</f>
        <v>57.709960000000002</v>
      </c>
      <c r="G21" s="78"/>
      <c r="H21" s="78">
        <v>79.2</v>
      </c>
      <c r="I21" s="78"/>
      <c r="J21" s="79">
        <f t="shared" ref="J21:J23" si="1">SUM(D21:I21)</f>
        <v>177.40993</v>
      </c>
      <c r="K21" s="79"/>
    </row>
    <row r="22" spans="1:53" ht="45" customHeight="1" x14ac:dyDescent="0.25">
      <c r="A22" s="136" t="s">
        <v>39</v>
      </c>
      <c r="B22" s="137"/>
      <c r="C22" s="138"/>
      <c r="D22" s="78">
        <v>0</v>
      </c>
      <c r="E22" s="78"/>
      <c r="F22" s="78">
        <v>0</v>
      </c>
      <c r="G22" s="78"/>
      <c r="H22" s="78">
        <v>0</v>
      </c>
      <c r="I22" s="78"/>
      <c r="J22" s="79">
        <f t="shared" si="1"/>
        <v>0</v>
      </c>
      <c r="K22" s="79"/>
    </row>
    <row r="23" spans="1:53" ht="45" customHeight="1" x14ac:dyDescent="0.25">
      <c r="A23" s="136" t="s">
        <v>33</v>
      </c>
      <c r="B23" s="137"/>
      <c r="C23" s="138"/>
      <c r="D23" s="78">
        <v>0</v>
      </c>
      <c r="E23" s="78"/>
      <c r="F23" s="78">
        <v>0</v>
      </c>
      <c r="G23" s="78"/>
      <c r="H23" s="78">
        <v>0</v>
      </c>
      <c r="I23" s="78"/>
      <c r="J23" s="79">
        <f t="shared" si="1"/>
        <v>0</v>
      </c>
      <c r="K23" s="79"/>
    </row>
    <row r="24" spans="1:53" ht="45" customHeight="1" x14ac:dyDescent="0.25">
      <c r="A24" s="139" t="s">
        <v>28</v>
      </c>
      <c r="B24" s="140"/>
      <c r="C24" s="141"/>
      <c r="D24" s="75">
        <f>SUM(D20:E23)</f>
        <v>71.312123999999997</v>
      </c>
      <c r="E24" s="75"/>
      <c r="F24" s="142">
        <f>SUM(F20:G23)</f>
        <v>101.33779799999999</v>
      </c>
      <c r="G24" s="143"/>
      <c r="H24" s="75">
        <f>SUM(H20:I23)</f>
        <v>139.30000000000001</v>
      </c>
      <c r="I24" s="75"/>
      <c r="J24" s="75">
        <f>SUM(J20:K23)</f>
        <v>311.94992200000002</v>
      </c>
      <c r="K24" s="75"/>
      <c r="M24" s="87"/>
      <c r="N24" s="88"/>
      <c r="O24" s="88"/>
      <c r="P24" s="88"/>
      <c r="Q24" s="88"/>
    </row>
    <row r="25" spans="1:53" ht="45" customHeight="1" x14ac:dyDescent="0.25">
      <c r="A25" s="76" t="s">
        <v>40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</sheetData>
  <mergeCells count="84">
    <mergeCell ref="M24:Q24"/>
    <mergeCell ref="A25:K25"/>
    <mergeCell ref="A23:C23"/>
    <mergeCell ref="D23:E23"/>
    <mergeCell ref="F23:G23"/>
    <mergeCell ref="H23:I23"/>
    <mergeCell ref="J23:K23"/>
    <mergeCell ref="A24:C24"/>
    <mergeCell ref="D24:E24"/>
    <mergeCell ref="F24:G24"/>
    <mergeCell ref="H24:I24"/>
    <mergeCell ref="J24:K24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20:K20"/>
    <mergeCell ref="A18:K18"/>
    <mergeCell ref="A19:C19"/>
    <mergeCell ref="D19:E19"/>
    <mergeCell ref="F19:G19"/>
    <mergeCell ref="H19:I19"/>
    <mergeCell ref="J19:K19"/>
    <mergeCell ref="B14:D14"/>
    <mergeCell ref="E14:F14"/>
    <mergeCell ref="B15:D15"/>
    <mergeCell ref="E15:F15"/>
    <mergeCell ref="B17:D17"/>
    <mergeCell ref="E17:F17"/>
    <mergeCell ref="B16:D16"/>
    <mergeCell ref="E16:F16"/>
    <mergeCell ref="B13:D13"/>
    <mergeCell ref="E13:F13"/>
    <mergeCell ref="AG11:AI11"/>
    <mergeCell ref="AJ11:AL11"/>
    <mergeCell ref="AM11:AO11"/>
    <mergeCell ref="O11:Q11"/>
    <mergeCell ref="R11:T11"/>
    <mergeCell ref="U11:W11"/>
    <mergeCell ref="X11:Z11"/>
    <mergeCell ref="AA11:AC11"/>
    <mergeCell ref="AD11:AF11"/>
    <mergeCell ref="L9:AX9"/>
    <mergeCell ref="H10:H12"/>
    <mergeCell ref="I10:I12"/>
    <mergeCell ref="J10:J12"/>
    <mergeCell ref="K10:K12"/>
    <mergeCell ref="L10:W10"/>
    <mergeCell ref="X10:AI10"/>
    <mergeCell ref="AJ10:AU10"/>
    <mergeCell ref="AV10:AX10"/>
    <mergeCell ref="L11:N11"/>
    <mergeCell ref="AP11:AR11"/>
    <mergeCell ref="AS11:AU11"/>
    <mergeCell ref="AV11:AX11"/>
    <mergeCell ref="J9:K9"/>
    <mergeCell ref="A9:A12"/>
    <mergeCell ref="B9:D12"/>
    <mergeCell ref="E9:F12"/>
    <mergeCell ref="G9:G12"/>
    <mergeCell ref="H9:I9"/>
    <mergeCell ref="N6:X8"/>
    <mergeCell ref="A1:B2"/>
    <mergeCell ref="C1:K1"/>
    <mergeCell ref="C2:K2"/>
    <mergeCell ref="A3:K3"/>
    <mergeCell ref="A4:C4"/>
    <mergeCell ref="D4:K4"/>
    <mergeCell ref="A8:K8"/>
    <mergeCell ref="A5:C5"/>
    <mergeCell ref="D5:K5"/>
    <mergeCell ref="A6:C6"/>
    <mergeCell ref="D6:K6"/>
    <mergeCell ref="A7:K7"/>
  </mergeCells>
  <dataValidations xWindow="1228" yWindow="681" count="3">
    <dataValidation type="list" allowBlank="1" showInputMessage="1" showErrorMessage="1" sqref="H13:H17 J13:J17">
      <formula1>"Ene,Feb,Mar,Abr,May,Jun,Jul,Ago,Sep,Oct,Nov,Dic"</formula1>
    </dataValidation>
    <dataValidation type="list" allowBlank="1" showInputMessage="1" showErrorMessage="1" sqref="I13:I17 K13:K17">
      <formula1>"2018,2019,2020,2021"</formula1>
    </dataValidation>
    <dataValidation allowBlank="1" showInputMessage="1" showErrorMessage="1" prompt="Registre para el período en cuestión, el valor de las inversiones de acuerdo con la fuente de recursos" sqref="D21:E23 F21:G21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24"/>
  <sheetViews>
    <sheetView showGridLines="0" tabSelected="1" topLeftCell="AB13" zoomScaleNormal="100" workbookViewId="0">
      <selection activeCell="B16" sqref="B16:D16"/>
    </sheetView>
  </sheetViews>
  <sheetFormatPr baseColWidth="10" defaultColWidth="11.42578125" defaultRowHeight="45" customHeight="1" outlineLevelCol="1" x14ac:dyDescent="0.25"/>
  <cols>
    <col min="1" max="1" width="4.42578125" style="2" customWidth="1"/>
    <col min="2" max="2" width="15.42578125" style="1" customWidth="1"/>
    <col min="3" max="3" width="11" style="1" customWidth="1"/>
    <col min="4" max="4" width="11.42578125" style="1"/>
    <col min="5" max="6" width="10.7109375" style="1" customWidth="1"/>
    <col min="7" max="7" width="15.140625" style="1" customWidth="1"/>
    <col min="8" max="8" width="10.7109375" style="1" customWidth="1"/>
    <col min="9" max="9" width="12" style="1" customWidth="1"/>
    <col min="10" max="11" width="10.7109375" style="1" customWidth="1"/>
    <col min="12" max="50" width="5.7109375" style="1" customWidth="1" outlineLevel="1"/>
    <col min="52" max="16384" width="11.42578125" style="1"/>
  </cols>
  <sheetData>
    <row r="1" spans="1:50" ht="45" customHeight="1" x14ac:dyDescent="0.25">
      <c r="A1" s="92"/>
      <c r="B1" s="92"/>
      <c r="C1" s="93" t="s">
        <v>30</v>
      </c>
      <c r="D1" s="93"/>
      <c r="E1" s="93"/>
      <c r="F1" s="93"/>
      <c r="G1" s="93"/>
      <c r="H1" s="93"/>
      <c r="I1" s="93"/>
      <c r="J1" s="93"/>
      <c r="K1" s="9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5" customHeight="1" x14ac:dyDescent="0.25">
      <c r="A2" s="92"/>
      <c r="B2" s="92"/>
      <c r="C2" s="93" t="s">
        <v>31</v>
      </c>
      <c r="D2" s="93"/>
      <c r="E2" s="93"/>
      <c r="F2" s="93"/>
      <c r="G2" s="93"/>
      <c r="H2" s="93"/>
      <c r="I2" s="93"/>
      <c r="J2" s="93"/>
      <c r="K2" s="9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45" customHeight="1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45" customHeight="1" x14ac:dyDescent="0.25">
      <c r="A4" s="95" t="s">
        <v>35</v>
      </c>
      <c r="B4" s="95"/>
      <c r="C4" s="95"/>
      <c r="D4" s="96" t="s">
        <v>291</v>
      </c>
      <c r="E4" s="96"/>
      <c r="F4" s="96"/>
      <c r="G4" s="96"/>
      <c r="H4" s="96"/>
      <c r="I4" s="96"/>
      <c r="J4" s="96"/>
      <c r="K4" s="96"/>
    </row>
    <row r="5" spans="1:50" ht="45" customHeight="1" x14ac:dyDescent="0.25">
      <c r="A5" s="95" t="s">
        <v>1</v>
      </c>
      <c r="B5" s="95"/>
      <c r="C5" s="95"/>
      <c r="D5" s="96" t="s">
        <v>299</v>
      </c>
      <c r="E5" s="96"/>
      <c r="F5" s="96"/>
      <c r="G5" s="96"/>
      <c r="H5" s="96"/>
      <c r="I5" s="96"/>
      <c r="J5" s="96"/>
      <c r="K5" s="96"/>
    </row>
    <row r="6" spans="1:50" ht="45" customHeight="1" x14ac:dyDescent="0.25">
      <c r="A6" s="95" t="s">
        <v>32</v>
      </c>
      <c r="B6" s="95"/>
      <c r="C6" s="95"/>
      <c r="D6" s="96" t="s">
        <v>48</v>
      </c>
      <c r="E6" s="96"/>
      <c r="F6" s="96"/>
      <c r="G6" s="96"/>
      <c r="H6" s="96"/>
      <c r="I6" s="96"/>
      <c r="J6" s="96"/>
      <c r="K6" s="96"/>
    </row>
    <row r="7" spans="1:50" ht="45" customHeight="1" x14ac:dyDescent="0.25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50" ht="45" customHeight="1" x14ac:dyDescent="0.25">
      <c r="A8" s="104" t="s">
        <v>123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50" ht="45" customHeight="1" x14ac:dyDescent="0.25">
      <c r="A9" s="98" t="s">
        <v>2</v>
      </c>
      <c r="B9" s="85" t="s">
        <v>37</v>
      </c>
      <c r="C9" s="85"/>
      <c r="D9" s="85"/>
      <c r="E9" s="85" t="s">
        <v>3</v>
      </c>
      <c r="F9" s="85"/>
      <c r="G9" s="85" t="s">
        <v>36</v>
      </c>
      <c r="H9" s="85" t="s">
        <v>4</v>
      </c>
      <c r="I9" s="85"/>
      <c r="J9" s="85" t="s">
        <v>5</v>
      </c>
      <c r="K9" s="85"/>
      <c r="L9" s="86" t="s">
        <v>45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45" customHeight="1" x14ac:dyDescent="0.25">
      <c r="A10" s="98"/>
      <c r="B10" s="85"/>
      <c r="C10" s="85"/>
      <c r="D10" s="85"/>
      <c r="E10" s="85"/>
      <c r="F10" s="85"/>
      <c r="G10" s="85"/>
      <c r="H10" s="85" t="s">
        <v>6</v>
      </c>
      <c r="I10" s="85" t="s">
        <v>7</v>
      </c>
      <c r="J10" s="85" t="s">
        <v>6</v>
      </c>
      <c r="K10" s="85" t="s">
        <v>7</v>
      </c>
      <c r="L10" s="85" t="s">
        <v>8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 t="s">
        <v>9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 t="s">
        <v>10</v>
      </c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 t="s">
        <v>11</v>
      </c>
      <c r="AW10" s="85"/>
      <c r="AX10" s="85"/>
    </row>
    <row r="11" spans="1:50" ht="45" customHeight="1" x14ac:dyDescent="0.25">
      <c r="A11" s="9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2" t="s">
        <v>41</v>
      </c>
      <c r="M11" s="83"/>
      <c r="N11" s="84"/>
      <c r="O11" s="82" t="s">
        <v>42</v>
      </c>
      <c r="P11" s="83"/>
      <c r="Q11" s="84"/>
      <c r="R11" s="82" t="s">
        <v>43</v>
      </c>
      <c r="S11" s="83"/>
      <c r="T11" s="84"/>
      <c r="U11" s="82" t="s">
        <v>44</v>
      </c>
      <c r="V11" s="83"/>
      <c r="W11" s="84"/>
      <c r="X11" s="82" t="s">
        <v>41</v>
      </c>
      <c r="Y11" s="83"/>
      <c r="Z11" s="84"/>
      <c r="AA11" s="82" t="s">
        <v>42</v>
      </c>
      <c r="AB11" s="83"/>
      <c r="AC11" s="84"/>
      <c r="AD11" s="82" t="s">
        <v>43</v>
      </c>
      <c r="AE11" s="83"/>
      <c r="AF11" s="84"/>
      <c r="AG11" s="82" t="s">
        <v>44</v>
      </c>
      <c r="AH11" s="83"/>
      <c r="AI11" s="84"/>
      <c r="AJ11" s="82" t="s">
        <v>41</v>
      </c>
      <c r="AK11" s="83"/>
      <c r="AL11" s="84"/>
      <c r="AM11" s="82" t="s">
        <v>42</v>
      </c>
      <c r="AN11" s="83"/>
      <c r="AO11" s="84"/>
      <c r="AP11" s="82" t="s">
        <v>43</v>
      </c>
      <c r="AQ11" s="83"/>
      <c r="AR11" s="84"/>
      <c r="AS11" s="82" t="s">
        <v>44</v>
      </c>
      <c r="AT11" s="83"/>
      <c r="AU11" s="84"/>
      <c r="AV11" s="82" t="s">
        <v>41</v>
      </c>
      <c r="AW11" s="83"/>
      <c r="AX11" s="84"/>
    </row>
    <row r="12" spans="1:50" ht="45" customHeight="1" x14ac:dyDescent="0.2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12</v>
      </c>
      <c r="Y12" s="12" t="s">
        <v>13</v>
      </c>
      <c r="Z12" s="12" t="s">
        <v>14</v>
      </c>
      <c r="AA12" s="12" t="s">
        <v>15</v>
      </c>
      <c r="AB12" s="12" t="s">
        <v>16</v>
      </c>
      <c r="AC12" s="12" t="s">
        <v>17</v>
      </c>
      <c r="AD12" s="12" t="s">
        <v>18</v>
      </c>
      <c r="AE12" s="12" t="s">
        <v>19</v>
      </c>
      <c r="AF12" s="12" t="s">
        <v>20</v>
      </c>
      <c r="AG12" s="12" t="s">
        <v>21</v>
      </c>
      <c r="AH12" s="12" t="s">
        <v>22</v>
      </c>
      <c r="AI12" s="12" t="s">
        <v>23</v>
      </c>
      <c r="AJ12" s="12" t="s">
        <v>12</v>
      </c>
      <c r="AK12" s="12" t="s">
        <v>13</v>
      </c>
      <c r="AL12" s="12" t="s">
        <v>14</v>
      </c>
      <c r="AM12" s="12" t="s">
        <v>15</v>
      </c>
      <c r="AN12" s="12" t="s">
        <v>16</v>
      </c>
      <c r="AO12" s="12" t="s">
        <v>17</v>
      </c>
      <c r="AP12" s="12" t="s">
        <v>18</v>
      </c>
      <c r="AQ12" s="12" t="s">
        <v>19</v>
      </c>
      <c r="AR12" s="12" t="s">
        <v>20</v>
      </c>
      <c r="AS12" s="12" t="s">
        <v>21</v>
      </c>
      <c r="AT12" s="12" t="s">
        <v>22</v>
      </c>
      <c r="AU12" s="12" t="s">
        <v>23</v>
      </c>
      <c r="AV12" s="12" t="s">
        <v>12</v>
      </c>
      <c r="AW12" s="12" t="s">
        <v>13</v>
      </c>
      <c r="AX12" s="12" t="s">
        <v>14</v>
      </c>
    </row>
    <row r="13" spans="1:50" ht="45" customHeight="1" x14ac:dyDescent="0.25">
      <c r="A13" s="16">
        <v>1</v>
      </c>
      <c r="B13" s="126" t="s">
        <v>308</v>
      </c>
      <c r="C13" s="144"/>
      <c r="D13" s="144"/>
      <c r="E13" s="127" t="s">
        <v>307</v>
      </c>
      <c r="F13" s="127"/>
      <c r="G13" s="5">
        <v>0.35</v>
      </c>
      <c r="H13" s="6" t="s">
        <v>15</v>
      </c>
      <c r="I13" s="6">
        <v>2018</v>
      </c>
      <c r="J13" s="6" t="s">
        <v>14</v>
      </c>
      <c r="K13" s="6">
        <v>2021</v>
      </c>
      <c r="L13" s="7">
        <v>0</v>
      </c>
      <c r="M13" s="7">
        <v>0</v>
      </c>
      <c r="N13" s="7">
        <v>0</v>
      </c>
      <c r="O13" s="7">
        <v>0.02</v>
      </c>
      <c r="P13" s="7">
        <v>0.03</v>
      </c>
      <c r="Q13" s="7">
        <v>0.03</v>
      </c>
      <c r="R13" s="7">
        <v>0.03</v>
      </c>
      <c r="S13" s="7">
        <v>0.02</v>
      </c>
      <c r="T13" s="7">
        <v>0.03</v>
      </c>
      <c r="U13" s="7">
        <v>0.03</v>
      </c>
      <c r="V13" s="7">
        <v>0.02</v>
      </c>
      <c r="W13" s="7">
        <v>0.03</v>
      </c>
      <c r="X13" s="7">
        <v>0.03</v>
      </c>
      <c r="Y13" s="7">
        <v>0.03</v>
      </c>
      <c r="Z13" s="7">
        <v>0.03</v>
      </c>
      <c r="AA13" s="7">
        <v>0.03</v>
      </c>
      <c r="AB13" s="7">
        <v>0.02</v>
      </c>
      <c r="AC13" s="7">
        <v>0.03</v>
      </c>
      <c r="AD13" s="7">
        <v>0.03</v>
      </c>
      <c r="AE13" s="7">
        <v>0.03</v>
      </c>
      <c r="AF13" s="7">
        <v>0.03</v>
      </c>
      <c r="AG13" s="7">
        <v>0.03</v>
      </c>
      <c r="AH13" s="7">
        <v>0.02</v>
      </c>
      <c r="AI13" s="7">
        <v>0.03</v>
      </c>
      <c r="AJ13" s="7">
        <v>0.03</v>
      </c>
      <c r="AK13" s="7">
        <v>0.02</v>
      </c>
      <c r="AL13" s="7">
        <v>0.03</v>
      </c>
      <c r="AM13" s="7">
        <v>0.03</v>
      </c>
      <c r="AN13" s="7">
        <v>0.03</v>
      </c>
      <c r="AO13" s="7">
        <v>0.03</v>
      </c>
      <c r="AP13" s="7">
        <v>0.03</v>
      </c>
      <c r="AQ13" s="7">
        <v>0.02</v>
      </c>
      <c r="AR13" s="7">
        <v>0.03</v>
      </c>
      <c r="AS13" s="7">
        <v>0.03</v>
      </c>
      <c r="AT13" s="7">
        <v>0.02</v>
      </c>
      <c r="AU13" s="7">
        <v>0.03</v>
      </c>
      <c r="AV13" s="7">
        <v>0.03</v>
      </c>
      <c r="AW13" s="7">
        <v>0.03</v>
      </c>
      <c r="AX13" s="7">
        <v>0.03</v>
      </c>
    </row>
    <row r="14" spans="1:50" ht="48" customHeight="1" x14ac:dyDescent="0.25">
      <c r="A14" s="16">
        <f>A13+1</f>
        <v>2</v>
      </c>
      <c r="B14" s="126" t="s">
        <v>124</v>
      </c>
      <c r="C14" s="144"/>
      <c r="D14" s="144"/>
      <c r="E14" s="127" t="s">
        <v>127</v>
      </c>
      <c r="F14" s="127" t="s">
        <v>127</v>
      </c>
      <c r="G14" s="5">
        <v>0.35</v>
      </c>
      <c r="H14" s="6" t="s">
        <v>15</v>
      </c>
      <c r="I14" s="6">
        <v>2018</v>
      </c>
      <c r="J14" s="6" t="s">
        <v>14</v>
      </c>
      <c r="K14" s="6">
        <v>2021</v>
      </c>
      <c r="L14" s="7">
        <v>0</v>
      </c>
      <c r="M14" s="7">
        <v>0</v>
      </c>
      <c r="N14" s="7">
        <v>0</v>
      </c>
      <c r="O14" s="7">
        <v>0.02</v>
      </c>
      <c r="P14" s="7">
        <v>0.03</v>
      </c>
      <c r="Q14" s="7">
        <v>0.03</v>
      </c>
      <c r="R14" s="7">
        <v>0.03</v>
      </c>
      <c r="S14" s="7">
        <v>0.02</v>
      </c>
      <c r="T14" s="7">
        <v>0.03</v>
      </c>
      <c r="U14" s="7">
        <v>0.03</v>
      </c>
      <c r="V14" s="7">
        <v>0.02</v>
      </c>
      <c r="W14" s="7">
        <v>0.03</v>
      </c>
      <c r="X14" s="7">
        <v>0.03</v>
      </c>
      <c r="Y14" s="7">
        <v>0.03</v>
      </c>
      <c r="Z14" s="7">
        <v>0.03</v>
      </c>
      <c r="AA14" s="7">
        <v>0.03</v>
      </c>
      <c r="AB14" s="7">
        <v>0.02</v>
      </c>
      <c r="AC14" s="7">
        <v>0.03</v>
      </c>
      <c r="AD14" s="7">
        <v>0.03</v>
      </c>
      <c r="AE14" s="7">
        <v>0.03</v>
      </c>
      <c r="AF14" s="7">
        <v>0.03</v>
      </c>
      <c r="AG14" s="7">
        <v>0.03</v>
      </c>
      <c r="AH14" s="7">
        <v>0.02</v>
      </c>
      <c r="AI14" s="7">
        <v>0.03</v>
      </c>
      <c r="AJ14" s="7">
        <v>0.03</v>
      </c>
      <c r="AK14" s="7">
        <v>0.02</v>
      </c>
      <c r="AL14" s="7">
        <v>0.03</v>
      </c>
      <c r="AM14" s="7">
        <v>0.03</v>
      </c>
      <c r="AN14" s="7">
        <v>0.03</v>
      </c>
      <c r="AO14" s="7">
        <v>0.03</v>
      </c>
      <c r="AP14" s="7">
        <v>0.03</v>
      </c>
      <c r="AQ14" s="7">
        <v>0.02</v>
      </c>
      <c r="AR14" s="7">
        <v>0.03</v>
      </c>
      <c r="AS14" s="7">
        <v>0.03</v>
      </c>
      <c r="AT14" s="7">
        <v>0.02</v>
      </c>
      <c r="AU14" s="7">
        <v>0.03</v>
      </c>
      <c r="AV14" s="7">
        <v>0.03</v>
      </c>
      <c r="AW14" s="7">
        <v>0.03</v>
      </c>
      <c r="AX14" s="7">
        <v>0.03</v>
      </c>
    </row>
    <row r="15" spans="1:50" ht="45" customHeight="1" x14ac:dyDescent="0.25">
      <c r="A15" s="16">
        <f t="shared" ref="A15" si="0">A14+1</f>
        <v>3</v>
      </c>
      <c r="B15" s="126" t="s">
        <v>125</v>
      </c>
      <c r="C15" s="144"/>
      <c r="D15" s="144"/>
      <c r="E15" s="127" t="s">
        <v>128</v>
      </c>
      <c r="F15" s="127" t="s">
        <v>128</v>
      </c>
      <c r="G15" s="5">
        <v>0.15</v>
      </c>
      <c r="H15" s="6" t="s">
        <v>15</v>
      </c>
      <c r="I15" s="6">
        <v>2018</v>
      </c>
      <c r="J15" s="6" t="s">
        <v>23</v>
      </c>
      <c r="K15" s="6">
        <v>2019</v>
      </c>
      <c r="L15" s="7">
        <v>0</v>
      </c>
      <c r="M15" s="7">
        <v>0</v>
      </c>
      <c r="N15" s="7">
        <v>0</v>
      </c>
      <c r="O15" s="7">
        <v>0.05</v>
      </c>
      <c r="P15" s="7">
        <v>0.05</v>
      </c>
      <c r="Q15" s="7">
        <v>0.04</v>
      </c>
      <c r="R15" s="7">
        <v>0.05</v>
      </c>
      <c r="S15" s="7">
        <v>0.05</v>
      </c>
      <c r="T15" s="7">
        <v>0.05</v>
      </c>
      <c r="U15" s="7">
        <v>0.05</v>
      </c>
      <c r="V15" s="7">
        <v>0.05</v>
      </c>
      <c r="W15" s="7">
        <v>0.04</v>
      </c>
      <c r="X15" s="7">
        <v>0.05</v>
      </c>
      <c r="Y15" s="7">
        <v>0.05</v>
      </c>
      <c r="Z15" s="7">
        <v>0.05</v>
      </c>
      <c r="AA15" s="7">
        <v>0.05</v>
      </c>
      <c r="AB15" s="7">
        <v>0.05</v>
      </c>
      <c r="AC15" s="7">
        <v>0.04</v>
      </c>
      <c r="AD15" s="7">
        <v>0.05</v>
      </c>
      <c r="AE15" s="7">
        <v>0.05</v>
      </c>
      <c r="AF15" s="7">
        <v>0.04</v>
      </c>
      <c r="AG15" s="7">
        <v>0.05</v>
      </c>
      <c r="AH15" s="7">
        <v>0.05</v>
      </c>
      <c r="AI15" s="7">
        <v>0.04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</row>
    <row r="16" spans="1:50" ht="45" customHeight="1" x14ac:dyDescent="0.25">
      <c r="A16" s="16">
        <v>5</v>
      </c>
      <c r="B16" s="126" t="s">
        <v>126</v>
      </c>
      <c r="C16" s="144"/>
      <c r="D16" s="144"/>
      <c r="E16" s="127" t="s">
        <v>129</v>
      </c>
      <c r="F16" s="127" t="s">
        <v>129</v>
      </c>
      <c r="G16" s="5">
        <v>0.15</v>
      </c>
      <c r="H16" s="6" t="s">
        <v>15</v>
      </c>
      <c r="I16" s="6">
        <v>2018</v>
      </c>
      <c r="J16" s="6" t="s">
        <v>14</v>
      </c>
      <c r="K16" s="6">
        <v>2021</v>
      </c>
      <c r="L16" s="7">
        <v>0</v>
      </c>
      <c r="M16" s="7">
        <v>0</v>
      </c>
      <c r="N16" s="7">
        <v>0</v>
      </c>
      <c r="O16" s="7">
        <v>0.02</v>
      </c>
      <c r="P16" s="7">
        <v>0.03</v>
      </c>
      <c r="Q16" s="7">
        <v>0.03</v>
      </c>
      <c r="R16" s="7">
        <v>0.03</v>
      </c>
      <c r="S16" s="7">
        <v>0.02</v>
      </c>
      <c r="T16" s="7">
        <v>0.03</v>
      </c>
      <c r="U16" s="7">
        <v>0.03</v>
      </c>
      <c r="V16" s="7">
        <v>0.02</v>
      </c>
      <c r="W16" s="7">
        <v>0.03</v>
      </c>
      <c r="X16" s="7">
        <v>0.03</v>
      </c>
      <c r="Y16" s="7">
        <v>0.03</v>
      </c>
      <c r="Z16" s="7">
        <v>0.03</v>
      </c>
      <c r="AA16" s="7">
        <v>0.03</v>
      </c>
      <c r="AB16" s="7">
        <v>0.02</v>
      </c>
      <c r="AC16" s="7">
        <v>0.03</v>
      </c>
      <c r="AD16" s="7">
        <v>0.03</v>
      </c>
      <c r="AE16" s="7">
        <v>0.03</v>
      </c>
      <c r="AF16" s="7">
        <v>0.03</v>
      </c>
      <c r="AG16" s="7">
        <v>0.03</v>
      </c>
      <c r="AH16" s="7">
        <v>0.02</v>
      </c>
      <c r="AI16" s="7">
        <v>0.03</v>
      </c>
      <c r="AJ16" s="7">
        <v>0.03</v>
      </c>
      <c r="AK16" s="7">
        <v>0.02</v>
      </c>
      <c r="AL16" s="7">
        <v>0.03</v>
      </c>
      <c r="AM16" s="7">
        <v>0.03</v>
      </c>
      <c r="AN16" s="7">
        <v>0.03</v>
      </c>
      <c r="AO16" s="7">
        <v>0.03</v>
      </c>
      <c r="AP16" s="7">
        <v>0.03</v>
      </c>
      <c r="AQ16" s="7">
        <v>0.02</v>
      </c>
      <c r="AR16" s="7">
        <v>0.03</v>
      </c>
      <c r="AS16" s="7">
        <v>0.03</v>
      </c>
      <c r="AT16" s="7">
        <v>0.02</v>
      </c>
      <c r="AU16" s="7">
        <v>0.03</v>
      </c>
      <c r="AV16" s="7">
        <v>0.03</v>
      </c>
      <c r="AW16" s="7">
        <v>0.03</v>
      </c>
      <c r="AX16" s="7">
        <v>0.03</v>
      </c>
    </row>
    <row r="17" spans="1:18" ht="45" customHeight="1" x14ac:dyDescent="0.25">
      <c r="A17" s="128" t="s">
        <v>34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30"/>
    </row>
    <row r="18" spans="1:18" ht="45" customHeight="1" x14ac:dyDescent="0.25">
      <c r="A18" s="131" t="s">
        <v>24</v>
      </c>
      <c r="B18" s="132"/>
      <c r="C18" s="133"/>
      <c r="D18" s="70">
        <v>2018</v>
      </c>
      <c r="E18" s="70"/>
      <c r="F18" s="134">
        <v>2019</v>
      </c>
      <c r="G18" s="135"/>
      <c r="H18" s="70" t="s">
        <v>25</v>
      </c>
      <c r="I18" s="70"/>
      <c r="J18" s="70" t="s">
        <v>26</v>
      </c>
      <c r="K18" s="70"/>
    </row>
    <row r="19" spans="1:18" ht="45" customHeight="1" x14ac:dyDescent="0.25">
      <c r="A19" s="136" t="s">
        <v>29</v>
      </c>
      <c r="B19" s="137"/>
      <c r="C19" s="138"/>
      <c r="D19" s="78">
        <f>92516860/1000000</f>
        <v>92.516859999999994</v>
      </c>
      <c r="E19" s="78"/>
      <c r="F19" s="78">
        <f>134325118/1000000</f>
        <v>134.325118</v>
      </c>
      <c r="G19" s="78"/>
      <c r="H19" s="78">
        <v>161</v>
      </c>
      <c r="I19" s="78"/>
      <c r="J19" s="79">
        <f>SUM(D19:I19)</f>
        <v>387.84197799999998</v>
      </c>
      <c r="K19" s="79"/>
    </row>
    <row r="20" spans="1:18" ht="45" customHeight="1" x14ac:dyDescent="0.25">
      <c r="A20" s="136" t="s">
        <v>27</v>
      </c>
      <c r="B20" s="137"/>
      <c r="C20" s="138"/>
      <c r="D20" s="78">
        <f>15599976/1000000</f>
        <v>15.599976</v>
      </c>
      <c r="E20" s="78"/>
      <c r="F20" s="78">
        <f>24855926/1000000</f>
        <v>24.855926</v>
      </c>
      <c r="G20" s="78"/>
      <c r="H20" s="78">
        <v>30.5</v>
      </c>
      <c r="I20" s="78"/>
      <c r="J20" s="79">
        <f t="shared" ref="J20:J22" si="1">SUM(D20:I20)</f>
        <v>70.955902000000009</v>
      </c>
      <c r="K20" s="79"/>
    </row>
    <row r="21" spans="1:18" ht="45" customHeight="1" x14ac:dyDescent="0.25">
      <c r="A21" s="136" t="s">
        <v>39</v>
      </c>
      <c r="B21" s="137"/>
      <c r="C21" s="138"/>
      <c r="D21" s="78">
        <v>0</v>
      </c>
      <c r="E21" s="78"/>
      <c r="F21" s="78">
        <v>0</v>
      </c>
      <c r="G21" s="78"/>
      <c r="H21" s="78">
        <v>0</v>
      </c>
      <c r="I21" s="78"/>
      <c r="J21" s="79">
        <f t="shared" si="1"/>
        <v>0</v>
      </c>
      <c r="K21" s="79"/>
    </row>
    <row r="22" spans="1:18" ht="45" customHeight="1" x14ac:dyDescent="0.25">
      <c r="A22" s="136" t="s">
        <v>33</v>
      </c>
      <c r="B22" s="137"/>
      <c r="C22" s="138"/>
      <c r="D22" s="78">
        <f>166000000/1000000</f>
        <v>166</v>
      </c>
      <c r="E22" s="78"/>
      <c r="F22" s="78">
        <f>267000000/1000000</f>
        <v>267</v>
      </c>
      <c r="G22" s="78"/>
      <c r="H22" s="78">
        <v>167</v>
      </c>
      <c r="I22" s="78"/>
      <c r="J22" s="79">
        <f t="shared" si="1"/>
        <v>600</v>
      </c>
      <c r="K22" s="79"/>
    </row>
    <row r="23" spans="1:18" ht="45" customHeight="1" x14ac:dyDescent="0.25">
      <c r="A23" s="139" t="s">
        <v>28</v>
      </c>
      <c r="B23" s="140"/>
      <c r="C23" s="141"/>
      <c r="D23" s="75">
        <f>SUM(D19:E22)</f>
        <v>274.11683599999998</v>
      </c>
      <c r="E23" s="75"/>
      <c r="F23" s="142">
        <f>SUM(F19:G22)</f>
        <v>426.18104400000004</v>
      </c>
      <c r="G23" s="143"/>
      <c r="H23" s="75">
        <f>SUM(H19:I22)</f>
        <v>358.5</v>
      </c>
      <c r="I23" s="75"/>
      <c r="J23" s="75">
        <f>SUM(J19:K22)</f>
        <v>1058.7978800000001</v>
      </c>
      <c r="K23" s="75"/>
      <c r="N23" s="87"/>
      <c r="O23" s="88"/>
      <c r="P23" s="88"/>
      <c r="Q23" s="88"/>
      <c r="R23" s="88"/>
    </row>
    <row r="24" spans="1:18" ht="45" customHeight="1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</sheetData>
  <mergeCells count="81">
    <mergeCell ref="N23:R23"/>
    <mergeCell ref="A8:K8"/>
    <mergeCell ref="A1:B2"/>
    <mergeCell ref="C1:K1"/>
    <mergeCell ref="C2:K2"/>
    <mergeCell ref="A3:K3"/>
    <mergeCell ref="A4:C4"/>
    <mergeCell ref="D4:K4"/>
    <mergeCell ref="A5:C5"/>
    <mergeCell ref="D5:K5"/>
    <mergeCell ref="A6:C6"/>
    <mergeCell ref="D6:K6"/>
    <mergeCell ref="A7:K7"/>
    <mergeCell ref="A9:A12"/>
    <mergeCell ref="B9:D12"/>
    <mergeCell ref="E9:F12"/>
    <mergeCell ref="AV10:AX10"/>
    <mergeCell ref="L11:N11"/>
    <mergeCell ref="J9:K9"/>
    <mergeCell ref="AV11:AX11"/>
    <mergeCell ref="O11:Q11"/>
    <mergeCell ref="R11:T11"/>
    <mergeCell ref="AP11:AR11"/>
    <mergeCell ref="AS11:AU11"/>
    <mergeCell ref="B13:D13"/>
    <mergeCell ref="E13:F13"/>
    <mergeCell ref="AJ11:AL11"/>
    <mergeCell ref="AM11:AO11"/>
    <mergeCell ref="G9:G12"/>
    <mergeCell ref="H9:I9"/>
    <mergeCell ref="L9:AX9"/>
    <mergeCell ref="H10:H12"/>
    <mergeCell ref="I10:I12"/>
    <mergeCell ref="J10:J12"/>
    <mergeCell ref="K10:K12"/>
    <mergeCell ref="L10:W10"/>
    <mergeCell ref="X10:AI10"/>
    <mergeCell ref="AJ10:AU10"/>
    <mergeCell ref="B14:D14"/>
    <mergeCell ref="E14:F14"/>
    <mergeCell ref="AA11:AC11"/>
    <mergeCell ref="AD11:AF11"/>
    <mergeCell ref="AG11:AI11"/>
    <mergeCell ref="U11:W11"/>
    <mergeCell ref="X11:Z11"/>
    <mergeCell ref="B15:D15"/>
    <mergeCell ref="E15:F15"/>
    <mergeCell ref="B16:D16"/>
    <mergeCell ref="E16:F16"/>
    <mergeCell ref="A17:K17"/>
    <mergeCell ref="A18:C18"/>
    <mergeCell ref="D18:E18"/>
    <mergeCell ref="F18:G18"/>
    <mergeCell ref="H18:I18"/>
    <mergeCell ref="J18:K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4:K24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A23:C23"/>
    <mergeCell ref="D23:E23"/>
    <mergeCell ref="F23:G23"/>
    <mergeCell ref="H23:I23"/>
    <mergeCell ref="J23:K23"/>
  </mergeCells>
  <dataValidations count="3">
    <dataValidation type="list" allowBlank="1" showInputMessage="1" showErrorMessage="1" sqref="K13:K16 I13:I16">
      <formula1>"2018,2019,2020,2021"</formula1>
    </dataValidation>
    <dataValidation type="list" allowBlank="1" showInputMessage="1" showErrorMessage="1" sqref="J13:J16 H13:H16">
      <formula1>"Ene,Feb,Mar,Abr,May,Jun,Jul,Ago,Sep,Oct,Nov,Dic"</formula1>
    </dataValidation>
    <dataValidation allowBlank="1" showInputMessage="1" showErrorMessage="1" prompt="Registre para el período en cuestión, el valor de las inversiones de acuerdo con la fuente de recursos" sqref="D20:E22 F20:G21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R1 Creación y aprop. conoc</vt:lpstr>
      <vt:lpstr>R1 Paz, equidad y diversidad cu</vt:lpstr>
      <vt:lpstr>R2 Innovación curricular pregra</vt:lpstr>
      <vt:lpstr>costos</vt:lpstr>
      <vt:lpstr>R2 Innovación curricular posgr</vt:lpstr>
      <vt:lpstr>R3 Bienestar</vt:lpstr>
      <vt:lpstr>R3 Adecuación Acad. Adminst</vt:lpstr>
    </vt:vector>
  </TitlesOfParts>
  <Company>Universidad de Antioquia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Jeovani.Estrada</dc:creator>
  <cp:lastModifiedBy>usuario</cp:lastModifiedBy>
  <dcterms:created xsi:type="dcterms:W3CDTF">2018-05-15T19:03:07Z</dcterms:created>
  <dcterms:modified xsi:type="dcterms:W3CDTF">2019-02-21T18:51:11Z</dcterms:modified>
</cp:coreProperties>
</file>