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mparo\EVALUACIONES 2018\EVALUACION VA-234-2018\EVALUACION PARA PUBLICAR\"/>
    </mc:Choice>
  </mc:AlternateContent>
  <bookViews>
    <workbookView xWindow="0" yWindow="0" windowWidth="24000" windowHeight="9030" tabRatio="923"/>
  </bookViews>
  <sheets>
    <sheet name="ENTREGA" sheetId="2" r:id="rId1"/>
    <sheet name="APERTURA DE SOBRES" sheetId="22" r:id="rId2"/>
    <sheet name="3. REQUISITOS JURÍDICOS" sheetId="21" r:id="rId3"/>
    <sheet name="3.2.1 EXPERIENCIA GRAL" sheetId="3" r:id="rId4"/>
    <sheet name="3.3 CAP FINANCIERA" sheetId="1" r:id="rId5"/>
    <sheet name="3.4 REQUISITOS COMERCIALES" sheetId="10" r:id="rId6"/>
    <sheet name="10. EVALUACIÓN" sheetId="18" r:id="rId7"/>
    <sheet name="Cálculo Pt3 y Pt4" sheetId="28" r:id="rId8"/>
    <sheet name="Presupuesto Consolidado" sheetId="29" r:id="rId9"/>
    <sheet name="Analisis A.I.U." sheetId="30" r:id="rId10"/>
  </sheets>
  <externalReferences>
    <externalReference r:id="rId11"/>
    <externalReference r:id="rId12"/>
    <externalReference r:id="rId13"/>
    <externalReference r:id="rId14"/>
    <externalReference r:id="rId15"/>
  </externalReferences>
  <definedNames>
    <definedName name="_Dist_Bin" hidden="1">[1]MPC3I4!$A$2040:$DD$3161</definedName>
    <definedName name="_Dist_Values" hidden="1">[1]MPC3I4!$A$2552:$IV$3906</definedName>
    <definedName name="_xlnm._FilterDatabase" localSheetId="1" hidden="1">'APERTURA DE SOBRES'!$A$6:$I$6</definedName>
    <definedName name="_xlnm.Print_Area" localSheetId="6">'10. EVALUACIÓN'!$A$1:$O$15</definedName>
    <definedName name="_xlnm.Print_Area" localSheetId="3">'3.2.1 EXPERIENCIA GRAL'!$A$1:$I$27</definedName>
    <definedName name="_xlnm.Print_Area" localSheetId="4">'3.3 CAP FINANCIERA'!$A$1:$N$8</definedName>
    <definedName name="_xlnm.Print_Area" localSheetId="9">'Analisis A.I.U.'!$A$2:$H$39</definedName>
    <definedName name="_xlnm.Print_Area" localSheetId="8">'Presupuesto Consolidado'!$A$2:$F$164</definedName>
    <definedName name="_xlnm.Print_Area">#REF!</definedName>
    <definedName name="DESC_APU" localSheetId="9">IF(LEN([2]A.P.U.!$B1)=2,VLOOKUP([2]A.P.U.!$B1,[3]Ppto!$D:$P,2,FALSE),IF([2]A.P.U.!$A1="",IF([2]A.P.U.!$B1="",IF([2]A.P.U.!$A1048576="","",DIRECTO),""),'Analisis A.I.U.'!DESCRIPCION_APU))</definedName>
    <definedName name="DESC_APU">IF(LEN([2]A.P.U.!$B1)=2,VLOOKUP([2]A.P.U.!$B1,[3]Ppto!$D:$P,2,FALSE),IF([2]A.P.U.!$A1="",IF([2]A.P.U.!$B1="",IF([2]A.P.U.!$A1048576="","",DIRECTO),""),DESCRIPCION_APU))</definedName>
    <definedName name="DESCRIPCION_APU" localSheetId="9">IF(ISERROR(SEARCH("-",[2]A.P.U.!$B1,3)),INSUMO,ITEM)</definedName>
    <definedName name="DESCRIPCION_APU">IF(ISERROR(SEARCH("-",[2]A.P.U.!$B1,3)),INSUMO,ITEM)</definedName>
    <definedName name="DIRECTO">"DIRECTO:  "&amp;TEXT(SUMIF([2]A.P.U.!$A:$A,[2]A.P.U.!$A1048576,[2]A.P.U.!$H:$H)/2,"#,##0")&amp;" / "&amp;VLOOKUP([2]A.P.U.!$A1048576,[3]Ppto!$D:$F,3,FALSE)</definedName>
    <definedName name="INSUMO">VLOOKUP([2]A.P.U.!$B1,[3]Insumos!$D:$E,2,FALSE)</definedName>
    <definedName name="ITEM">VLOOKUP([2]A.P.U.!$B1,[3]Ppto!$D:$O,2,0)</definedName>
    <definedName name="SUBA">'[4]SUB APU'!$A$1:$D$65536</definedName>
    <definedName name="_xlnm.Print_Titles" localSheetId="2">'3. REQUISITOS JURÍDICOS'!$A:$B,'3. REQUISITOS JURÍDICOS'!$1:$4</definedName>
    <definedName name="_xlnm.Print_Titles" localSheetId="3">'3.2.1 EXPERIENCIA GRAL'!$1:$7</definedName>
    <definedName name="_xlnm.Print_Titles" localSheetId="4">'3.3 CAP FINANCIERA'!$A:$B,'3.3 CAP FINANCIERA'!$1:$5</definedName>
    <definedName name="_xlnm.Print_Titles" localSheetId="5">'3.4 REQUISITOS COMERCIALES'!$1:$3</definedName>
    <definedName name="_xlnm.Print_Titles" localSheetId="9">'Analisis A.I.U.'!$2:$3</definedName>
    <definedName name="_xlnm.Print_Titles" localSheetId="7">'Cálculo Pt3 y Pt4'!$A:$B</definedName>
    <definedName name="_xlnm.Print_Titles" localSheetId="8">'Presupuesto Consolidado'!$2:$9</definedName>
    <definedName name="wrn.items." localSheetId="6" hidden="1">{#N/A,#N/A,FALSE,"Items"}</definedName>
    <definedName name="wrn.items." localSheetId="2" hidden="1">{#N/A,#N/A,FALSE,"Items"}</definedName>
    <definedName name="wrn.items." localSheetId="1" hidden="1">{#N/A,#N/A,FALSE,"Items"}</definedName>
    <definedName name="wrn.items." hidden="1">{#N/A,#N/A,FALSE,"Items"}</definedName>
    <definedName name="wrn1.items" localSheetId="6" hidden="1">{#N/A,#N/A,FALSE,"Items"}</definedName>
    <definedName name="wrn1.items" localSheetId="2" hidden="1">{#N/A,#N/A,FALSE,"Items"}</definedName>
    <definedName name="wrn1.items" localSheetId="1" hidden="1">{#N/A,#N/A,FALSE,"Items"}</definedName>
    <definedName name="wrn1.items" hidden="1">{#N/A,#N/A,FALSE,"Items"}</definedName>
    <definedName name="Z_0DF4D8E0_70F8_43CF_A6D4_A84D04F4D812_.wvu.Cols" localSheetId="0" hidden="1">ENTREGA!#REF!</definedName>
    <definedName name="Z_0DF4D8E0_70F8_43CF_A6D4_A84D04F4D812_.wvu.PrintArea" localSheetId="0" hidden="1">ENTREGA!$A$1:$B$9</definedName>
    <definedName name="Z_0DF4D8E0_70F8_43CF_A6D4_A84D04F4D812_.wvu.Rows" localSheetId="0" hidden="1">ENTREGA!#REF!</definedName>
  </definedNames>
  <calcPr calcId="162913"/>
</workbook>
</file>

<file path=xl/calcChain.xml><?xml version="1.0" encoding="utf-8"?>
<calcChain xmlns="http://schemas.openxmlformats.org/spreadsheetml/2006/main">
  <c r="F167" i="29" l="1"/>
  <c r="M167" i="29"/>
  <c r="Q39" i="30"/>
  <c r="O39" i="30"/>
  <c r="Q38" i="30"/>
  <c r="Q37" i="30"/>
  <c r="H39" i="30"/>
  <c r="H38" i="30"/>
  <c r="H37" i="30"/>
  <c r="Z135" i="28"/>
  <c r="Z134" i="28"/>
  <c r="Z133" i="28"/>
  <c r="Z132" i="28"/>
  <c r="Z131" i="28"/>
  <c r="Z130" i="28"/>
  <c r="Z129" i="28"/>
  <c r="Z128" i="28"/>
  <c r="Z127" i="28"/>
  <c r="Z126" i="28"/>
  <c r="Z125" i="28"/>
  <c r="Z124" i="28"/>
  <c r="Z123" i="28"/>
  <c r="Z122" i="28"/>
  <c r="Z121" i="28"/>
  <c r="Z120" i="28"/>
  <c r="Z119" i="28"/>
  <c r="Z118" i="28"/>
  <c r="Z117" i="28"/>
  <c r="Z116" i="28"/>
  <c r="Z115" i="28"/>
  <c r="Z114" i="28"/>
  <c r="Z113" i="28"/>
  <c r="Z112" i="28"/>
  <c r="Z111" i="28"/>
  <c r="Z110" i="28"/>
  <c r="Z109" i="28"/>
  <c r="Z108" i="28"/>
  <c r="Z107" i="28"/>
  <c r="Z106" i="28"/>
  <c r="Z105" i="28"/>
  <c r="Z104" i="28"/>
  <c r="Z103" i="28"/>
  <c r="Z102" i="28"/>
  <c r="Z101" i="28"/>
  <c r="Z100" i="28"/>
  <c r="Z99" i="28"/>
  <c r="Z98" i="28"/>
  <c r="Z97" i="28"/>
  <c r="Z96" i="28"/>
  <c r="Z95" i="28"/>
  <c r="Z94" i="28"/>
  <c r="Z93" i="28"/>
  <c r="Z92" i="28"/>
  <c r="Z91" i="28"/>
  <c r="Z90" i="28"/>
  <c r="Z89" i="28"/>
  <c r="Z88" i="28"/>
  <c r="Z87" i="28"/>
  <c r="Z86" i="28"/>
  <c r="Z85" i="28"/>
  <c r="Z84" i="28"/>
  <c r="Z83" i="28"/>
  <c r="Z82" i="28"/>
  <c r="Z81" i="28"/>
  <c r="Z80" i="28"/>
  <c r="Z79" i="28"/>
  <c r="Z78" i="28"/>
  <c r="Z77" i="28"/>
  <c r="Z76" i="28"/>
  <c r="Z75" i="28"/>
  <c r="Z74" i="28"/>
  <c r="Z73" i="28"/>
  <c r="Z72" i="28"/>
  <c r="Z71" i="28"/>
  <c r="Z70" i="28"/>
  <c r="Z69" i="28"/>
  <c r="Z68" i="28"/>
  <c r="Z67" i="28"/>
  <c r="Z66" i="28"/>
  <c r="Z65" i="28"/>
  <c r="Z64" i="28"/>
  <c r="Z63" i="28"/>
  <c r="Z62" i="28"/>
  <c r="Z61" i="28"/>
  <c r="Z60" i="28"/>
  <c r="Z59" i="28"/>
  <c r="Z58" i="28"/>
  <c r="Z57" i="28"/>
  <c r="Z56" i="28"/>
  <c r="Z55" i="28"/>
  <c r="Z54" i="28"/>
  <c r="Z53" i="28"/>
  <c r="Z52" i="28"/>
  <c r="Z51" i="28"/>
  <c r="Z50" i="28"/>
  <c r="Z49" i="28"/>
  <c r="Z48" i="28"/>
  <c r="Z47" i="28"/>
  <c r="Z46" i="28"/>
  <c r="Z45" i="28"/>
  <c r="Z44" i="28"/>
  <c r="Z43" i="28"/>
  <c r="Z42" i="28"/>
  <c r="Z41" i="28"/>
  <c r="Z40" i="28"/>
  <c r="Z39" i="28"/>
  <c r="Z38" i="28"/>
  <c r="Z37" i="28"/>
  <c r="Z36" i="28"/>
  <c r="Z35" i="28"/>
  <c r="Z34" i="28"/>
  <c r="Z33" i="28"/>
  <c r="Z32" i="28"/>
  <c r="Z31" i="28"/>
  <c r="Z30" i="28"/>
  <c r="Z29" i="28"/>
  <c r="Z28" i="28"/>
  <c r="Z27" i="28"/>
  <c r="Z26" i="28"/>
  <c r="Z25" i="28"/>
  <c r="Z24" i="28"/>
  <c r="Z23" i="28"/>
  <c r="Z22" i="28"/>
  <c r="Z21" i="28"/>
  <c r="Z20" i="28"/>
  <c r="Z19" i="28"/>
  <c r="Z18" i="28"/>
  <c r="Z17" i="28"/>
  <c r="Z16" i="28"/>
  <c r="Z15" i="28"/>
  <c r="Z14" i="28"/>
  <c r="Z13" i="28"/>
  <c r="Z12" i="28"/>
  <c r="Z11" i="28"/>
  <c r="Z10" i="28"/>
  <c r="Z9" i="28"/>
  <c r="Z8" i="28"/>
  <c r="X135" i="28"/>
  <c r="X134" i="28"/>
  <c r="X133" i="28"/>
  <c r="X132" i="28"/>
  <c r="X131" i="28"/>
  <c r="X130" i="28"/>
  <c r="X129" i="28"/>
  <c r="X128" i="28"/>
  <c r="X127" i="28"/>
  <c r="X126" i="28"/>
  <c r="X125" i="28"/>
  <c r="X124" i="28"/>
  <c r="X123" i="28"/>
  <c r="X122" i="28"/>
  <c r="X121" i="28"/>
  <c r="X120" i="28"/>
  <c r="X119" i="28"/>
  <c r="X118" i="28"/>
  <c r="X117" i="28"/>
  <c r="X116" i="28"/>
  <c r="X115" i="28"/>
  <c r="X114" i="28"/>
  <c r="X113" i="28"/>
  <c r="X112" i="28"/>
  <c r="X111" i="28"/>
  <c r="X110" i="28"/>
  <c r="X109" i="28"/>
  <c r="X108" i="28"/>
  <c r="X107" i="28"/>
  <c r="X106" i="28"/>
  <c r="X105" i="28"/>
  <c r="X104" i="28"/>
  <c r="X103" i="28"/>
  <c r="X102" i="28"/>
  <c r="X101" i="28"/>
  <c r="X100" i="28"/>
  <c r="X99" i="28"/>
  <c r="X98" i="28"/>
  <c r="X97" i="28"/>
  <c r="X96" i="28"/>
  <c r="X95" i="28"/>
  <c r="X94" i="28"/>
  <c r="X93" i="28"/>
  <c r="X92" i="28"/>
  <c r="X91" i="28"/>
  <c r="X90" i="28"/>
  <c r="X89" i="28"/>
  <c r="X88" i="28"/>
  <c r="X87" i="28"/>
  <c r="X86" i="28"/>
  <c r="X85" i="28"/>
  <c r="X84" i="28"/>
  <c r="X83" i="28"/>
  <c r="X82" i="28"/>
  <c r="X81" i="28"/>
  <c r="X80" i="28"/>
  <c r="X79" i="28"/>
  <c r="X78" i="28"/>
  <c r="X77" i="28"/>
  <c r="X76" i="28"/>
  <c r="X75" i="28"/>
  <c r="X74" i="28"/>
  <c r="X73" i="28"/>
  <c r="X72" i="28"/>
  <c r="X71" i="28"/>
  <c r="X70" i="28"/>
  <c r="X69" i="28"/>
  <c r="X68" i="28"/>
  <c r="X67" i="28"/>
  <c r="X66" i="28"/>
  <c r="X65" i="28"/>
  <c r="X64" i="28"/>
  <c r="X63" i="28"/>
  <c r="X62" i="28"/>
  <c r="X61" i="28"/>
  <c r="X60" i="28"/>
  <c r="X59" i="28"/>
  <c r="X58" i="28"/>
  <c r="X57" i="28"/>
  <c r="X56" i="28"/>
  <c r="X55" i="28"/>
  <c r="X54" i="28"/>
  <c r="X53" i="28"/>
  <c r="X52" i="28"/>
  <c r="X51" i="28"/>
  <c r="X50" i="28"/>
  <c r="X49" i="28"/>
  <c r="X48" i="28"/>
  <c r="X47" i="28"/>
  <c r="X46" i="28"/>
  <c r="X45" i="28"/>
  <c r="X44" i="28"/>
  <c r="X43" i="28"/>
  <c r="X42" i="28"/>
  <c r="X41" i="28"/>
  <c r="X40" i="28"/>
  <c r="X39" i="28"/>
  <c r="X38" i="28"/>
  <c r="X37" i="28"/>
  <c r="X36" i="28"/>
  <c r="X35" i="28"/>
  <c r="X34" i="28"/>
  <c r="X33" i="28"/>
  <c r="X32" i="28"/>
  <c r="X31" i="28"/>
  <c r="X30" i="28"/>
  <c r="X29" i="28"/>
  <c r="X28" i="28"/>
  <c r="X27" i="28"/>
  <c r="X26" i="28"/>
  <c r="X25" i="28"/>
  <c r="X24" i="28"/>
  <c r="X23" i="28"/>
  <c r="X22" i="28"/>
  <c r="X21" i="28"/>
  <c r="X20" i="28"/>
  <c r="X19" i="28"/>
  <c r="X18" i="28"/>
  <c r="X17" i="28"/>
  <c r="X16" i="28"/>
  <c r="X15" i="28"/>
  <c r="X14" i="28"/>
  <c r="X13" i="28"/>
  <c r="X12" i="28"/>
  <c r="X11" i="28"/>
  <c r="X10" i="28"/>
  <c r="X9" i="28"/>
  <c r="X8" i="28"/>
  <c r="V135" i="28"/>
  <c r="V134" i="28"/>
  <c r="V133" i="28"/>
  <c r="V132" i="28"/>
  <c r="V131" i="28"/>
  <c r="V130" i="28"/>
  <c r="V129" i="28"/>
  <c r="V128" i="28"/>
  <c r="V127" i="28"/>
  <c r="V126" i="28"/>
  <c r="V125" i="28"/>
  <c r="V124" i="28"/>
  <c r="V123" i="28"/>
  <c r="V122" i="28"/>
  <c r="V121" i="28"/>
  <c r="V120" i="28"/>
  <c r="V119" i="28"/>
  <c r="V118" i="28"/>
  <c r="V117" i="28"/>
  <c r="V116" i="28"/>
  <c r="V115" i="28"/>
  <c r="V114" i="28"/>
  <c r="V113" i="28"/>
  <c r="V112" i="28"/>
  <c r="V111" i="28"/>
  <c r="V110" i="28"/>
  <c r="V109" i="28"/>
  <c r="V108" i="28"/>
  <c r="V107" i="28"/>
  <c r="V106" i="28"/>
  <c r="V105" i="28"/>
  <c r="V104" i="28"/>
  <c r="V103" i="28"/>
  <c r="V102" i="28"/>
  <c r="V101" i="28"/>
  <c r="V100" i="28"/>
  <c r="V99" i="28"/>
  <c r="V98" i="28"/>
  <c r="V97" i="28"/>
  <c r="V96" i="28"/>
  <c r="V95" i="28"/>
  <c r="V94" i="28"/>
  <c r="V93" i="28"/>
  <c r="V92" i="28"/>
  <c r="V91" i="28"/>
  <c r="V90" i="28"/>
  <c r="V89" i="28"/>
  <c r="V88" i="28"/>
  <c r="V87" i="28"/>
  <c r="V86" i="28"/>
  <c r="V85" i="28"/>
  <c r="V84" i="28"/>
  <c r="V83" i="28"/>
  <c r="V82" i="28"/>
  <c r="V81" i="28"/>
  <c r="V80" i="28"/>
  <c r="V79" i="28"/>
  <c r="V78" i="28"/>
  <c r="V77" i="28"/>
  <c r="V76" i="28"/>
  <c r="V75" i="28"/>
  <c r="V74" i="28"/>
  <c r="V73" i="28"/>
  <c r="V72" i="28"/>
  <c r="V71" i="28"/>
  <c r="V70" i="28"/>
  <c r="V69" i="28"/>
  <c r="V68" i="28"/>
  <c r="V67" i="28"/>
  <c r="V66" i="28"/>
  <c r="V65" i="28"/>
  <c r="V64" i="28"/>
  <c r="V63" i="28"/>
  <c r="V62" i="28"/>
  <c r="V61" i="28"/>
  <c r="V60" i="28"/>
  <c r="V59" i="28"/>
  <c r="V58" i="28"/>
  <c r="V57" i="28"/>
  <c r="V56" i="28"/>
  <c r="V55" i="28"/>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T135" i="28"/>
  <c r="T134" i="28"/>
  <c r="T133" i="28"/>
  <c r="T132" i="28"/>
  <c r="T131" i="28"/>
  <c r="T130" i="28"/>
  <c r="T129" i="28"/>
  <c r="T128" i="28"/>
  <c r="T127" i="28"/>
  <c r="T126" i="28"/>
  <c r="T125" i="28"/>
  <c r="T124" i="28"/>
  <c r="T123" i="28"/>
  <c r="T122" i="28"/>
  <c r="T121" i="28"/>
  <c r="T120" i="28"/>
  <c r="T119" i="28"/>
  <c r="T118" i="28"/>
  <c r="T117" i="28"/>
  <c r="T116" i="28"/>
  <c r="T115" i="28"/>
  <c r="T114" i="28"/>
  <c r="T113" i="28"/>
  <c r="T112" i="28"/>
  <c r="T111" i="28"/>
  <c r="T110" i="28"/>
  <c r="T109" i="28"/>
  <c r="T108" i="28"/>
  <c r="T107" i="28"/>
  <c r="T106" i="28"/>
  <c r="T105" i="28"/>
  <c r="T104" i="28"/>
  <c r="T103" i="28"/>
  <c r="T102" i="28"/>
  <c r="T101" i="28"/>
  <c r="T100" i="28"/>
  <c r="T99" i="28"/>
  <c r="T98" i="28"/>
  <c r="T97" i="28"/>
  <c r="T96" i="28"/>
  <c r="T95" i="28"/>
  <c r="T94" i="28"/>
  <c r="T93" i="28"/>
  <c r="T92" i="28"/>
  <c r="T91" i="28"/>
  <c r="T90" i="28"/>
  <c r="T89" i="28"/>
  <c r="T88" i="28"/>
  <c r="T87" i="28"/>
  <c r="T86" i="28"/>
  <c r="T85" i="28"/>
  <c r="T84" i="28"/>
  <c r="T83" i="28"/>
  <c r="T82" i="28"/>
  <c r="T81" i="28"/>
  <c r="T80" i="28"/>
  <c r="T79" i="28"/>
  <c r="T78" i="28"/>
  <c r="T77" i="28"/>
  <c r="T76" i="28"/>
  <c r="T75" i="28"/>
  <c r="T74" i="28"/>
  <c r="T73" i="28"/>
  <c r="T72" i="28"/>
  <c r="T71" i="28"/>
  <c r="T70" i="28"/>
  <c r="T69" i="28"/>
  <c r="T68" i="28"/>
  <c r="T67" i="28"/>
  <c r="T66" i="28"/>
  <c r="T65" i="28"/>
  <c r="T64" i="28"/>
  <c r="T63" i="28"/>
  <c r="T62" i="28"/>
  <c r="T61" i="28"/>
  <c r="T60" i="28"/>
  <c r="T59" i="28"/>
  <c r="T58" i="28"/>
  <c r="T57" i="28"/>
  <c r="T56" i="28"/>
  <c r="T55" i="28"/>
  <c r="T54" i="28"/>
  <c r="T53" i="28"/>
  <c r="T52" i="28"/>
  <c r="T51" i="28"/>
  <c r="T50" i="28"/>
  <c r="T49" i="28"/>
  <c r="T48" i="28"/>
  <c r="T47" i="28"/>
  <c r="T46" i="28"/>
  <c r="T45" i="28"/>
  <c r="T44" i="28"/>
  <c r="T43" i="28"/>
  <c r="T42" i="28"/>
  <c r="T41" i="28"/>
  <c r="T40" i="28"/>
  <c r="T39" i="28"/>
  <c r="T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T11" i="28"/>
  <c r="T10" i="28"/>
  <c r="T9" i="28"/>
  <c r="T8" i="28"/>
  <c r="R135" i="28"/>
  <c r="R134" i="28"/>
  <c r="R133" i="28"/>
  <c r="R132" i="28"/>
  <c r="R131" i="28"/>
  <c r="R130" i="28"/>
  <c r="R129" i="28"/>
  <c r="R128" i="28"/>
  <c r="R127" i="28"/>
  <c r="R126" i="28"/>
  <c r="R125" i="28"/>
  <c r="R124" i="28"/>
  <c r="R123" i="28"/>
  <c r="R122" i="28"/>
  <c r="R121" i="28"/>
  <c r="R120" i="28"/>
  <c r="R119" i="28"/>
  <c r="R118" i="28"/>
  <c r="R117" i="28"/>
  <c r="R116" i="28"/>
  <c r="R115" i="28"/>
  <c r="R114" i="28"/>
  <c r="R113" i="28"/>
  <c r="R112" i="28"/>
  <c r="R111" i="28"/>
  <c r="R110" i="28"/>
  <c r="R109" i="28"/>
  <c r="R108" i="28"/>
  <c r="R107" i="28"/>
  <c r="R106" i="28"/>
  <c r="R105" i="28"/>
  <c r="R104" i="28"/>
  <c r="R103" i="28"/>
  <c r="R102" i="28"/>
  <c r="R101" i="28"/>
  <c r="R100" i="28"/>
  <c r="R99" i="28"/>
  <c r="R98" i="28"/>
  <c r="R97" i="28"/>
  <c r="R96" i="28"/>
  <c r="R95" i="28"/>
  <c r="R94" i="28"/>
  <c r="R93" i="28"/>
  <c r="R92" i="28"/>
  <c r="R91" i="28"/>
  <c r="R90" i="28"/>
  <c r="R89" i="28"/>
  <c r="R88" i="28"/>
  <c r="R87" i="28"/>
  <c r="R86" i="28"/>
  <c r="R85" i="28"/>
  <c r="R84" i="28"/>
  <c r="R83" i="28"/>
  <c r="R82" i="28"/>
  <c r="R81" i="28"/>
  <c r="R80" i="28"/>
  <c r="R79" i="28"/>
  <c r="R78" i="28"/>
  <c r="R77" i="28"/>
  <c r="R76" i="28"/>
  <c r="R75" i="28"/>
  <c r="R74" i="28"/>
  <c r="R73" i="28"/>
  <c r="R72" i="28"/>
  <c r="R71" i="28"/>
  <c r="R70" i="28"/>
  <c r="R69" i="28"/>
  <c r="R68" i="28"/>
  <c r="R67" i="28"/>
  <c r="R66" i="28"/>
  <c r="R65" i="28"/>
  <c r="R64" i="28"/>
  <c r="R63" i="28"/>
  <c r="R62" i="28"/>
  <c r="R61" i="28"/>
  <c r="R60" i="28"/>
  <c r="R59" i="28"/>
  <c r="R58" i="28"/>
  <c r="R57" i="28"/>
  <c r="R56" i="28"/>
  <c r="R55" i="28"/>
  <c r="R54" i="28"/>
  <c r="R53" i="28"/>
  <c r="R52" i="28"/>
  <c r="R51" i="28"/>
  <c r="R50" i="28"/>
  <c r="R49" i="28"/>
  <c r="R48" i="28"/>
  <c r="R47" i="28"/>
  <c r="R46" i="28"/>
  <c r="R45" i="28"/>
  <c r="R44" i="28"/>
  <c r="R43" i="28"/>
  <c r="R42" i="28"/>
  <c r="R41" i="28"/>
  <c r="R40" i="28"/>
  <c r="R39" i="28"/>
  <c r="R38" i="28"/>
  <c r="R37" i="28"/>
  <c r="R36" i="28"/>
  <c r="R35" i="28"/>
  <c r="R34" i="28"/>
  <c r="R33" i="28"/>
  <c r="R32" i="28"/>
  <c r="R31" i="28"/>
  <c r="R30" i="28"/>
  <c r="R29" i="28"/>
  <c r="R28" i="28"/>
  <c r="R27" i="28"/>
  <c r="R26" i="28"/>
  <c r="R25" i="28"/>
  <c r="R24" i="28"/>
  <c r="R23" i="28"/>
  <c r="R22" i="28"/>
  <c r="R21" i="28"/>
  <c r="R20" i="28"/>
  <c r="R19" i="28"/>
  <c r="R18" i="28"/>
  <c r="R17" i="28"/>
  <c r="R16" i="28"/>
  <c r="R15" i="28"/>
  <c r="R14" i="28"/>
  <c r="R13" i="28"/>
  <c r="R12" i="28"/>
  <c r="R11" i="28"/>
  <c r="R10" i="28"/>
  <c r="R9" i="28"/>
  <c r="R8" i="28"/>
  <c r="P135" i="28"/>
  <c r="P134" i="28"/>
  <c r="P133" i="28"/>
  <c r="P132" i="28"/>
  <c r="P131" i="28"/>
  <c r="P130" i="28"/>
  <c r="P129" i="28"/>
  <c r="P128" i="28"/>
  <c r="P127" i="28"/>
  <c r="P126" i="28"/>
  <c r="P125" i="28"/>
  <c r="P124" i="28"/>
  <c r="P123" i="28"/>
  <c r="P122" i="28"/>
  <c r="P121" i="28"/>
  <c r="P120" i="28"/>
  <c r="P119" i="28"/>
  <c r="P118" i="28"/>
  <c r="P117" i="28"/>
  <c r="P116" i="28"/>
  <c r="P115" i="28"/>
  <c r="P114" i="28"/>
  <c r="P113" i="28"/>
  <c r="P112" i="28"/>
  <c r="P111" i="28"/>
  <c r="P110" i="28"/>
  <c r="P109" i="28"/>
  <c r="P108" i="28"/>
  <c r="P107" i="28"/>
  <c r="P106" i="28"/>
  <c r="P105" i="28"/>
  <c r="P104" i="28"/>
  <c r="P103" i="28"/>
  <c r="P102" i="28"/>
  <c r="P101" i="28"/>
  <c r="P100" i="28"/>
  <c r="P99" i="28"/>
  <c r="P98" i="28"/>
  <c r="P97" i="28"/>
  <c r="P96" i="28"/>
  <c r="P95" i="28"/>
  <c r="P94" i="28"/>
  <c r="P93" i="28"/>
  <c r="P92" i="28"/>
  <c r="P91" i="28"/>
  <c r="P90" i="28"/>
  <c r="P89" i="28"/>
  <c r="P88" i="28"/>
  <c r="P87" i="28"/>
  <c r="P86" i="28"/>
  <c r="P85" i="28"/>
  <c r="P84" i="28"/>
  <c r="P83" i="28"/>
  <c r="P82" i="28"/>
  <c r="P81" i="28"/>
  <c r="P80" i="28"/>
  <c r="P79" i="28"/>
  <c r="P78" i="28"/>
  <c r="P77" i="28"/>
  <c r="P76" i="28"/>
  <c r="P75" i="28"/>
  <c r="P74" i="28"/>
  <c r="P73" i="28"/>
  <c r="P72" i="28"/>
  <c r="P71" i="28"/>
  <c r="P70" i="28"/>
  <c r="P69" i="28"/>
  <c r="P68" i="28"/>
  <c r="P67" i="28"/>
  <c r="P66" i="28"/>
  <c r="P65" i="28"/>
  <c r="P64" i="28"/>
  <c r="P63" i="28"/>
  <c r="P62" i="28"/>
  <c r="P61" i="28"/>
  <c r="P60" i="28"/>
  <c r="P59" i="28"/>
  <c r="P58" i="28"/>
  <c r="P57" i="28"/>
  <c r="P56" i="28"/>
  <c r="P55" i="28"/>
  <c r="P54" i="28"/>
  <c r="P53" i="28"/>
  <c r="P52" i="28"/>
  <c r="P51" i="28"/>
  <c r="P50" i="28"/>
  <c r="P49" i="28"/>
  <c r="P48" i="28"/>
  <c r="P47" i="28"/>
  <c r="P46" i="28"/>
  <c r="P45" i="28"/>
  <c r="P44" i="28"/>
  <c r="P43" i="28"/>
  <c r="P42" i="28"/>
  <c r="P41" i="28"/>
  <c r="P40" i="28"/>
  <c r="P39" i="28"/>
  <c r="P38" i="28"/>
  <c r="P37" i="28"/>
  <c r="P36" i="28"/>
  <c r="P35" i="28"/>
  <c r="P34" i="28"/>
  <c r="P33" i="28"/>
  <c r="P32" i="28"/>
  <c r="P31" i="28"/>
  <c r="P30" i="28"/>
  <c r="P29" i="28"/>
  <c r="P28" i="28"/>
  <c r="P27" i="28"/>
  <c r="P26" i="28"/>
  <c r="P25" i="28"/>
  <c r="P24" i="28"/>
  <c r="P23" i="28"/>
  <c r="P22" i="28"/>
  <c r="P21" i="28"/>
  <c r="P20" i="28"/>
  <c r="P19" i="28"/>
  <c r="P18" i="28"/>
  <c r="P17" i="28"/>
  <c r="P16" i="28"/>
  <c r="P15" i="28"/>
  <c r="P14" i="28"/>
  <c r="P13" i="28"/>
  <c r="P12" i="28"/>
  <c r="P11" i="28"/>
  <c r="P10" i="28"/>
  <c r="P9" i="28"/>
  <c r="P8" i="28"/>
  <c r="N135" i="28"/>
  <c r="N134" i="28"/>
  <c r="N133" i="28"/>
  <c r="N132" i="28"/>
  <c r="N131" i="28"/>
  <c r="N130" i="28"/>
  <c r="N129" i="28"/>
  <c r="N128" i="28"/>
  <c r="N127" i="28"/>
  <c r="N126" i="28"/>
  <c r="N125" i="28"/>
  <c r="N124" i="28"/>
  <c r="N123" i="28"/>
  <c r="N122" i="28"/>
  <c r="N121" i="28"/>
  <c r="N120" i="28"/>
  <c r="N119" i="28"/>
  <c r="N118" i="28"/>
  <c r="N117" i="28"/>
  <c r="N116" i="28"/>
  <c r="N115" i="28"/>
  <c r="N114" i="28"/>
  <c r="N113" i="28"/>
  <c r="N112" i="28"/>
  <c r="N111" i="28"/>
  <c r="N110" i="28"/>
  <c r="N109" i="28"/>
  <c r="N108" i="28"/>
  <c r="N107" i="28"/>
  <c r="N106" i="28"/>
  <c r="N105" i="28"/>
  <c r="N104" i="28"/>
  <c r="N103" i="28"/>
  <c r="N102" i="28"/>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N18" i="28"/>
  <c r="N17" i="28"/>
  <c r="N16" i="28"/>
  <c r="N15" i="28"/>
  <c r="N14" i="28"/>
  <c r="N13" i="28"/>
  <c r="N12" i="28"/>
  <c r="N11" i="28"/>
  <c r="N10" i="28"/>
  <c r="N9" i="28"/>
  <c r="N8" i="28"/>
  <c r="L135" i="28"/>
  <c r="L134" i="28"/>
  <c r="L133" i="28"/>
  <c r="L132" i="28"/>
  <c r="L131" i="28"/>
  <c r="L130" i="28"/>
  <c r="L129" i="28"/>
  <c r="L128" i="28"/>
  <c r="L127" i="28"/>
  <c r="L126" i="28"/>
  <c r="L125" i="28"/>
  <c r="L124" i="28"/>
  <c r="L123" i="28"/>
  <c r="L122" i="28"/>
  <c r="L121" i="28"/>
  <c r="L120" i="28"/>
  <c r="L119" i="28"/>
  <c r="L118" i="28"/>
  <c r="L117" i="28"/>
  <c r="L116" i="28"/>
  <c r="L115" i="28"/>
  <c r="L114" i="28"/>
  <c r="L113" i="28"/>
  <c r="L112" i="28"/>
  <c r="L111" i="28"/>
  <c r="L110" i="28"/>
  <c r="L109" i="28"/>
  <c r="L108" i="28"/>
  <c r="L107" i="28"/>
  <c r="L106" i="28"/>
  <c r="L105" i="28"/>
  <c r="L104" i="28"/>
  <c r="L103" i="28"/>
  <c r="L102" i="28"/>
  <c r="L101" i="28"/>
  <c r="L100" i="28"/>
  <c r="L99" i="28"/>
  <c r="L98" i="28"/>
  <c r="L97" i="28"/>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J135" i="28"/>
  <c r="J134" i="28"/>
  <c r="J133" i="28"/>
  <c r="J132" i="28"/>
  <c r="J131" i="28"/>
  <c r="J130" i="28"/>
  <c r="J129" i="28"/>
  <c r="J128" i="28"/>
  <c r="J127" i="28"/>
  <c r="J126" i="28"/>
  <c r="J125" i="28"/>
  <c r="J124" i="28"/>
  <c r="J123" i="28"/>
  <c r="J122" i="28"/>
  <c r="J121" i="28"/>
  <c r="J120" i="28"/>
  <c r="J119" i="28"/>
  <c r="J118" i="28"/>
  <c r="J117" i="28"/>
  <c r="J116" i="28"/>
  <c r="J115" i="28"/>
  <c r="J114" i="28"/>
  <c r="J113" i="28"/>
  <c r="J112" i="28"/>
  <c r="J111" i="28"/>
  <c r="J110" i="28"/>
  <c r="J109" i="28"/>
  <c r="J108" i="28"/>
  <c r="J107" i="28"/>
  <c r="J106" i="28"/>
  <c r="J105" i="28"/>
  <c r="J104" i="28"/>
  <c r="J103" i="28"/>
  <c r="J102" i="28"/>
  <c r="J101" i="28"/>
  <c r="J100" i="28"/>
  <c r="J99" i="28"/>
  <c r="J98" i="28"/>
  <c r="J97" i="28"/>
  <c r="J96" i="28"/>
  <c r="J95" i="28"/>
  <c r="J94" i="28"/>
  <c r="J93" i="28"/>
  <c r="J92" i="28"/>
  <c r="J91" i="28"/>
  <c r="J90" i="28"/>
  <c r="J89" i="28"/>
  <c r="J88" i="28"/>
  <c r="J87" i="28"/>
  <c r="J86" i="28"/>
  <c r="J85" i="28"/>
  <c r="J84" i="28"/>
  <c r="J83" i="28"/>
  <c r="J82" i="28"/>
  <c r="J81" i="28"/>
  <c r="J80" i="28"/>
  <c r="J79" i="28"/>
  <c r="J78" i="28"/>
  <c r="J77" i="28"/>
  <c r="J76" i="28"/>
  <c r="J75" i="28"/>
  <c r="J74" i="28"/>
  <c r="J73" i="28"/>
  <c r="J72" i="28"/>
  <c r="J71" i="28"/>
  <c r="J70" i="28"/>
  <c r="J69" i="28"/>
  <c r="J68" i="28"/>
  <c r="J67" i="28"/>
  <c r="J66" i="28"/>
  <c r="J65" i="28"/>
  <c r="J64" i="28"/>
  <c r="J63" i="28"/>
  <c r="J62" i="28"/>
  <c r="J61" i="28"/>
  <c r="J60" i="28"/>
  <c r="J59" i="28"/>
  <c r="J58" i="28"/>
  <c r="J57" i="28"/>
  <c r="J56" i="28"/>
  <c r="J55" i="28"/>
  <c r="J54" i="28"/>
  <c r="J5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J10" i="28"/>
  <c r="J9" i="28"/>
  <c r="J8" i="28"/>
  <c r="H135" i="28"/>
  <c r="H134" i="28"/>
  <c r="H133" i="28"/>
  <c r="H132" i="28"/>
  <c r="H131" i="28"/>
  <c r="H130" i="28"/>
  <c r="H129" i="28"/>
  <c r="H128" i="28"/>
  <c r="H127" i="28"/>
  <c r="H126" i="28"/>
  <c r="H125" i="28"/>
  <c r="H124" i="28"/>
  <c r="H123" i="28"/>
  <c r="H122" i="28"/>
  <c r="H121" i="28"/>
  <c r="H120" i="28"/>
  <c r="H119" i="28"/>
  <c r="H118" i="28"/>
  <c r="H117" i="28"/>
  <c r="H116" i="28"/>
  <c r="H115" i="28"/>
  <c r="H114" i="28"/>
  <c r="H113" i="28"/>
  <c r="H112" i="28"/>
  <c r="H111" i="28"/>
  <c r="H110" i="28"/>
  <c r="H109" i="28"/>
  <c r="H108" i="28"/>
  <c r="H107" i="28"/>
  <c r="H106" i="28"/>
  <c r="H105" i="28"/>
  <c r="H104" i="28"/>
  <c r="H103" i="28"/>
  <c r="H102" i="28"/>
  <c r="H101" i="28"/>
  <c r="H100" i="28"/>
  <c r="H99" i="28"/>
  <c r="H98" i="28"/>
  <c r="H97" i="28"/>
  <c r="H96" i="28"/>
  <c r="H95" i="28"/>
  <c r="H94" i="28"/>
  <c r="H93" i="28"/>
  <c r="H9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H17" i="28"/>
  <c r="H16" i="28"/>
  <c r="H15" i="28"/>
  <c r="H14" i="28"/>
  <c r="H13" i="28"/>
  <c r="H12" i="28"/>
  <c r="H11" i="28"/>
  <c r="H10" i="28"/>
  <c r="H9" i="28"/>
  <c r="H8" i="28"/>
  <c r="Z138" i="28"/>
  <c r="Z137" i="28"/>
  <c r="Z136" i="28"/>
  <c r="X138" i="28"/>
  <c r="X137" i="28"/>
  <c r="X136" i="28"/>
  <c r="V138" i="28"/>
  <c r="V137" i="28"/>
  <c r="V136" i="28"/>
  <c r="T138" i="28"/>
  <c r="T137" i="28"/>
  <c r="T136" i="28"/>
  <c r="R138" i="28"/>
  <c r="R137" i="28"/>
  <c r="R136" i="28"/>
  <c r="P138" i="28"/>
  <c r="P137" i="28"/>
  <c r="P136" i="28"/>
  <c r="N138" i="28"/>
  <c r="N137" i="28"/>
  <c r="N136" i="28"/>
  <c r="L138" i="28"/>
  <c r="L137" i="28"/>
  <c r="L136" i="28"/>
  <c r="J138" i="28"/>
  <c r="J137" i="28"/>
  <c r="J136" i="28"/>
  <c r="H138" i="28"/>
  <c r="H137" i="28"/>
  <c r="H136" i="28"/>
  <c r="G4" i="28"/>
  <c r="E4" i="28"/>
  <c r="L11" i="18"/>
  <c r="G6" i="3"/>
  <c r="G7" i="18"/>
  <c r="H7" i="18" s="1"/>
  <c r="Q42" i="30"/>
  <c r="I36" i="30"/>
  <c r="I35" i="30"/>
  <c r="I30" i="30"/>
  <c r="I28" i="30"/>
  <c r="I19" i="30"/>
  <c r="I17" i="30"/>
  <c r="I13" i="30"/>
  <c r="I10" i="30"/>
  <c r="I7" i="30"/>
  <c r="I27" i="30"/>
  <c r="I26" i="30"/>
  <c r="I24" i="30"/>
  <c r="I23" i="30"/>
  <c r="I22" i="30"/>
  <c r="I16" i="30"/>
  <c r="I12" i="30"/>
  <c r="I9" i="30"/>
  <c r="I6" i="30"/>
  <c r="Q30" i="30"/>
  <c r="Q28" i="30"/>
  <c r="Q27" i="30"/>
  <c r="Q26" i="30"/>
  <c r="Q24" i="30"/>
  <c r="Q23" i="30"/>
  <c r="Q22" i="30"/>
  <c r="Q19" i="30"/>
  <c r="Q17" i="30"/>
  <c r="Q16" i="30"/>
  <c r="Q13" i="30"/>
  <c r="Q12" i="30"/>
  <c r="Q10" i="30"/>
  <c r="Q9" i="30"/>
  <c r="Q7" i="30"/>
  <c r="Q6" i="30"/>
  <c r="H30" i="30"/>
  <c r="H28" i="30"/>
  <c r="H27" i="30"/>
  <c r="H26" i="30"/>
  <c r="H24" i="30"/>
  <c r="H23" i="30"/>
  <c r="H22" i="30"/>
  <c r="H19" i="30"/>
  <c r="H17" i="30"/>
  <c r="H16" i="30"/>
  <c r="H13" i="30"/>
  <c r="H12" i="30"/>
  <c r="H10" i="30"/>
  <c r="H9" i="30"/>
  <c r="H7" i="30"/>
  <c r="H6" i="30"/>
  <c r="J1" i="30"/>
  <c r="K1" i="30" s="1"/>
  <c r="A1" i="30"/>
  <c r="B1" i="30" s="1"/>
  <c r="M166" i="29"/>
  <c r="G140" i="28" l="1"/>
  <c r="I140" i="28"/>
  <c r="O140" i="28"/>
  <c r="Q140" i="28"/>
  <c r="W140" i="28"/>
  <c r="Y140" i="28"/>
  <c r="I139" i="28"/>
  <c r="S139" i="28"/>
  <c r="M140" i="28"/>
  <c r="U140" i="28"/>
  <c r="K140" i="28"/>
  <c r="S140" i="28"/>
  <c r="G139" i="28"/>
  <c r="K139" i="28"/>
  <c r="M139" i="28"/>
  <c r="O139" i="28"/>
  <c r="Q139" i="28"/>
  <c r="U139" i="28"/>
  <c r="W139" i="28"/>
  <c r="Y139" i="28"/>
  <c r="H42" i="30"/>
  <c r="Q31" i="30"/>
  <c r="H31" i="30"/>
  <c r="A9" i="28" l="1"/>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M158" i="29"/>
  <c r="K158" i="29"/>
  <c r="M156" i="29"/>
  <c r="M155" i="29"/>
  <c r="M154" i="29"/>
  <c r="M153" i="29"/>
  <c r="M151" i="29"/>
  <c r="M150" i="29"/>
  <c r="M149" i="29"/>
  <c r="K149" i="29"/>
  <c r="M148" i="29"/>
  <c r="M147" i="29"/>
  <c r="M146" i="29"/>
  <c r="K146" i="29"/>
  <c r="K145" i="29"/>
  <c r="M145" i="29" s="1"/>
  <c r="M144" i="29"/>
  <c r="K143" i="29"/>
  <c r="M143" i="29" s="1"/>
  <c r="M142" i="29"/>
  <c r="M141" i="29"/>
  <c r="K141" i="29"/>
  <c r="K140" i="29"/>
  <c r="M140" i="29" s="1"/>
  <c r="M139" i="29"/>
  <c r="K139" i="29"/>
  <c r="M138" i="29"/>
  <c r="M137" i="29"/>
  <c r="M136" i="29"/>
  <c r="K135" i="29"/>
  <c r="M135" i="29" s="1"/>
  <c r="K134" i="29"/>
  <c r="M134" i="29" s="1"/>
  <c r="K132" i="29"/>
  <c r="M132" i="29" s="1"/>
  <c r="K131" i="29"/>
  <c r="M131" i="29" s="1"/>
  <c r="M128" i="29"/>
  <c r="M126" i="29"/>
  <c r="M125" i="29"/>
  <c r="M124" i="29"/>
  <c r="M123" i="29"/>
  <c r="M122" i="29"/>
  <c r="M121" i="29"/>
  <c r="M120" i="29"/>
  <c r="M119" i="29"/>
  <c r="M118" i="29"/>
  <c r="M117" i="29"/>
  <c r="M116" i="29"/>
  <c r="M115" i="29"/>
  <c r="M114" i="29"/>
  <c r="M113" i="29"/>
  <c r="M112" i="29"/>
  <c r="M111" i="29"/>
  <c r="M110" i="29"/>
  <c r="M109" i="29"/>
  <c r="M108" i="29"/>
  <c r="M107" i="29"/>
  <c r="M106" i="29"/>
  <c r="M104" i="29"/>
  <c r="M103" i="29"/>
  <c r="M100" i="29"/>
  <c r="M99" i="29"/>
  <c r="M98" i="29"/>
  <c r="M97" i="29"/>
  <c r="M96" i="29"/>
  <c r="M95" i="29"/>
  <c r="M94" i="29"/>
  <c r="M93" i="29"/>
  <c r="M92" i="29"/>
  <c r="M91" i="29"/>
  <c r="M90" i="29"/>
  <c r="M89" i="29"/>
  <c r="M88" i="29"/>
  <c r="M85" i="29"/>
  <c r="M84" i="29"/>
  <c r="M83" i="29"/>
  <c r="M82" i="29"/>
  <c r="M81" i="29"/>
  <c r="M80" i="29"/>
  <c r="M79" i="29"/>
  <c r="K78" i="29"/>
  <c r="M78" i="29" s="1"/>
  <c r="M77" i="29"/>
  <c r="M76" i="29"/>
  <c r="M75" i="29"/>
  <c r="M74" i="29"/>
  <c r="M73" i="29"/>
  <c r="M72" i="29"/>
  <c r="M71" i="29"/>
  <c r="K70" i="29"/>
  <c r="M70" i="29" s="1"/>
  <c r="M69" i="29"/>
  <c r="K69" i="29"/>
  <c r="K68" i="29"/>
  <c r="M68" i="29" s="1"/>
  <c r="M67" i="29"/>
  <c r="K67" i="29"/>
  <c r="M66" i="29"/>
  <c r="K65" i="29"/>
  <c r="M65" i="29" s="1"/>
  <c r="M64" i="29"/>
  <c r="M63" i="29"/>
  <c r="M62" i="29"/>
  <c r="M61" i="29"/>
  <c r="M60" i="29"/>
  <c r="M59" i="29"/>
  <c r="M58" i="29"/>
  <c r="M57" i="29"/>
  <c r="M56" i="29"/>
  <c r="M54" i="29"/>
  <c r="M53" i="29"/>
  <c r="M52" i="29"/>
  <c r="M51" i="29"/>
  <c r="M50" i="29"/>
  <c r="M49" i="29"/>
  <c r="M48" i="29"/>
  <c r="M47" i="29"/>
  <c r="M46" i="29"/>
  <c r="M45" i="29"/>
  <c r="M44" i="29"/>
  <c r="M43" i="29"/>
  <c r="M42" i="29"/>
  <c r="K41" i="29"/>
  <c r="M41" i="29" s="1"/>
  <c r="M40" i="29"/>
  <c r="M39" i="29"/>
  <c r="K38" i="29"/>
  <c r="M38" i="29" s="1"/>
  <c r="M37" i="29"/>
  <c r="M36" i="29"/>
  <c r="M35" i="29"/>
  <c r="M34" i="29"/>
  <c r="M33" i="29"/>
  <c r="M32" i="29"/>
  <c r="M31" i="29"/>
  <c r="M28" i="29"/>
  <c r="M26" i="29"/>
  <c r="M25" i="29"/>
  <c r="M23" i="29"/>
  <c r="M22" i="29"/>
  <c r="K21" i="29"/>
  <c r="M21" i="29" s="1"/>
  <c r="K19" i="29"/>
  <c r="M19" i="29" s="1"/>
  <c r="M18" i="29"/>
  <c r="M16" i="29"/>
  <c r="M14" i="29"/>
  <c r="M13" i="29"/>
  <c r="M12" i="29"/>
  <c r="F158" i="29"/>
  <c r="D158" i="29"/>
  <c r="F156" i="29"/>
  <c r="F155" i="29"/>
  <c r="F154" i="29"/>
  <c r="F153" i="29"/>
  <c r="F151" i="29"/>
  <c r="F150" i="29"/>
  <c r="F149" i="29"/>
  <c r="D149" i="29"/>
  <c r="F148" i="29"/>
  <c r="F147" i="29"/>
  <c r="F146" i="29"/>
  <c r="D146" i="29"/>
  <c r="D145" i="29"/>
  <c r="F145" i="29" s="1"/>
  <c r="F144" i="29"/>
  <c r="D143" i="29"/>
  <c r="F143" i="29" s="1"/>
  <c r="F142" i="29"/>
  <c r="F141" i="29"/>
  <c r="D141" i="29"/>
  <c r="D140" i="29"/>
  <c r="F140" i="29" s="1"/>
  <c r="F139" i="29"/>
  <c r="D139" i="29"/>
  <c r="F138" i="29"/>
  <c r="F137" i="29"/>
  <c r="F136" i="29"/>
  <c r="D135" i="29"/>
  <c r="F135" i="29" s="1"/>
  <c r="D134" i="29"/>
  <c r="F134" i="29" s="1"/>
  <c r="D132" i="29"/>
  <c r="F132" i="29" s="1"/>
  <c r="D131" i="29"/>
  <c r="F131" i="29" s="1"/>
  <c r="F128" i="29"/>
  <c r="F126" i="29"/>
  <c r="F125" i="29"/>
  <c r="F124" i="29"/>
  <c r="F123" i="29"/>
  <c r="F122" i="29"/>
  <c r="F121" i="29"/>
  <c r="F120" i="29"/>
  <c r="F119" i="29"/>
  <c r="F118" i="29"/>
  <c r="F117" i="29"/>
  <c r="F116" i="29"/>
  <c r="F115" i="29"/>
  <c r="F114" i="29"/>
  <c r="F113" i="29"/>
  <c r="F112" i="29"/>
  <c r="F111" i="29"/>
  <c r="F110" i="29"/>
  <c r="F109" i="29"/>
  <c r="F108" i="29"/>
  <c r="F107" i="29"/>
  <c r="F106" i="29"/>
  <c r="F104" i="29"/>
  <c r="F103" i="29"/>
  <c r="F100" i="29"/>
  <c r="F99" i="29"/>
  <c r="F98" i="29"/>
  <c r="F97" i="29"/>
  <c r="F96" i="29"/>
  <c r="F95" i="29"/>
  <c r="F94" i="29"/>
  <c r="F93" i="29"/>
  <c r="F92" i="29"/>
  <c r="F91" i="29"/>
  <c r="F90" i="29"/>
  <c r="F89" i="29"/>
  <c r="F88" i="29"/>
  <c r="F85" i="29"/>
  <c r="F84" i="29"/>
  <c r="F83" i="29"/>
  <c r="F82" i="29"/>
  <c r="F81" i="29"/>
  <c r="F80" i="29"/>
  <c r="F79" i="29"/>
  <c r="D78" i="29"/>
  <c r="F78" i="29" s="1"/>
  <c r="F77" i="29"/>
  <c r="F76" i="29"/>
  <c r="F75" i="29"/>
  <c r="F74" i="29"/>
  <c r="F73" i="29"/>
  <c r="F72" i="29"/>
  <c r="F71" i="29"/>
  <c r="D70" i="29"/>
  <c r="F70" i="29" s="1"/>
  <c r="F69" i="29"/>
  <c r="D69" i="29"/>
  <c r="D68" i="29"/>
  <c r="F68" i="29" s="1"/>
  <c r="F67" i="29"/>
  <c r="D67" i="29"/>
  <c r="F66" i="29"/>
  <c r="D65" i="29"/>
  <c r="F65" i="29" s="1"/>
  <c r="F64" i="29"/>
  <c r="F63" i="29"/>
  <c r="F62" i="29"/>
  <c r="F61" i="29"/>
  <c r="F60" i="29"/>
  <c r="F59" i="29"/>
  <c r="F58" i="29"/>
  <c r="F57" i="29"/>
  <c r="F56" i="29"/>
  <c r="F54" i="29"/>
  <c r="F53" i="29"/>
  <c r="F52" i="29"/>
  <c r="F51" i="29"/>
  <c r="F50" i="29"/>
  <c r="F49" i="29"/>
  <c r="F48" i="29"/>
  <c r="F47" i="29"/>
  <c r="F46" i="29"/>
  <c r="F45" i="29"/>
  <c r="F44" i="29"/>
  <c r="F43" i="29"/>
  <c r="F42" i="29"/>
  <c r="D41" i="29"/>
  <c r="F41" i="29" s="1"/>
  <c r="F40" i="29"/>
  <c r="F39" i="29"/>
  <c r="D38" i="29"/>
  <c r="F38" i="29" s="1"/>
  <c r="F37" i="29"/>
  <c r="F36" i="29"/>
  <c r="F35" i="29"/>
  <c r="F34" i="29"/>
  <c r="F33" i="29"/>
  <c r="F32" i="29"/>
  <c r="F31" i="29"/>
  <c r="F28" i="29"/>
  <c r="F26" i="29"/>
  <c r="F25" i="29"/>
  <c r="F23" i="29"/>
  <c r="F22" i="29"/>
  <c r="D21" i="29"/>
  <c r="F21" i="29" s="1"/>
  <c r="D19" i="29"/>
  <c r="F19" i="29" s="1"/>
  <c r="F18" i="29"/>
  <c r="F16" i="29"/>
  <c r="F14" i="29"/>
  <c r="F13" i="29"/>
  <c r="F159" i="29" s="1"/>
  <c r="F12" i="29"/>
  <c r="H1" i="29"/>
  <c r="I1" i="29" s="1"/>
  <c r="A1" i="29"/>
  <c r="B1" i="29" s="1"/>
  <c r="M159" i="29" l="1"/>
  <c r="L162" i="29" l="1"/>
  <c r="L161" i="29"/>
  <c r="E162" i="29"/>
  <c r="E161" i="29"/>
  <c r="B7" i="28"/>
  <c r="G15" i="18" l="1"/>
  <c r="I15" i="18" s="1"/>
  <c r="F15" i="18"/>
  <c r="H15" i="18" s="1"/>
  <c r="A4" i="28"/>
  <c r="M161" i="29" l="1"/>
  <c r="Q33" i="30" l="1"/>
  <c r="M162" i="29"/>
  <c r="M163" i="29" s="1"/>
  <c r="Q36" i="30" l="1"/>
  <c r="O34" i="30"/>
  <c r="Q35" i="30"/>
  <c r="Q34" i="30" l="1"/>
  <c r="L160" i="29"/>
  <c r="Q41" i="30" l="1"/>
  <c r="L164" i="29"/>
  <c r="G14" i="18" s="1"/>
  <c r="M160" i="29"/>
  <c r="M164" i="29" s="1"/>
  <c r="F14" i="18" s="1"/>
  <c r="B13" i="18" l="1"/>
  <c r="B14" i="18"/>
  <c r="B15" i="18"/>
  <c r="A8" i="28" l="1"/>
  <c r="F166" i="29" l="1"/>
  <c r="H33" i="30" l="1"/>
  <c r="H36" i="30" l="1"/>
  <c r="F34" i="30"/>
  <c r="E160" i="29" s="1"/>
  <c r="H35" i="30"/>
  <c r="F161" i="29"/>
  <c r="F162" i="29"/>
  <c r="F163" i="29" s="1"/>
  <c r="F160" i="29" l="1"/>
  <c r="F164" i="29" s="1"/>
  <c r="F13" i="18" s="1"/>
  <c r="E164" i="29"/>
  <c r="G13" i="18" s="1"/>
  <c r="H34" i="30"/>
  <c r="F39" i="30"/>
  <c r="B5" i="10"/>
  <c r="B6" i="10"/>
  <c r="B4" i="10"/>
  <c r="B7" i="1"/>
  <c r="B8" i="1"/>
  <c r="B6" i="1"/>
  <c r="G25" i="3"/>
  <c r="G26" i="3" s="1"/>
  <c r="H25" i="3" s="1"/>
  <c r="L6" i="1" l="1"/>
  <c r="K6" i="1"/>
  <c r="I6" i="1"/>
  <c r="J6" i="1" s="1"/>
  <c r="M6" i="1"/>
  <c r="N6" i="1" s="1"/>
  <c r="M8" i="1"/>
  <c r="I8" i="1"/>
  <c r="K8" i="1"/>
  <c r="E8" i="1"/>
  <c r="J8" i="1"/>
  <c r="N8" i="1"/>
  <c r="L8" i="1"/>
  <c r="F8" i="1"/>
  <c r="L7" i="1"/>
  <c r="I7" i="1"/>
  <c r="J7" i="1" s="1"/>
  <c r="K7" i="1"/>
  <c r="M7" i="1" s="1"/>
  <c r="N7" i="1" s="1"/>
  <c r="E7" i="1"/>
  <c r="F7" i="1" s="1"/>
  <c r="H41" i="30"/>
  <c r="E6" i="1"/>
  <c r="F6" i="1" s="1"/>
  <c r="D8" i="22"/>
  <c r="D9" i="22"/>
  <c r="D7" i="22"/>
  <c r="Y7" i="28" l="1"/>
  <c r="W7" i="28"/>
  <c r="U7" i="28"/>
  <c r="S7" i="28"/>
  <c r="Q7" i="28"/>
  <c r="O7" i="28"/>
  <c r="M7" i="28"/>
  <c r="K7" i="28"/>
  <c r="I7" i="28"/>
  <c r="G7" i="28"/>
  <c r="E7" i="28"/>
  <c r="C7" i="28"/>
  <c r="E10" i="28" l="1"/>
  <c r="E13" i="28"/>
  <c r="E16" i="28"/>
  <c r="E20" i="28"/>
  <c r="E24" i="28"/>
  <c r="E28" i="28"/>
  <c r="E32" i="28"/>
  <c r="E36" i="28"/>
  <c r="E40" i="28"/>
  <c r="E47" i="28"/>
  <c r="E51" i="28"/>
  <c r="E55" i="28"/>
  <c r="E59" i="28"/>
  <c r="E63" i="28"/>
  <c r="E67" i="28"/>
  <c r="E71" i="28"/>
  <c r="E77" i="28"/>
  <c r="E81" i="28"/>
  <c r="E85" i="28"/>
  <c r="E87" i="28"/>
  <c r="E90" i="28"/>
  <c r="E94" i="28"/>
  <c r="E98" i="28"/>
  <c r="E102" i="28"/>
  <c r="E106" i="28"/>
  <c r="E111" i="28"/>
  <c r="E114" i="28"/>
  <c r="E118" i="28"/>
  <c r="E122" i="28"/>
  <c r="E126" i="28"/>
  <c r="E130" i="28"/>
  <c r="E133" i="28"/>
  <c r="E9" i="28"/>
  <c r="E17" i="28"/>
  <c r="E25" i="28"/>
  <c r="E30" i="28"/>
  <c r="E35" i="28"/>
  <c r="E41" i="28"/>
  <c r="E45" i="28"/>
  <c r="E50" i="28"/>
  <c r="E56" i="28"/>
  <c r="E61" i="28"/>
  <c r="E66" i="28"/>
  <c r="E72" i="28"/>
  <c r="E75" i="28"/>
  <c r="E80" i="28"/>
  <c r="E86" i="28"/>
  <c r="E93" i="28"/>
  <c r="E99" i="28"/>
  <c r="E104" i="28"/>
  <c r="E109" i="28"/>
  <c r="E112" i="28"/>
  <c r="E116" i="28"/>
  <c r="E121" i="28"/>
  <c r="E127" i="28"/>
  <c r="E131" i="28"/>
  <c r="E135" i="28"/>
  <c r="E23" i="28"/>
  <c r="E39" i="28"/>
  <c r="E54" i="28"/>
  <c r="E70" i="28"/>
  <c r="E84" i="28"/>
  <c r="E97" i="28"/>
  <c r="E125" i="28"/>
  <c r="E11" i="28"/>
  <c r="E14" i="28"/>
  <c r="E18" i="28"/>
  <c r="E21" i="28"/>
  <c r="E26" i="28"/>
  <c r="E31" i="28"/>
  <c r="E37" i="28"/>
  <c r="E42" i="28"/>
  <c r="E46" i="28"/>
  <c r="E52" i="28"/>
  <c r="E57" i="28"/>
  <c r="E62" i="28"/>
  <c r="E68" i="28"/>
  <c r="E73" i="28"/>
  <c r="E76" i="28"/>
  <c r="E82" i="28"/>
  <c r="E89" i="28"/>
  <c r="E95" i="28"/>
  <c r="E100" i="28"/>
  <c r="E105" i="28"/>
  <c r="E110" i="28"/>
  <c r="E117" i="28"/>
  <c r="E123" i="28"/>
  <c r="E128" i="28"/>
  <c r="E132" i="28"/>
  <c r="E29" i="28"/>
  <c r="E44" i="28"/>
  <c r="E60" i="28"/>
  <c r="E74" i="28"/>
  <c r="E92" i="28"/>
  <c r="E108" i="28"/>
  <c r="E120" i="28"/>
  <c r="E15" i="28"/>
  <c r="E19" i="28"/>
  <c r="E22" i="28"/>
  <c r="E27" i="28"/>
  <c r="E33" i="28"/>
  <c r="E38" i="28"/>
  <c r="E43" i="28"/>
  <c r="E48" i="28"/>
  <c r="E53" i="28"/>
  <c r="E58" i="28"/>
  <c r="E64" i="28"/>
  <c r="E69" i="28"/>
  <c r="E78" i="28"/>
  <c r="E83" i="28"/>
  <c r="E91" i="28"/>
  <c r="E96" i="28"/>
  <c r="E101" i="28"/>
  <c r="E107" i="28"/>
  <c r="E113" i="28"/>
  <c r="E119" i="28"/>
  <c r="E124" i="28"/>
  <c r="E129" i="28"/>
  <c r="E134" i="28"/>
  <c r="E12" i="28"/>
  <c r="E34" i="28"/>
  <c r="E49" i="28"/>
  <c r="E65" i="28"/>
  <c r="E79" i="28"/>
  <c r="E88" i="28"/>
  <c r="E103" i="28"/>
  <c r="E115" i="28"/>
  <c r="C9" i="28"/>
  <c r="C14" i="28"/>
  <c r="C17" i="28"/>
  <c r="C22" i="28"/>
  <c r="C26" i="28"/>
  <c r="C30" i="28"/>
  <c r="C34" i="28"/>
  <c r="C38" i="28"/>
  <c r="C42" i="28"/>
  <c r="C45" i="28"/>
  <c r="C49" i="28"/>
  <c r="C53" i="28"/>
  <c r="C57" i="28"/>
  <c r="C61" i="28"/>
  <c r="C65" i="28"/>
  <c r="C69" i="28"/>
  <c r="C73" i="28"/>
  <c r="C75" i="28"/>
  <c r="C79" i="28"/>
  <c r="C83" i="28"/>
  <c r="C92" i="28"/>
  <c r="C96" i="28"/>
  <c r="C100" i="28"/>
  <c r="C104" i="28"/>
  <c r="C108" i="28"/>
  <c r="C116" i="28"/>
  <c r="C120" i="28"/>
  <c r="C124" i="28"/>
  <c r="C128" i="28"/>
  <c r="C131" i="28"/>
  <c r="C10" i="28"/>
  <c r="C12" i="28"/>
  <c r="C15" i="28"/>
  <c r="C18" i="28"/>
  <c r="C23" i="28"/>
  <c r="C27" i="28"/>
  <c r="C31" i="28"/>
  <c r="C35" i="28"/>
  <c r="C39" i="28"/>
  <c r="C43" i="28"/>
  <c r="C46" i="28"/>
  <c r="C50" i="28"/>
  <c r="C54" i="28"/>
  <c r="C58" i="28"/>
  <c r="C62" i="28"/>
  <c r="C66" i="28"/>
  <c r="C70" i="28"/>
  <c r="C76" i="28"/>
  <c r="C80" i="28"/>
  <c r="C84" i="28"/>
  <c r="C89" i="28"/>
  <c r="C93" i="28"/>
  <c r="C97" i="28"/>
  <c r="C101" i="28"/>
  <c r="C105" i="28"/>
  <c r="C109" i="28"/>
  <c r="C113" i="28"/>
  <c r="C117" i="28"/>
  <c r="C121" i="28"/>
  <c r="C125" i="28"/>
  <c r="C129" i="28"/>
  <c r="C132" i="28"/>
  <c r="C135" i="28"/>
  <c r="C13" i="28"/>
  <c r="C16" i="28"/>
  <c r="C20" i="28"/>
  <c r="C24" i="28"/>
  <c r="C28" i="28"/>
  <c r="C32" i="28"/>
  <c r="C36" i="28"/>
  <c r="C40" i="28"/>
  <c r="C47" i="28"/>
  <c r="C51" i="28"/>
  <c r="C55" i="28"/>
  <c r="C59" i="28"/>
  <c r="C63" i="28"/>
  <c r="C67" i="28"/>
  <c r="C71" i="28"/>
  <c r="C77" i="28"/>
  <c r="C81" i="28"/>
  <c r="C85" i="28"/>
  <c r="C87" i="28"/>
  <c r="C90" i="28"/>
  <c r="C94" i="28"/>
  <c r="C98" i="28"/>
  <c r="C102" i="28"/>
  <c r="C106" i="28"/>
  <c r="C111" i="28"/>
  <c r="C114" i="28"/>
  <c r="C118" i="28"/>
  <c r="C122" i="28"/>
  <c r="C126" i="28"/>
  <c r="C130" i="28"/>
  <c r="C133" i="28"/>
  <c r="C11" i="28"/>
  <c r="C19" i="28"/>
  <c r="C21" i="28"/>
  <c r="C25" i="28"/>
  <c r="C29" i="28"/>
  <c r="C33" i="28"/>
  <c r="C37" i="28"/>
  <c r="C41" i="28"/>
  <c r="C44" i="28"/>
  <c r="C48" i="28"/>
  <c r="C52" i="28"/>
  <c r="C56" i="28"/>
  <c r="C60" i="28"/>
  <c r="C64" i="28"/>
  <c r="C68" i="28"/>
  <c r="C72" i="28"/>
  <c r="C74" i="28"/>
  <c r="C78" i="28"/>
  <c r="C82" i="28"/>
  <c r="C86" i="28"/>
  <c r="C88" i="28"/>
  <c r="C91" i="28"/>
  <c r="C95" i="28"/>
  <c r="C99" i="28"/>
  <c r="C103" i="28"/>
  <c r="C107" i="28"/>
  <c r="C110" i="28"/>
  <c r="C112" i="28"/>
  <c r="C115" i="28"/>
  <c r="C119" i="28"/>
  <c r="C134" i="28"/>
  <c r="C123" i="28"/>
  <c r="C127" i="28"/>
  <c r="E8" i="28"/>
  <c r="C8" i="28"/>
  <c r="E138" i="28"/>
  <c r="E136" i="28"/>
  <c r="E137" i="28"/>
  <c r="C138" i="28"/>
  <c r="C137" i="28"/>
  <c r="C136" i="28"/>
  <c r="B112" i="28" l="1"/>
  <c r="F112" i="28" s="1"/>
  <c r="B86" i="28"/>
  <c r="F86" i="28" s="1"/>
  <c r="B56" i="28"/>
  <c r="F56" i="28" s="1"/>
  <c r="B126" i="28"/>
  <c r="F126" i="28" s="1"/>
  <c r="B98" i="28"/>
  <c r="F98" i="28" s="1"/>
  <c r="B71" i="28"/>
  <c r="F71" i="28" s="1"/>
  <c r="B55" i="28"/>
  <c r="F55" i="28" s="1"/>
  <c r="B129" i="28"/>
  <c r="F129" i="28" s="1"/>
  <c r="B101" i="28"/>
  <c r="F101" i="28" s="1"/>
  <c r="B104" i="28"/>
  <c r="F104" i="28" s="1"/>
  <c r="B75" i="28"/>
  <c r="F75" i="28" s="1"/>
  <c r="B110" i="28"/>
  <c r="F110" i="28" s="1"/>
  <c r="B82" i="28"/>
  <c r="F82" i="28" s="1"/>
  <c r="B81" i="28"/>
  <c r="F81" i="28" s="1"/>
  <c r="B125" i="28"/>
  <c r="F125" i="28" s="1"/>
  <c r="B97" i="28"/>
  <c r="F97" i="28" s="1"/>
  <c r="B70" i="28"/>
  <c r="F70" i="28" s="1"/>
  <c r="B107" i="28"/>
  <c r="F107" i="28" s="1"/>
  <c r="B91" i="28"/>
  <c r="F91" i="28" s="1"/>
  <c r="B118" i="28"/>
  <c r="F118" i="28" s="1"/>
  <c r="B90" i="28"/>
  <c r="F90" i="28" s="1"/>
  <c r="B63" i="28"/>
  <c r="F63" i="28" s="1"/>
  <c r="B121" i="28"/>
  <c r="F121" i="28" s="1"/>
  <c r="B93" i="28"/>
  <c r="F93" i="28" s="1"/>
  <c r="B124" i="28"/>
  <c r="F124" i="28" s="1"/>
  <c r="B96" i="28"/>
  <c r="F96" i="28" s="1"/>
  <c r="B69" i="28"/>
  <c r="F69" i="28" s="1"/>
  <c r="B53" i="28"/>
  <c r="F53" i="28" s="1"/>
  <c r="B123" i="28"/>
  <c r="F123" i="28" s="1"/>
  <c r="B99" i="28"/>
  <c r="F99" i="28" s="1"/>
  <c r="B72" i="28"/>
  <c r="F72" i="28" s="1"/>
  <c r="B111" i="28"/>
  <c r="F111" i="28" s="1"/>
  <c r="B85" i="28"/>
  <c r="F85" i="28" s="1"/>
  <c r="B113" i="28"/>
  <c r="F113" i="28" s="1"/>
  <c r="B58" i="28"/>
  <c r="F58" i="28" s="1"/>
  <c r="B131" i="28"/>
  <c r="F131" i="28" s="1"/>
  <c r="B116" i="28"/>
  <c r="F116" i="28" s="1"/>
  <c r="B61" i="28"/>
  <c r="F61" i="28" s="1"/>
  <c r="B134" i="28"/>
  <c r="F134" i="28" s="1"/>
  <c r="B95" i="28"/>
  <c r="F95" i="28" s="1"/>
  <c r="B68" i="28"/>
  <c r="F68" i="28" s="1"/>
  <c r="B52" i="28"/>
  <c r="F52" i="28" s="1"/>
  <c r="B122" i="28"/>
  <c r="F122" i="28" s="1"/>
  <c r="B94" i="28"/>
  <c r="F94" i="28" s="1"/>
  <c r="B67" i="28"/>
  <c r="F67" i="28" s="1"/>
  <c r="B84" i="28"/>
  <c r="F84" i="28" s="1"/>
  <c r="B54" i="28"/>
  <c r="F54" i="28" s="1"/>
  <c r="B128" i="28"/>
  <c r="F128" i="28" s="1"/>
  <c r="B100" i="28"/>
  <c r="F100" i="28" s="1"/>
  <c r="B73" i="28"/>
  <c r="F73" i="28" s="1"/>
  <c r="B57" i="28"/>
  <c r="F57" i="28" s="1"/>
  <c r="B119" i="28"/>
  <c r="F119" i="28" s="1"/>
  <c r="B78" i="28"/>
  <c r="F78" i="28" s="1"/>
  <c r="B64" i="28"/>
  <c r="F64" i="28" s="1"/>
  <c r="B133" i="28"/>
  <c r="F133" i="28" s="1"/>
  <c r="B106" i="28"/>
  <c r="F106" i="28" s="1"/>
  <c r="B77" i="28"/>
  <c r="F77" i="28" s="1"/>
  <c r="B109" i="28"/>
  <c r="F109" i="28" s="1"/>
  <c r="B80" i="28"/>
  <c r="F80" i="28" s="1"/>
  <c r="B66" i="28"/>
  <c r="F66" i="28" s="1"/>
  <c r="B83" i="28"/>
  <c r="F83" i="28" s="1"/>
  <c r="B127" i="28"/>
  <c r="F127" i="28" s="1"/>
  <c r="B115" i="28"/>
  <c r="F115" i="28" s="1"/>
  <c r="B103" i="28"/>
  <c r="F103" i="28" s="1"/>
  <c r="B88" i="28"/>
  <c r="F88" i="28" s="1"/>
  <c r="B74" i="28"/>
  <c r="F74" i="28" s="1"/>
  <c r="B60" i="28"/>
  <c r="F60" i="28" s="1"/>
  <c r="B130" i="28"/>
  <c r="F130" i="28" s="1"/>
  <c r="B114" i="28"/>
  <c r="F114" i="28" s="1"/>
  <c r="B102" i="28"/>
  <c r="F102" i="28" s="1"/>
  <c r="B87" i="28"/>
  <c r="F87" i="28" s="1"/>
  <c r="B59" i="28"/>
  <c r="F59" i="28" s="1"/>
  <c r="B132" i="28"/>
  <c r="F132" i="28" s="1"/>
  <c r="B117" i="28"/>
  <c r="F117" i="28" s="1"/>
  <c r="B105" i="28"/>
  <c r="F105" i="28" s="1"/>
  <c r="B89" i="28"/>
  <c r="F89" i="28" s="1"/>
  <c r="B76" i="28"/>
  <c r="F76" i="28" s="1"/>
  <c r="B62" i="28"/>
  <c r="F62" i="28" s="1"/>
  <c r="B120" i="28"/>
  <c r="F120" i="28" s="1"/>
  <c r="B108" i="28"/>
  <c r="F108" i="28" s="1"/>
  <c r="B92" i="28"/>
  <c r="F92" i="28" s="1"/>
  <c r="B79" i="28"/>
  <c r="F79" i="28" s="1"/>
  <c r="B65" i="28"/>
  <c r="F65" i="28" s="1"/>
  <c r="B135" i="28"/>
  <c r="F135" i="28" s="1"/>
  <c r="B44" i="28"/>
  <c r="F44" i="28" s="1"/>
  <c r="B38" i="28"/>
  <c r="F38" i="28" s="1"/>
  <c r="B31" i="28"/>
  <c r="F31" i="28" s="1"/>
  <c r="B27" i="28"/>
  <c r="F27" i="28" s="1"/>
  <c r="B14" i="28"/>
  <c r="F14" i="28" s="1"/>
  <c r="B48" i="28"/>
  <c r="F48" i="28" s="1"/>
  <c r="B42" i="28"/>
  <c r="F42" i="28" s="1"/>
  <c r="B32" i="28"/>
  <c r="F32" i="28" s="1"/>
  <c r="B43" i="28"/>
  <c r="F43" i="28" s="1"/>
  <c r="B36" i="28"/>
  <c r="F36" i="28" s="1"/>
  <c r="B20" i="28"/>
  <c r="F20" i="28" s="1"/>
  <c r="B25" i="28"/>
  <c r="F25" i="28" s="1"/>
  <c r="B30" i="28"/>
  <c r="F30" i="28" s="1"/>
  <c r="B24" i="28"/>
  <c r="F24" i="28" s="1"/>
  <c r="B10" i="28"/>
  <c r="F10" i="28" s="1"/>
  <c r="B12" i="28"/>
  <c r="F12" i="28" s="1"/>
  <c r="B50" i="28"/>
  <c r="F50" i="28" s="1"/>
  <c r="B46" i="28"/>
  <c r="F46" i="28" s="1"/>
  <c r="B49" i="28"/>
  <c r="F49" i="28" s="1"/>
  <c r="B22" i="28"/>
  <c r="F22" i="28" s="1"/>
  <c r="B13" i="28"/>
  <c r="F13" i="28" s="1"/>
  <c r="B16" i="28"/>
  <c r="F16" i="28" s="1"/>
  <c r="B8" i="28"/>
  <c r="F8" i="28" s="1"/>
  <c r="B39" i="28"/>
  <c r="F39" i="28" s="1"/>
  <c r="B47" i="28"/>
  <c r="F47" i="28" s="1"/>
  <c r="B41" i="28"/>
  <c r="F41" i="28" s="1"/>
  <c r="B34" i="28"/>
  <c r="F34" i="28" s="1"/>
  <c r="B35" i="28"/>
  <c r="F35" i="28" s="1"/>
  <c r="B21" i="28"/>
  <c r="F21" i="28" s="1"/>
  <c r="B29" i="28"/>
  <c r="F29" i="28" s="1"/>
  <c r="B19" i="28"/>
  <c r="F19" i="28" s="1"/>
  <c r="B11" i="28"/>
  <c r="F11" i="28" s="1"/>
  <c r="B23" i="28"/>
  <c r="F23" i="28" s="1"/>
  <c r="B37" i="28"/>
  <c r="F37" i="28" s="1"/>
  <c r="B45" i="28"/>
  <c r="F45" i="28" s="1"/>
  <c r="B51" i="28"/>
  <c r="F51" i="28" s="1"/>
  <c r="B40" i="28"/>
  <c r="F40" i="28" s="1"/>
  <c r="B26" i="28"/>
  <c r="F26" i="28" s="1"/>
  <c r="B33" i="28"/>
  <c r="F33" i="28" s="1"/>
  <c r="B17" i="28"/>
  <c r="F17" i="28" s="1"/>
  <c r="B28" i="28"/>
  <c r="F28" i="28" s="1"/>
  <c r="B15" i="28"/>
  <c r="F15" i="28" s="1"/>
  <c r="B18" i="28"/>
  <c r="F18" i="28" s="1"/>
  <c r="B9" i="28"/>
  <c r="F9" i="28" s="1"/>
  <c r="B138" i="28"/>
  <c r="F138" i="28" s="1"/>
  <c r="B137" i="28"/>
  <c r="F137" i="28" s="1"/>
  <c r="B136" i="28"/>
  <c r="F136" i="28" s="1"/>
  <c r="D87" i="28" l="1"/>
  <c r="D105" i="28"/>
  <c r="D137" i="28"/>
  <c r="D60" i="28"/>
  <c r="D91" i="28"/>
  <c r="D27" i="28"/>
  <c r="D66" i="28"/>
  <c r="D49" i="28"/>
  <c r="D42" i="28"/>
  <c r="D61" i="28"/>
  <c r="D84" i="28"/>
  <c r="D133" i="28"/>
  <c r="D104" i="28"/>
  <c r="D73" i="28"/>
  <c r="D120" i="28"/>
  <c r="D121" i="28"/>
  <c r="D103" i="28"/>
  <c r="D58" i="28"/>
  <c r="D62" i="28"/>
  <c r="D75" i="28"/>
  <c r="D20" i="28"/>
  <c r="D72" i="28"/>
  <c r="D109" i="28"/>
  <c r="D97" i="28"/>
  <c r="D39" i="28"/>
  <c r="D106" i="28"/>
  <c r="D115" i="28"/>
  <c r="D81" i="28"/>
  <c r="D80" i="28"/>
  <c r="D131" i="28"/>
  <c r="D71" i="28"/>
  <c r="D86" i="28"/>
  <c r="D94" i="28"/>
  <c r="D34" i="28"/>
  <c r="D54" i="28"/>
  <c r="D122" i="28"/>
  <c r="D38" i="28"/>
  <c r="D48" i="28"/>
  <c r="D51" i="28"/>
  <c r="E139" i="28"/>
  <c r="D30" i="28"/>
  <c r="D96" i="28"/>
  <c r="D35" i="28"/>
  <c r="D101" i="28"/>
  <c r="D36" i="28"/>
  <c r="D102" i="28"/>
  <c r="D41" i="28"/>
  <c r="D99" i="28"/>
  <c r="D22" i="28"/>
  <c r="D43" i="28"/>
  <c r="D28" i="28"/>
  <c r="D33" i="28"/>
  <c r="D9" i="28"/>
  <c r="D15" i="28"/>
  <c r="D32" i="28"/>
  <c r="D21" i="28"/>
  <c r="D8" i="28"/>
  <c r="D65" i="28"/>
  <c r="D10" i="28"/>
  <c r="D70" i="28"/>
  <c r="D135" i="28"/>
  <c r="D77" i="28"/>
  <c r="D11" i="28"/>
  <c r="D74" i="28"/>
  <c r="D127" i="28"/>
  <c r="D83" i="28"/>
  <c r="D93" i="28"/>
  <c r="D111" i="28"/>
  <c r="D107" i="28"/>
  <c r="D128" i="28"/>
  <c r="D113" i="28"/>
  <c r="D130" i="28"/>
  <c r="D134" i="28"/>
  <c r="D132" i="28"/>
  <c r="D123" i="28"/>
  <c r="D98" i="28"/>
  <c r="D82" i="28"/>
  <c r="D100" i="28"/>
  <c r="D40" i="28"/>
  <c r="D44" i="28"/>
  <c r="D47" i="28"/>
  <c r="D68" i="28"/>
  <c r="D14" i="28"/>
  <c r="D18" i="28"/>
  <c r="D25" i="28"/>
  <c r="D12" i="28"/>
  <c r="D13" i="28"/>
  <c r="D126" i="28"/>
  <c r="D119" i="28"/>
  <c r="D108" i="28"/>
  <c r="D129" i="28"/>
  <c r="D114" i="28"/>
  <c r="D110" i="28"/>
  <c r="D59" i="28"/>
  <c r="D53" i="28"/>
  <c r="D78" i="28"/>
  <c r="D92" i="28"/>
  <c r="D85" i="28"/>
  <c r="D95" i="28"/>
  <c r="E140" i="28"/>
  <c r="D45" i="28"/>
  <c r="D116" i="28"/>
  <c r="D50" i="28"/>
  <c r="D117" i="28"/>
  <c r="D55" i="28"/>
  <c r="D118" i="28"/>
  <c r="D56" i="28"/>
  <c r="D112" i="28"/>
  <c r="D69" i="28"/>
  <c r="D76" i="28"/>
  <c r="D63" i="28"/>
  <c r="D64" i="28"/>
  <c r="D57" i="28"/>
  <c r="D46" i="28"/>
  <c r="D67" i="28"/>
  <c r="D52" i="28"/>
  <c r="D17" i="28"/>
  <c r="D79" i="28"/>
  <c r="D23" i="28"/>
  <c r="D89" i="28"/>
  <c r="D24" i="28"/>
  <c r="D90" i="28"/>
  <c r="D29" i="28"/>
  <c r="D88" i="28"/>
  <c r="D136" i="28"/>
  <c r="D124" i="28"/>
  <c r="D125" i="28"/>
  <c r="D19" i="28"/>
  <c r="D26" i="28"/>
  <c r="D31" i="28"/>
  <c r="D16" i="28"/>
  <c r="D37" i="28"/>
  <c r="D138" i="28"/>
  <c r="E6" i="28"/>
  <c r="G6" i="28"/>
  <c r="I6" i="28"/>
  <c r="K6" i="28"/>
  <c r="M6" i="28"/>
  <c r="O6" i="28"/>
  <c r="Q6" i="28"/>
  <c r="S6" i="28"/>
  <c r="U6" i="28"/>
  <c r="W6" i="28"/>
  <c r="Y6" i="28"/>
  <c r="C6" i="28"/>
  <c r="C140" i="28" l="1"/>
  <c r="C139" i="28"/>
  <c r="O6" i="18" l="1"/>
  <c r="D3" i="21" l="1"/>
  <c r="C3" i="21"/>
  <c r="A3" i="18" l="1"/>
  <c r="A1" i="18"/>
  <c r="A2" i="18"/>
  <c r="J15" i="18" l="1"/>
  <c r="J13" i="18" l="1"/>
  <c r="A9" i="22"/>
  <c r="A8" i="22"/>
  <c r="A7" i="22"/>
  <c r="B2" i="22" l="1"/>
  <c r="B3" i="22"/>
  <c r="D2" i="21" l="1"/>
  <c r="C2" i="21"/>
  <c r="G15" i="3" l="1"/>
  <c r="G16" i="3" l="1"/>
  <c r="H15" i="3" s="1"/>
  <c r="A20" i="3" l="1"/>
  <c r="A10" i="3"/>
  <c r="O7" i="18" l="1"/>
  <c r="J7" i="18" s="1"/>
  <c r="H14" i="18" l="1"/>
  <c r="H13" i="18"/>
  <c r="K7" i="18"/>
  <c r="K13" i="18"/>
  <c r="J14" i="18"/>
  <c r="I14" i="18" l="1"/>
  <c r="I13" i="18"/>
  <c r="K14" i="18"/>
  <c r="K15" i="18"/>
  <c r="L15" i="18" l="1"/>
  <c r="L14" i="18" l="1"/>
  <c r="L13" i="18" l="1"/>
</calcChain>
</file>

<file path=xl/comments1.xml><?xml version="1.0" encoding="utf-8"?>
<comments xmlns="http://schemas.openxmlformats.org/spreadsheetml/2006/main">
  <authors>
    <author>ssttoo3</author>
  </authors>
  <commentList>
    <comment ref="C8" authorId="0" shapeId="0">
      <text>
        <r>
          <rPr>
            <b/>
            <sz val="9"/>
            <color indexed="81"/>
            <rFont val="Tahoma"/>
            <family val="2"/>
          </rPr>
          <t>Fecha en la que se presupuesto.</t>
        </r>
      </text>
    </comment>
    <comment ref="J8" authorId="0" shapeId="0">
      <text>
        <r>
          <rPr>
            <b/>
            <sz val="9"/>
            <color indexed="81"/>
            <rFont val="Tahoma"/>
            <family val="2"/>
          </rPr>
          <t>Fecha en la que se presupuesto.</t>
        </r>
      </text>
    </comment>
  </commentList>
</comments>
</file>

<file path=xl/comments2.xml><?xml version="1.0" encoding="utf-8"?>
<comments xmlns="http://schemas.openxmlformats.org/spreadsheetml/2006/main">
  <authors>
    <author>ssttoo3</author>
  </authors>
  <commentList>
    <comment ref="H33" authorId="0" shapeId="0">
      <text>
        <r>
          <rPr>
            <sz val="9"/>
            <color indexed="81"/>
            <rFont val="Swis721 LtCn BT"/>
            <family val="2"/>
          </rPr>
          <t>Ingresar valor total de los costos directos.</t>
        </r>
        <r>
          <rPr>
            <sz val="9"/>
            <color indexed="81"/>
            <rFont val="Tahoma"/>
            <family val="2"/>
          </rPr>
          <t xml:space="preserve">
</t>
        </r>
      </text>
    </comment>
    <comment ref="Q33" authorId="0" shapeId="0">
      <text>
        <r>
          <rPr>
            <sz val="9"/>
            <color indexed="81"/>
            <rFont val="Swis721 LtCn BT"/>
            <family val="2"/>
          </rPr>
          <t>Ingresar valor total de los costos directos.</t>
        </r>
        <r>
          <rPr>
            <sz val="9"/>
            <color indexed="81"/>
            <rFont val="Tahoma"/>
            <family val="2"/>
          </rPr>
          <t xml:space="preserve">
</t>
        </r>
      </text>
    </comment>
  </commentList>
</comments>
</file>

<file path=xl/sharedStrings.xml><?xml version="1.0" encoding="utf-8"?>
<sst xmlns="http://schemas.openxmlformats.org/spreadsheetml/2006/main" count="1298" uniqueCount="533">
  <si>
    <t>EN PESOS</t>
  </si>
  <si>
    <t>EN SMMLV</t>
  </si>
  <si>
    <t>TOTAL</t>
  </si>
  <si>
    <t>OFERENTE</t>
  </si>
  <si>
    <t>1</t>
  </si>
  <si>
    <t>2</t>
  </si>
  <si>
    <t>3</t>
  </si>
  <si>
    <t>UNIVERSIDAD DE ANTIOQUIA</t>
  </si>
  <si>
    <t>ACTIVO CORRIENTE</t>
  </si>
  <si>
    <t>PASIVO CORRIENTE</t>
  </si>
  <si>
    <t>INDICADOR 1</t>
  </si>
  <si>
    <t>INDICADOR 2</t>
  </si>
  <si>
    <t>PASIVO TOTAL</t>
  </si>
  <si>
    <t>ACTIVO TOTAL</t>
  </si>
  <si>
    <t>LIQUIDEZ</t>
  </si>
  <si>
    <t>INDICADOR 3</t>
  </si>
  <si>
    <t>PROPONENTE</t>
  </si>
  <si>
    <t>Numeral</t>
  </si>
  <si>
    <t>OBSERVACIONES</t>
  </si>
  <si>
    <t xml:space="preserve">No tener antecedentes disciplinarios en la Procuraduría General de la Nación. </t>
  </si>
  <si>
    <t xml:space="preserve">No tener antecedentes judiciales en la Policía Nacional de Colombia. </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</si>
  <si>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</si>
  <si>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</si>
  <si>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</si>
  <si>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</si>
  <si>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</si>
  <si>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</si>
  <si>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</si>
  <si>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</si>
  <si>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</si>
  <si>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</si>
  <si>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</si>
  <si>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</si>
  <si>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</si>
  <si>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</si>
  <si>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</si>
  <si>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</si>
  <si>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VALOR TOTAL</t>
  </si>
  <si>
    <t>NOMBRE OFERENTE</t>
  </si>
  <si>
    <t>PROPONENTES</t>
  </si>
  <si>
    <t>REQUISITOS COMERCIALES</t>
  </si>
  <si>
    <t>3.1.1 Requisitos personas naturales</t>
  </si>
  <si>
    <t>No estar reportada al Boletín de Responsables Fiscales de la Contraloría General de la República.</t>
  </si>
  <si>
    <t>3.1.2. Requisitos personas jurídicas</t>
  </si>
  <si>
    <t>PRESUPUESTO OFICIAL</t>
  </si>
  <si>
    <t>EXPERIENCIA GENERAL</t>
  </si>
  <si>
    <t>OBSERVACIONES CON RESPECTO A PROPUESTA ECONÓMICA</t>
  </si>
  <si>
    <t>N°</t>
  </si>
  <si>
    <t>RADICADO</t>
  </si>
  <si>
    <t>HORA DE RECIBIDO</t>
  </si>
  <si>
    <t>NIT/CC</t>
  </si>
  <si>
    <t>REPRESENTANTE LEGAL</t>
  </si>
  <si>
    <t>NUMERO DE FOLIOS DE LA PROPUESTA</t>
  </si>
  <si>
    <t>COSTO TOTAL CON IVA</t>
  </si>
  <si>
    <t>Compañía aseguradora</t>
  </si>
  <si>
    <t>Número de póliza</t>
  </si>
  <si>
    <t>Valor asegurado</t>
  </si>
  <si>
    <t>3.4.1 Ser en PESOS COLOMBIANOS.</t>
  </si>
  <si>
    <t>ENDEUDAMIENTO</t>
  </si>
  <si>
    <t>Vigencia desde- hasta</t>
  </si>
  <si>
    <t>NIT O CÉDULA</t>
  </si>
  <si>
    <t>REQUISITOS JURÍDICOS DE PARTICIPACIÓN  (personas jurídicas y naturales) numeral 3.1</t>
  </si>
  <si>
    <t>Precio Unitario</t>
  </si>
  <si>
    <t>Valor Total</t>
  </si>
  <si>
    <t>3.1</t>
  </si>
  <si>
    <t>4.1</t>
  </si>
  <si>
    <t>4.2</t>
  </si>
  <si>
    <t>un</t>
  </si>
  <si>
    <t>TOTAL COSTO DIRECTO</t>
  </si>
  <si>
    <t xml:space="preserve">ADMINISTRACIÓN </t>
  </si>
  <si>
    <t>IMPREVISTOS</t>
  </si>
  <si>
    <t xml:space="preserve">UTILIDAD </t>
  </si>
  <si>
    <t>1.0</t>
  </si>
  <si>
    <t>PERSONAL PROFESIONAL Y ADMINISTRATIVOS.</t>
  </si>
  <si>
    <t>1.1.1</t>
  </si>
  <si>
    <t>2.0</t>
  </si>
  <si>
    <t>2.1.1</t>
  </si>
  <si>
    <t>3.0</t>
  </si>
  <si>
    <t>INSTALACIONES PROVISIONALES, SEÑALIZACIÓN Y SISOMA</t>
  </si>
  <si>
    <t>Profesionales SISOMA</t>
  </si>
  <si>
    <t>3.1.1</t>
  </si>
  <si>
    <t>4.0</t>
  </si>
  <si>
    <t xml:space="preserve">POLIZAS </t>
  </si>
  <si>
    <t>PORCENTAJE ADMINISTRACIÒN. [A]</t>
  </si>
  <si>
    <t>IMPREVISTOS. [I]</t>
  </si>
  <si>
    <t>UTILIDAD. [U]</t>
  </si>
  <si>
    <t>PORCENTAJE TOTAL A.I.U</t>
  </si>
  <si>
    <t>EVALUACIÓN EXPERIENCIA - INDICADORES FINANCIEROS</t>
  </si>
  <si>
    <t>APERTURA DE SOBRES</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</si>
  <si>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</si>
  <si>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</si>
  <si>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</si>
  <si>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</si>
  <si>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GASTOS FIJOS OFICINA</t>
  </si>
  <si>
    <t>Auxiliar contable</t>
  </si>
  <si>
    <t>Secretaría</t>
  </si>
  <si>
    <t>Mensajero</t>
  </si>
  <si>
    <t>Valor de la prima</t>
  </si>
  <si>
    <t>ITEM</t>
  </si>
  <si>
    <t>DESCRIPCCIÓN</t>
  </si>
  <si>
    <t>VALOR/MES/BASE</t>
  </si>
  <si>
    <t>FACTOR PRESTACIONAL</t>
  </si>
  <si>
    <t>%DEDICACIÒN MENSUAL</t>
  </si>
  <si>
    <t xml:space="preserve">DURACION (meses) </t>
  </si>
  <si>
    <t>CANTIDAD</t>
  </si>
  <si>
    <t>Unidad</t>
  </si>
  <si>
    <t>Cantidad</t>
  </si>
  <si>
    <t xml:space="preserve">OBJETO: </t>
  </si>
  <si>
    <t>______________________________________</t>
  </si>
  <si>
    <t>Garantía de seriedad de la oferta</t>
  </si>
  <si>
    <t xml:space="preserve">Número de póliza </t>
  </si>
  <si>
    <t>No estar reportada al Boletín de Responsables Fiscales de la Contraloría General de la República. 
(http://www.contraloriagen.gov.co/web/guest/certificado-antecedentes-fiscales).</t>
  </si>
  <si>
    <t>PUNTAJE TOTAL</t>
  </si>
  <si>
    <r>
      <t>PUNTAJE (Pt</t>
    </r>
    <r>
      <rPr>
        <b/>
        <vertAlign val="subscript"/>
        <sz val="12"/>
        <rFont val="Calibri"/>
        <family val="2"/>
        <scheme val="minor"/>
      </rPr>
      <t>2</t>
    </r>
    <r>
      <rPr>
        <b/>
        <sz val="12"/>
        <rFont val="Calibri"/>
        <family val="2"/>
        <scheme val="minor"/>
      </rPr>
      <t>)</t>
    </r>
  </si>
  <si>
    <r>
      <t>PUNTAJE (Pt</t>
    </r>
    <r>
      <rPr>
        <b/>
        <vertAlign val="subscript"/>
        <sz val="12"/>
        <rFont val="Calibri"/>
        <family val="2"/>
        <scheme val="minor"/>
      </rPr>
      <t>3</t>
    </r>
    <r>
      <rPr>
        <b/>
        <sz val="12"/>
        <rFont val="Calibri"/>
        <family val="2"/>
        <scheme val="minor"/>
      </rPr>
      <t>)</t>
    </r>
  </si>
  <si>
    <r>
      <t>PUNTAJE (Pt</t>
    </r>
    <r>
      <rPr>
        <b/>
        <vertAlign val="subscript"/>
        <sz val="12"/>
        <rFont val="Calibri"/>
        <family val="2"/>
        <scheme val="minor"/>
      </rPr>
      <t>4</t>
    </r>
    <r>
      <rPr>
        <b/>
        <sz val="12"/>
        <rFont val="Calibri"/>
        <family val="2"/>
        <scheme val="minor"/>
      </rPr>
      <t>)</t>
    </r>
  </si>
  <si>
    <t>% AIU</t>
  </si>
  <si>
    <t>Número total de ítems</t>
  </si>
  <si>
    <t>A</t>
  </si>
  <si>
    <t>I</t>
  </si>
  <si>
    <t>U</t>
  </si>
  <si>
    <t>CALCULO DE Pt3 y Pt4</t>
  </si>
  <si>
    <t>Pt3</t>
  </si>
  <si>
    <t>Pt4</t>
  </si>
  <si>
    <t>Proponente</t>
  </si>
  <si>
    <t>*H=Habilitado  NH=No habilitado</t>
  </si>
  <si>
    <t>ESTADO*</t>
  </si>
  <si>
    <r>
      <rPr>
        <b/>
        <sz val="10"/>
        <rFont val="Arial"/>
        <family val="2"/>
      </rPr>
      <t>OBSERVACIÓN:</t>
    </r>
    <r>
      <rPr>
        <sz val="10"/>
        <rFont val="Arial"/>
        <family val="2"/>
      </rPr>
      <t xml:space="preserve">
</t>
    </r>
  </si>
  <si>
    <t>Tener capacidad jurídica para contratar. Por tanto, debe: (i) Ser mayor de edad; y (ii) no tener inhabilidades, incompatibilidades ni conflictos de interés para contratar, según el artículo 4° del Acuerdo Superior 419 de 2014. Anexo 2A</t>
  </si>
  <si>
    <t xml:space="preserve">Ser Ingeniero Mecánico, o Electricistas o Electromecánico con matrícula profesional vigente, que haya sido expedida mínimo TRES (3) años antes del cierre de la presente INVITACIÓN, acompañado del certificado de vigencia de la misma.
En caso que el representante legal no sea Ingeniero Mecánico, o Electricista, o Electromecánico, deberá presentar la propuesta abonada por un profesional de alguna de las anteriores disciplinas, con matrícula profesional, que haya sido expedida mínimo TRES (3) años antes del cierre de la presente invitación pública, acompañado del certificado de vigencia de la misma.
</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</si>
  <si>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como cotizante y con los aportes Parafiscales (Caja de Compensación Familiar, Sena, ICBF)</t>
  </si>
  <si>
    <t>Ser una persona jurídica con: (i) capacidad jurídica para celebrar contratos; (ii) creada por lo menos TRES (3) años antes de la fecha de cierre de la INVITACIÓN; (iii) con una vigencia mínima igual al término de duración de las garantías exigidas y un año más y (iv) estar inscrita en la Cámara de Comercio de su domicilio.</t>
  </si>
  <si>
    <t>Tener como objeto social principal, o conexo, venta, servicios de construcción y/o mantenimiento de HVAC calefacción y enfriamiento y aire acondicionado.</t>
  </si>
  <si>
    <t>No tener, el representante legal ni los miembros de su órgano de dirección y manejo (sea Junta Directiva, Junta de Socios, entre otras), inhabilidades, incompatibilidades ni conflictos de interés para contratar con LA UNIVERSIDAD, según la Constitución y la Ley; y el Acuerdo Superior 395 de 2011.</t>
  </si>
  <si>
    <t>No tener ninguna de estas situaciones: Cesación de pagos o, cualquier otra circunstancia que justificadamente permita a LA UNIVERSIDAD presumir incapacidad o imposibilidad jurídica, económica o técnica para cumplir el objeto del contrato.</t>
  </si>
  <si>
    <t>Haber cumplido con los aportes al Sistema de Seguridad Social Integral y Parafiscales , en los seis (6) meses anteriores a la presentación de la Propuesta Comercial y encontrarse a paz y salvo con el sistema. Si tiene acuerdos de pago deberá certificarlo.</t>
  </si>
  <si>
    <t>Estar inscrita, calificada y clasificada en el Registro Único de PROPONENTES –RUP- de la Cámara de Comercio de su domicilio antes de la fecha de cierre o entrega de propuestas de esta invitación, en cualquiera de las categorías de la UNSPSC.
F 72 15 12
F 72 10 15
D 40 10 17</t>
  </si>
  <si>
    <t xml:space="preserve">Ser, el representante legal, Ingeniero Mecánico, o Electricista, o Electromecánico con matrícula profesional vigente, que haya sido expedida mínimo TRES (3) años antes de la cierre de la presente INVITACIÓN, acompañado del certificado de vigencia de la misma. 
En caso que el representante legal no sea Ingeniero Mecánico, o Electricista, o Electromecánico, deberá presentar la propuesta abonada por un profesional de alguna de las anteriores disciplinas, con matrícula profesional, que haya sido expedida mínimo TRES (3) años antes del cierre de la presente invitación pública, acompañado del certificado de vigencia de la misma.
</t>
  </si>
  <si>
    <t xml:space="preserve"> </t>
  </si>
  <si>
    <t>IVA  SOBRE UTILIDAD</t>
  </si>
  <si>
    <t>m2</t>
  </si>
  <si>
    <t>m3</t>
  </si>
  <si>
    <t>ANALISIS DETALLADO ADMINISTRACION</t>
  </si>
  <si>
    <t>SUBTOTAL GASTOS ADMINISTRATIVOS</t>
  </si>
  <si>
    <t>VALOR TOTAL COSTOS DIRECTOS DE LA OBRA</t>
  </si>
  <si>
    <t>(A)</t>
  </si>
  <si>
    <t>(I)</t>
  </si>
  <si>
    <t>(U)</t>
  </si>
  <si>
    <t>SUBTOTAL AIU</t>
  </si>
  <si>
    <t>CLASIFICACIÓN DEL OBJETO DEL CONTRATO (8)</t>
  </si>
  <si>
    <t>m</t>
  </si>
  <si>
    <t>DESCAPOTE A MANO. Incluye el desenraice si es necesario, cargue transporte y botada de material sobrante en botaderos oficiales. Medido en sitio.</t>
  </si>
  <si>
    <t>LLENOS EN MATERIAL PROVENIENTES DE LA EXCAVACIÓN, compactados mecánicamente hasta obtener una densidad del 95% de la máxima obtenida en el ensayo del próctor modificado. Incluye transporte interno. Su medida será en sitio ya compactado.</t>
  </si>
  <si>
    <t>CONCRETOS</t>
  </si>
  <si>
    <t>1.1</t>
  </si>
  <si>
    <t>Profesionales de Obra Civil</t>
  </si>
  <si>
    <t>1.2</t>
  </si>
  <si>
    <t>Profesionales de Obras de Instalaciones Electricas</t>
  </si>
  <si>
    <t>1.2.1</t>
  </si>
  <si>
    <t>2.1</t>
  </si>
  <si>
    <t>2.1.2</t>
  </si>
  <si>
    <t>Gastos oficina principal</t>
  </si>
  <si>
    <t>4.1.1</t>
  </si>
  <si>
    <t>4.1.2</t>
  </si>
  <si>
    <t>4.1.4</t>
  </si>
  <si>
    <t>Gastos oficina en obra</t>
  </si>
  <si>
    <t>4.2.2</t>
  </si>
  <si>
    <t>4.2.3</t>
  </si>
  <si>
    <t xml:space="preserve">Papeleria, fotocopias, </t>
  </si>
  <si>
    <t>4.2.4</t>
  </si>
  <si>
    <t>Computadores  y sofware</t>
  </si>
  <si>
    <t>4.2.5</t>
  </si>
  <si>
    <t>4.2.6</t>
  </si>
  <si>
    <t>Elaboración de planos necesarios para el recibo de la obra, en planchas de 1 m * 0,7 m (Planos record)</t>
  </si>
  <si>
    <t>LOGO DEL PROPONENTE</t>
  </si>
  <si>
    <t>Invitación Pública N° VA-210-2018</t>
  </si>
  <si>
    <t>OBJETO: "Ejecución de obras eléctricas, civiles e hidrosanitarias requeridas para el cambio de alimentadores eléctricos primarios en media tensión de las subestaciones eléctricas de los bloques 5 y 8"</t>
  </si>
  <si>
    <t>EVALUACIÓN ECONÓMICA - DEFINICIÓN DE MÉTODO DE EVALUACIÓN</t>
  </si>
  <si>
    <t>logo proponente</t>
  </si>
  <si>
    <t>SEDE TULENAPA - CAREPA</t>
  </si>
  <si>
    <t>ADECUACIONES CIVILES, ELECTRICAS Y AIRE ACONDICIONADO DEL EDIFICIO SEDE DE ESTUDIOS ECOLÓGICOS Y AGROAMBIENTALES - CAREPA. SECCIONAL URABA</t>
  </si>
  <si>
    <t>Descripcion de la Actividad</t>
  </si>
  <si>
    <t>OBRA CIVIL</t>
  </si>
  <si>
    <t xml:space="preserve">PRELIMINARES  </t>
  </si>
  <si>
    <t>Construccion pases para tuberia electrica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t>
  </si>
  <si>
    <t>1.1.2</t>
  </si>
  <si>
    <t>DEMOLICIÓN PISO EN CONCRETO de cualquier resistencia con espesor hasta de 20 cm, manual o mecánicamente. Incluye cargue, transporte y botada de escombros,  retiro de refuerzo e instalaciones embebidas, compresor neumático con martillo, además recuperación de los materiales aprovechables y su transporte hasta el sitio que lo indique la interventoría.</t>
  </si>
  <si>
    <t>1.1.3</t>
  </si>
  <si>
    <t>EXCAVACIONES</t>
  </si>
  <si>
    <t>Excavación de 0-2m (ANCHO 0.5 m X PROFUNDIDAD Variable) en material heterogéneo bajo cualquier grado de humedad y profundidad, medido en sitio. Incluye acarreo interno, cargue, transporte y botada de material sobrante.</t>
  </si>
  <si>
    <t>1.3</t>
  </si>
  <si>
    <t>LLENOS</t>
  </si>
  <si>
    <t>1.3.1</t>
  </si>
  <si>
    <t>1.3.2</t>
  </si>
  <si>
    <t>Suministro, transporte y colocación de base granular de máximo Ø 1½",  compactado al 95% mínimo del ensayo del proctor modificado, según normas para la construcción de pavimentos del INVIAS, y todo lo necesario para su correcta construcción y funcionamiento. Su medida será tomada en sitio ya compactado.</t>
  </si>
  <si>
    <t>1.4</t>
  </si>
  <si>
    <t>1.4.1</t>
  </si>
  <si>
    <t>Construcción de LOSADE PLATAFORM PARA CONDENSADORAS en concreto de 21 MPa. con un ESPESOR DE 0.12m. Adicionado con FIBRA Nikon e impermeabilizante integral tipo Plastocrete Dm o equivalente calidad. Incluye suministro, transporte y colocación del concreto, formaleta, malla electrosoldada D-221,  vibrado, protección, curado y todos los demás elementos necesarios para su correcta construcción. (PLATAFORMA 1:  2.0x3.70m , PLATAFORMA 2: 4.0x4.60m)</t>
  </si>
  <si>
    <t>1.4.2</t>
  </si>
  <si>
    <t>Construcción de CÁRCAMO LINEAL de 30x30 cm. en concreto de 21 Mpa., con un ESPESOR DE 8 cm. (medidas externas). Incluye suministro, transporte y colocación del concreto, impermeabilizante integral tipo plastocrete DM de Sika o su equivalente, tapa en reja en "T" de 0.30 x 1.0 m en polipropileno tipo ingepol o similar,  acero de refuerzo de 3/8" en ambos sentidos, recibidor en ángulo de 1 1/2" x 3/16", material granular(triturado de 1 1/2"), formaleta de primera calidad en súper "T" o su equivalente, bordes y todo lo necesario para su correcta construcción. Según especificaciones y dimensiones establecidas el los planos y diseños. La excavación se pagará en su ítem respectivo.</t>
  </si>
  <si>
    <t>1.4.3</t>
  </si>
  <si>
    <t>Construcción de ANDÉN O PLACAS en concreto de 21 Mpa, espesor  de 0.10 m., pendientado y llaneado, vaciado alternado (en cuadros no superiores de 1.5 x 1.5 m). Incluye suministro y transporte de los materiales, nivelación  del terreno y adecuación de la superficie, entresuelo en piedra (e=0,15 m.), arenilla compactada (e=0,05 m.), malla electrosoldada D-84, curado y todo lo necesario para su correcta construcción y funcionamiento. Según diseño. Las excavaciones o descapotes se pagarán en su ítem respectivo.</t>
  </si>
  <si>
    <t>1.5</t>
  </si>
  <si>
    <t>PINTURA</t>
  </si>
  <si>
    <t>1.5.1</t>
  </si>
  <si>
    <t>Aplicación de PINTURA A BASE DE AGUA EN MUROS CON VINILO TIPO 1 de primera calidad , tres manos o las manos necesarias hasta obtener una superficie pareja y homogénea. Incluye suministro y transporte de los materiales, adecuación de la superficie a intervenir hasta obtener una superficie pareja y homogénea, color a definir según aprobación de la interventoría.</t>
  </si>
  <si>
    <t>1.5.2</t>
  </si>
  <si>
    <t>Aplicación de PINTURA ACRÍLICA en muros para exteriores (hidrorepelente) tipo koraza o equivalente de primera calidad que cumpla con la Norma NTC 1335, con sellante para poros tipo Sellamax de Pintuco o su equivalente, 3 manos o las que sean necesarias para obtener una superficie pareja y homogénea, a satisfacción de la interventoría. Incluye suministro y transporte de los materiales, preparada y adecuación de la superficie a intervenir. Color a definir aprobado por la interventoría.</t>
  </si>
  <si>
    <t>1.6</t>
  </si>
  <si>
    <t>HIDRAULICA</t>
  </si>
  <si>
    <t>1.6.1</t>
  </si>
  <si>
    <t>Suministro, transporte e instalación de tubería perforada con un diámetro de 10" para la recoleccion del agua transpostada por el carcamo. La tuberia estará protegida por un triturado de 1" con una sección de 0.4 x 0.4 m y ademas se instalará un geotextil NT 1600 para evitar que el triturado se contamine, ver detalle entregado. Incluye Geotextil y triturado de 1" y todos los demás elementos para su correcta construcción y funcionamiento.</t>
  </si>
  <si>
    <t>SISTEMA AIRE ACONDICIONADO BLOQUE 4 Y 5</t>
  </si>
  <si>
    <t>SISTEMA AIRE ACONDICIONADO BLOQUE 4</t>
  </si>
  <si>
    <t>Unidad condensadora Refrigerante variable 410A, condensada por aire, 220/3/60, 516000 BTU/h del tipo MULTI V PLUS IV Compuesta por: una unidad ARUV160BTS4 y una unidade ARUV200BTS4 (Referencia tomada de selección LG)</t>
  </si>
  <si>
    <t>Unidad interior tipo cassette de refrigerante variable de 48,1 KBTU/h del tipo ARNU48GTMC2 (Referencia tomada de selección LG)</t>
  </si>
  <si>
    <t>2.1.3</t>
  </si>
  <si>
    <t>Panel frontal para unidad interior tipo cassette de refrigerante variable</t>
  </si>
  <si>
    <t>2.1.4</t>
  </si>
  <si>
    <t>Tubería de refrigeración de cobre tipo K aislada de 1 5/8"</t>
  </si>
  <si>
    <t>ml</t>
  </si>
  <si>
    <t>2.1.5</t>
  </si>
  <si>
    <t>Tubería de refrigeración de cobre tipo K aislada de 1 3/8"</t>
  </si>
  <si>
    <t>2.1.6</t>
  </si>
  <si>
    <t>Tubería de refrigeración de cobre tipo K aislada de 1 1/8"</t>
  </si>
  <si>
    <t>2.1.7</t>
  </si>
  <si>
    <t>Tubería de refrigeración de cobre tipo K aislada de 7/8"</t>
  </si>
  <si>
    <t>2.1.8</t>
  </si>
  <si>
    <t>Tubería de refrigeración de cobre tipo K aislada de 3/4"</t>
  </si>
  <si>
    <t>2.1.9</t>
  </si>
  <si>
    <t>Tubería de refrigeración de cobre tipo K aislada de 5/8"</t>
  </si>
  <si>
    <t>2.1.10</t>
  </si>
  <si>
    <t>Tubería de refrigeración de cobre tipo K aislada de 1/2"</t>
  </si>
  <si>
    <t>2.1.11</t>
  </si>
  <si>
    <t>Tubería de refrigeración de cobre tipo K aislada de 3/8"</t>
  </si>
  <si>
    <t>2.1.12</t>
  </si>
  <si>
    <t>Bifurcación en Y (líquido - succión) del tipo ARBLN14521 (Referencia tomada de selección LG)</t>
  </si>
  <si>
    <t>2.1.13</t>
  </si>
  <si>
    <t>Bifurcación en Y (líquido - succión) del tipo ARBLN07121 (Referencia tomada de selección LG)</t>
  </si>
  <si>
    <t>2.1.14</t>
  </si>
  <si>
    <t>Bifurcación en Y (líquido - succión) del tipo ARBLN03321 (Referencia tomada de selección LG)</t>
  </si>
  <si>
    <t>2.1.15</t>
  </si>
  <si>
    <t>Bifurcación en Y (líquido - succión) del tipo ARCNN21 para unidades exteriores (Referencia tomada de selección LG)</t>
  </si>
  <si>
    <t>2.1.16</t>
  </si>
  <si>
    <t>Refrigerante 410A</t>
  </si>
  <si>
    <t>lb</t>
  </si>
  <si>
    <t>2.1.17</t>
  </si>
  <si>
    <t>Control remoto inalámbrico para unidades Fan Coil</t>
  </si>
  <si>
    <t>2.1.18</t>
  </si>
  <si>
    <t xml:space="preserve">Cable control apantallado 3 x 18 </t>
  </si>
  <si>
    <t>2.1.19</t>
  </si>
  <si>
    <t>Tuberia metalica EMT de 1/2 incluye accsesorios (adaptadores, curvas, uniones, elemtos de sujecion, abrazaderas doble ala y demás accesorios para su correcta instalacion.)</t>
  </si>
  <si>
    <t>2.1.20</t>
  </si>
  <si>
    <t>Caja metalica  12x12x5 cm con tapa lisa, tercol o similar. Incluye todos los accesorios para su correcta instalación.</t>
  </si>
  <si>
    <t>2.1.21</t>
  </si>
  <si>
    <t>Tuberia metálica Flexible (coraza americana) de 1" de diámetro,Incluye: Elementos de fijacion con grapa doble ala y conectores curvos y rectos.</t>
  </si>
  <si>
    <t>2.1.22</t>
  </si>
  <si>
    <t>Suministro, Instalación de tubería de PVC RDE 21 de 1"  para descarga drenaje aislada termicamente</t>
  </si>
  <si>
    <t>2.1.23</t>
  </si>
  <si>
    <t>Suministro, Instalación de Control central par control de evaporadores bq 4 y 5</t>
  </si>
  <si>
    <t>2.1.24</t>
  </si>
  <si>
    <t>Ingeniería, transporte, instalación, pruebas y puesta a punto del sistema de aire acondicionado</t>
  </si>
  <si>
    <t>Global</t>
  </si>
  <si>
    <t>2.2</t>
  </si>
  <si>
    <t>SISTEMA AIRE ACONDICIONADO BLOQUE 5</t>
  </si>
  <si>
    <t>2.2.1</t>
  </si>
  <si>
    <t>Unidad condensadora Refrigerante variable 410A, condensada por aire, 220/3/60, 344000 BTU/h del tipo MULTI V PLUS IV Compuesta por: una unidad ARUV160BTS4 y una unidad ARUV200BTS4 (Referencia tomada de selección LG)</t>
  </si>
  <si>
    <t>2.2.2</t>
  </si>
  <si>
    <t>Unidad condensadora Refrigerante variable 410A, condensada por aire, 220/3/60, 439600 BTU/h del tipo MULTI V PLUS IV Compuesta por: una unidad ARUV100BTS4, una unidad ARUV160BTS4 y una unidad ARUV200BTS4 (Referencia tomada de selección LG)</t>
  </si>
  <si>
    <t>2.2.3</t>
  </si>
  <si>
    <t>2.2.4</t>
  </si>
  <si>
    <t>2.2.5</t>
  </si>
  <si>
    <t>Unidad interior tipo pared de refrigerante variable de 19,1 KBTU/h del tipo ARNU18GSCL2 (Referencia tomada de selección LG)</t>
  </si>
  <si>
    <t>2.2.6</t>
  </si>
  <si>
    <t>Unidad interior tipo pared de refrigerante variable de 24,2 KBTU/h del tipo ARNU24GSCL2 (Referencia tomada de selección LG)</t>
  </si>
  <si>
    <t>2.2.7</t>
  </si>
  <si>
    <t>Unidad Manejadora de Aire interior para conductos de refrigerante variable de 95,9 KBTU/h del tipo ARNU96GB8A2 (Referencia tomada de selección LG)</t>
  </si>
  <si>
    <t>2.2.8</t>
  </si>
  <si>
    <t>2.2.9</t>
  </si>
  <si>
    <t>2.2.10</t>
  </si>
  <si>
    <t>2.2.11</t>
  </si>
  <si>
    <t>2.2.12</t>
  </si>
  <si>
    <t>2.2.13</t>
  </si>
  <si>
    <t>2.2.14</t>
  </si>
  <si>
    <t>2.2.15</t>
  </si>
  <si>
    <t>2.2.16</t>
  </si>
  <si>
    <t>Tubería de refrigeración de cobre tipo K aislada de 1/4"</t>
  </si>
  <si>
    <t>2.2.17</t>
  </si>
  <si>
    <t>2.2.18</t>
  </si>
  <si>
    <t>2.2.19</t>
  </si>
  <si>
    <t>2.2.20</t>
  </si>
  <si>
    <t>Bifurcación en Y (líquido - succión) del tipo ARBLN01621 (Referencia tomada de selección LG)</t>
  </si>
  <si>
    <t>2.2.21</t>
  </si>
  <si>
    <t>Bifurcación en Y (líquido - succión) del tipo ARCNN31 para unidades exteriores (Referencia tomada de selección LG)</t>
  </si>
  <si>
    <t>2.2.22</t>
  </si>
  <si>
    <t>2.2.23</t>
  </si>
  <si>
    <t>2.2.24</t>
  </si>
  <si>
    <t>2.2.25</t>
  </si>
  <si>
    <t>Control remoto alámbrico simple para unidades Manejadoras de Aire</t>
  </si>
  <si>
    <t>2.2.26</t>
  </si>
  <si>
    <t>Bomba de condensado para fan coil de 1,5 Y 2 T.R.</t>
  </si>
  <si>
    <t>2.2.27</t>
  </si>
  <si>
    <t>2.2.28</t>
  </si>
  <si>
    <t>2.2.29</t>
  </si>
  <si>
    <t>2.2.30</t>
  </si>
  <si>
    <t>2.3</t>
  </si>
  <si>
    <t>SISTEMA AIRE ACONDICIONADO LABORATORIOS</t>
  </si>
  <si>
    <t>Conductos de suministro y retorno de aire</t>
  </si>
  <si>
    <t>2.3.1</t>
  </si>
  <si>
    <t>Conductos de suministro y retorno de aire. Conductos rectangulares en lámina galvanizada</t>
  </si>
  <si>
    <t>Kg</t>
  </si>
  <si>
    <t>2.3.2</t>
  </si>
  <si>
    <t>Aislamiento exterior en Duct Wrap</t>
  </si>
  <si>
    <t>2.3.3</t>
  </si>
  <si>
    <t>Difusores rectangulares aletas de 3” con damper de 12” x 12” 4 vías</t>
  </si>
  <si>
    <t>UN</t>
  </si>
  <si>
    <t>2.3.4</t>
  </si>
  <si>
    <t>Difusores rectangulares aletas de 3” con damper 9” x 9” 2 vías 90°</t>
  </si>
  <si>
    <t>2.3.5</t>
  </si>
  <si>
    <t>Rejillas de retorno y aire exterior aleta fija con damper 12” X 12”</t>
  </si>
  <si>
    <t>2.3.6</t>
  </si>
  <si>
    <t>Rejillas de retorno y aire exterior aleta fija con damper 10” X 6”</t>
  </si>
  <si>
    <t>2.3.7</t>
  </si>
  <si>
    <t>Rejillas de retorno y aire exterior aleta fija con damper 30” X 24”</t>
  </si>
  <si>
    <t>2.3.8</t>
  </si>
  <si>
    <t>Plenum de retorno metálico aislado</t>
  </si>
  <si>
    <t>2.3.9</t>
  </si>
  <si>
    <t>Ventilador en línea para extracción de reactivos de 155 CFM en Laboratorios</t>
  </si>
  <si>
    <t>2.3.10</t>
  </si>
  <si>
    <t>Balanceamiento del aire en laboratorios</t>
  </si>
  <si>
    <t>2.3.11</t>
  </si>
  <si>
    <t>2.3.12</t>
  </si>
  <si>
    <t>2.3.13</t>
  </si>
  <si>
    <t>INSTALACIONES ELECTRICA TULENAPA FASE1</t>
  </si>
  <si>
    <t>SALIDAS ELECTRICAS</t>
  </si>
  <si>
    <t xml:space="preserve">Suministro, Transporte y Colocacion de Salida para Tomacorriente Bifasico  250 V, 20 A con Polo A Tiera NEMA L11-20R Incluye conectores tipo resorte, marcacion y demas elementos para una correcta instalacion y mantenimiento.		
</t>
  </si>
  <si>
    <t>Un</t>
  </si>
  <si>
    <t>3.1.2</t>
  </si>
  <si>
    <t xml:space="preserve">Suministro, Transporte y Colocacion de Salida para Tomacorriente Trifasico 220 V, 32A, IP44 de incrusta,NEMA L15-20R  Incluye conectores tipo resorte, marcacion y demas elementos para una correcta instalacion y mantenimiento.		
</t>
  </si>
  <si>
    <t>3.2</t>
  </si>
  <si>
    <t>SUMINISTROS</t>
  </si>
  <si>
    <t>3.2.1</t>
  </si>
  <si>
    <t xml:space="preserve">Suministro, Transporte y Colocacion de Cable de Cu N° 12 Libre de Halogenos, No Propagador de la LLama, Baja Emiison de Humos, incluye amarres y conectores.		</t>
  </si>
  <si>
    <t>3.2.2</t>
  </si>
  <si>
    <t xml:space="preserve">Suministro, Transporte y Colocacion de Cable de Cu N° 10 Libre de Halogenos, No Propagador de la LLama, Baja Emiison de Humos, incluye amarres y conectores.		</t>
  </si>
  <si>
    <t>3.2.3</t>
  </si>
  <si>
    <t xml:space="preserve">Suministro, Transporte y Colocacion de Cable de Cu N° 8 Libre de Halogenos, No Propagador de la LLama, Baja Emiison de Humos, incluye amarres y conectores.		</t>
  </si>
  <si>
    <t>3.2.4</t>
  </si>
  <si>
    <t xml:space="preserve">Suministro, Transporte y Colocacion de Cable de Cu N° 6 Libre de Halogenos, No Propagador de la LLama, Baja Emiison de Humos, incluye amarres y conectores.		</t>
  </si>
  <si>
    <t>3.2.5</t>
  </si>
  <si>
    <t xml:space="preserve">Suministro, Transporte y Colocacion de Cable de Cu N° 4 Libre de Halogenos, No Propagador de la LLama, Baja Emiison de Humos, incluye amarres y conectores.		</t>
  </si>
  <si>
    <t>3.2.6</t>
  </si>
  <si>
    <t xml:space="preserve">Suministro, Transporte y Colocacion de Cable de Cu N° 2 Libre de Halogenos, No Propagador de la LLama, Baja Emiison de Humos, incluye amarres y conectores.		</t>
  </si>
  <si>
    <t>3.2.7</t>
  </si>
  <si>
    <t xml:space="preserve">Suministro, Transporte y Colocacion de Cable de Cu N° 1/0 Libre de Halogenos, No Propagador de la LLama, Baja Emiison de Humos, incluye amarres y conectores.		</t>
  </si>
  <si>
    <t>3.2.8</t>
  </si>
  <si>
    <t xml:space="preserve">Suministro, Transporte y Colocacion de Tablero de distribucion trifasico 24 Circuitos expuesto con espaciopara totalizador para interruptor enchufable 5 hilos (2 Barrajes para tierra y 1 Barraje para neutro), con púerta y chapa color gris. El tablero debe cumplir con el RETIE barrrajes de 200A a 220V incluye todos los elementos y accesorios para su fijacion y adecuacion (Pernos Expansivos) y marcacion con placas de acrilico.		</t>
  </si>
  <si>
    <t>3.2.9</t>
  </si>
  <si>
    <t xml:space="preserve">Suministro, Transporte y Colocacion de Tuberia IMC Ø 3/4", Incluye uniones, accesorios, grapas, cajas de empalme y elementos de fijacion para una correcta instalacion.		</t>
  </si>
  <si>
    <t>3.2.10</t>
  </si>
  <si>
    <t xml:space="preserve">Suministro, Transporte y Colocacion de Tuberia IMC Ø 1 1/2", Incluye uniones, accesorios, cajas de empalme, grapas y elementos de fijacion para una correcta instalacion.		</t>
  </si>
  <si>
    <t>3.2.11</t>
  </si>
  <si>
    <t xml:space="preserve">Suministro, Transporte y Colocacion de Tuberia PVC Ø 2", Incluye uniones, accesorios, y elementos para una correcta instalacion, ademas de la canalizacion (Concreto o zona verde), botada de material sobrante y llenada, para dejar el terreno con el mismo terminado original.		</t>
  </si>
  <si>
    <t>3.2.12</t>
  </si>
  <si>
    <t xml:space="preserve">Suministro, Transporte y Colocacion de Interruptor Automatico Bipolar Enchufable 2x20A Icc&gt;10 kA Incluye cintas y elemntos de marcacion		</t>
  </si>
  <si>
    <t>3.2.13</t>
  </si>
  <si>
    <t xml:space="preserve">Suministro, Transporte y Colocacion de Interruptor Automatico Bipolar Enchufable 2x30A Icc&gt;10 kA Incluye cintas y elemntos de marcacion		</t>
  </si>
  <si>
    <t>3.2.14</t>
  </si>
  <si>
    <t xml:space="preserve">Suministro, Transporte y Colocacion de Interruptor Automatico Tripolar 3x(44-63)A 40 kA		</t>
  </si>
  <si>
    <t>3.2.15</t>
  </si>
  <si>
    <t xml:space="preserve">Suministro, Transporte y Colocacion de Interruptor Automatico Tripolar  3x50A Caja Moldeada Icc 40 kA Incluye cintas y elemntos de marcacion		</t>
  </si>
  <si>
    <t>3.2.16</t>
  </si>
  <si>
    <t xml:space="preserve">Suministro, Transporte y Colocacion de Interruptor Automatico Tripolar  3x60A Caja Moldeada  Icc 40 kA Incluye cintas y elemntos de marcacion		</t>
  </si>
  <si>
    <t>3.2.17</t>
  </si>
  <si>
    <t xml:space="preserve">Suministro, Transporte y Colocacion de Interruptor Automatico Tripolar 3x(87-125)A 40 kA		</t>
  </si>
  <si>
    <t>3.2.18</t>
  </si>
  <si>
    <t xml:space="preserve">Suministro, Transporte y Colocacion de Interruptor Automatico Tripolar 3x(112-160)A 40 kA		</t>
  </si>
  <si>
    <t>3.2.19</t>
  </si>
  <si>
    <t xml:space="preserve">Suministro, Transporte y Colocacion de Interruptor Automatico Tripolar 3x(175-250)A 40 kA		</t>
  </si>
  <si>
    <t>3.2.20</t>
  </si>
  <si>
    <t xml:space="preserve">Suministro, Transporte y Colocacion de Caja Metalica de Empalme 12x12x5, incluye accesorios y elementos de fijacion para un correcto funcionamiento,		</t>
  </si>
  <si>
    <t>3.2.21</t>
  </si>
  <si>
    <t xml:space="preserve">Suministro, Transporte y Colocacion de Caja de Distribucion en piso 50x50x60 en bloque de concreto incluye accesorios y elemento para un correcto funcionamiento,		</t>
  </si>
  <si>
    <t>3.3</t>
  </si>
  <si>
    <t>OTROS</t>
  </si>
  <si>
    <t>3.3.1</t>
  </si>
  <si>
    <t>Suministro de pareja de electricstas compuesta por un Oficial y un Ayudante de Instlaciones electricas Internas, incluye equipo de proteccion personal y herramienta para desempeñar siu oficio</t>
  </si>
  <si>
    <t>día</t>
  </si>
  <si>
    <t>INSTALACIONES ELECTRICA TULENAPA FASE2</t>
  </si>
  <si>
    <t xml:space="preserve">Suministro, Transporte y Colocación de Salida para Tomacorriente Bifásico 250 V, 20 A con Polo A Tierra NEMA L11-20R Incluye conectores tipo resorte, marcacion y demás elementos para una correcta instalación y mantenimiento.		
</t>
  </si>
  <si>
    <t xml:space="preserve">Suministro, Transporte y Colocación de Salida para Tomacorriente Trifásico 220 V, 32A, IP44 de incrustar, NEMA L15-20R  Incluye conectores tipo resorte, marcación y demás elementos para una correcta instalación y mantenimiento.		
</t>
  </si>
  <si>
    <t>4.2.1</t>
  </si>
  <si>
    <t xml:space="preserve">Suministro, Transporte y Colocación de Cable de Cu N° 12 Libre de Halógenos, No Propagador de la LLama, Baja Emisión de Humos, incluye amarres y conectores.		</t>
  </si>
  <si>
    <t xml:space="preserve">Suministro, Transporte y Colocación de Cable de Cu N° 8 Libre de Halógenos, No Propagador de la LLama, Baja Emisión de Humos, incluye amarres y conectores.		</t>
  </si>
  <si>
    <t xml:space="preserve">Suministro, Transporte y Colocación de Cable de Cu N° 6 Libre de Halógenos, No Propagador de la LLama, Baja Emisión de Humos, incluye amarres y conectores.		</t>
  </si>
  <si>
    <t xml:space="preserve">Suministro, Transporte y Colocación de Cable de Cu N° 4 Libre de Halógenos, No Propagador de la LLama, Baja Emisión de Humos, incluye amarres y conectores.		</t>
  </si>
  <si>
    <t xml:space="preserve">Suministro, Transporte y Colocación de Cable de Cu N° 1/0 Libre de Halógenos, No Propagador de la LLama, Baja Emisión de Humos, incluye amarres y conectores.		</t>
  </si>
  <si>
    <t xml:space="preserve">Suministro, Transporte y Colocación de Tablero de distribución trifásico 24 Circuitos expuesto con espacio para totalizador para interruptor enchufable 5 hilos (2 Barrajes para tierra y 1 Barraje para neutro), con puerta y chapa color gris. El tablero debe cumplir con el RETIE barrajes de 200A a 220V incluye todos los elementos y accesorios para su fijación y adecuación (Pernos Expansivos) y marcación con placas de acrílico.		</t>
  </si>
  <si>
    <t>4.2.7</t>
  </si>
  <si>
    <t xml:space="preserve">Suministro, Transporte y Colocación de Tubería IMC Ø 3/4", Incluye uniones, accesorios, grapas, cajas de empalme y elementos de fijación para una correcta instalación.		</t>
  </si>
  <si>
    <t>4.2.8</t>
  </si>
  <si>
    <t xml:space="preserve">Suministro, Transporte y Colocación de Tubería IMC Ø 1 1/2", Incluye uniones, accesorios, cajas de empalme, grapas y elementos de fijación para una correcta instalación.		</t>
  </si>
  <si>
    <t>4.2.9</t>
  </si>
  <si>
    <t xml:space="preserve">Suministro, Transporte y Colocacion de Tuberia PVC Ø 2", Incluye uniones, accesorios, y elementos para una correcta instalacion, ademas de la canalizacion, botada de material sobrante y llenada, para dejar el terreno con el mismo terminado original.		</t>
  </si>
  <si>
    <t>4.2.10</t>
  </si>
  <si>
    <t>Suministro, Transporte y Colocación de Interruptor Automático Bipolar Enchufable 2x20A Icc&gt;10 kA Incluye cintas y elementos de marcación</t>
  </si>
  <si>
    <t>4.2.11</t>
  </si>
  <si>
    <t>Suministro, Transporte y Colocación de Interruptor Automático tripolar Enchufable 3x30A Icc&gt;10 kA Incluye cintas y elementos de marcación</t>
  </si>
  <si>
    <t>4.2.12</t>
  </si>
  <si>
    <t xml:space="preserve">Suministro, Transporte y Colocación de Interruptor Automático Tripolar  3x50A Caja Moldeada Icc 40 kA Incluye cintas y elementos de marcación		</t>
  </si>
  <si>
    <t>4.2.13</t>
  </si>
  <si>
    <t xml:space="preserve">Suministro, Transporte y Colocación de Interruptor Automático Tripolar  3x60A Caja Moldeada  Icc 40 kA Incluye cintas y elementos de marcación		</t>
  </si>
  <si>
    <t>4.2.14</t>
  </si>
  <si>
    <t>Suministro, Transporte y Colocación de Interruptor Automático Tripolar 3x(112-160)A 40 kA</t>
  </si>
  <si>
    <t>4.2.15</t>
  </si>
  <si>
    <t>Suministro, Transporte y Colocación de DPS tipo panel (Tipo 2), 3 fases, 4 hilos + tierra, 120/208V, 4 modos de protección, diseño modular, Alta capacidad de protección, 100kA (100kA). Referencia 52120-M3 de Leviton o equivalente.</t>
  </si>
  <si>
    <t>4.2.16</t>
  </si>
  <si>
    <t>Suministro, Transporte y Colocación de Caja Metálica de Empalme 12x12x5, incluye accesorios y elementos de fijación para un correcto funcionamiento</t>
  </si>
  <si>
    <t>4.2.17</t>
  </si>
  <si>
    <t>Suministro, Transporte y Colocacion de bandeja porta cables tipo malla con borde de seguridad con soldadura en T, con acabado en acero inoxidable 316L, bajo en carbono, con molibdeno, y con una capa de óxido crómico en la superficie del acero. Altura útil 54mm, ancho 300mm.  Incluye: accesorios de fijación en acero inoxidable 316L,CE25,CE30,CE40,BTRCC,ED275.  Fijación suspendida en techo tipo columpio o tipo peldaño según se requiera, cada 1,5m, incluye conectores de tierra en aluminio Grifequip, conductor No. 8 AWG-THHN para equipotencialización en todo su recorrido  y demás elementos necesarios para su correcta instalación y funcionamiento. Debe cumplir con las normas EN 10088-2 en cuanto al material y DIN 4102-12 en cuanto a la resistencia al fuego.</t>
  </si>
  <si>
    <t>4.2.18</t>
  </si>
  <si>
    <t>4.3</t>
  </si>
  <si>
    <t>REDES</t>
  </si>
  <si>
    <t>4.3.1</t>
  </si>
  <si>
    <t>Suministro, Transporte y Colocación de Transformador Trifásico 150 kVA para instalar en poste existente, incluye todos los elementos y materiales de la Norma RA2 026 (2013) de EPM. No incluye acometida en 3xNo 4/0 por fase + 3xNo 2/0 por Neutro</t>
  </si>
  <si>
    <t>4.3.2</t>
  </si>
  <si>
    <t>Suministro, Transporte y Colocacion de Caja de Distribucion de 50x50, Incluye Herraje y Materiales, excavacion, botada de escombros, Norma Norma RS3 001 de EPM.</t>
  </si>
  <si>
    <t>4.3.3</t>
  </si>
  <si>
    <t>Gabinete autosoportado de medida y protección apto para instalación a la intemperie, con frente muerto, incluye breakers en caja moldeada 3x50A, (2) 3x60A, 3x150A, 3 TC's 400/5, barras de 600A en cobre electrolítico, medidor electrónico multifuncional, rebanco en concreto.</t>
  </si>
  <si>
    <t>4.3.4</t>
  </si>
  <si>
    <t>Suministro, Transporte y Colocación de acometida secundaria en 3N°4/0 por fase + 3N°2/0 por Neutro desde Transformador hasta gabinete de medida.</t>
  </si>
  <si>
    <t>4.4</t>
  </si>
  <si>
    <t>4.4.1</t>
  </si>
  <si>
    <t>CHEQUEO POR VALORES UNITARIOS EN CERO</t>
  </si>
  <si>
    <t>Notas</t>
  </si>
  <si>
    <t>Diligenciar solo los espacios resaltados en amarillo.</t>
  </si>
  <si>
    <t>No modificar el resto de celdas.</t>
  </si>
  <si>
    <t>En caso de, cobrar el rubro de los imprevistos, para el pago, el contratista debera justificar con soportes, los mismos.</t>
  </si>
  <si>
    <t>Es responsabilidad del proponente verificar las operaciones aritmeticas.</t>
  </si>
  <si>
    <r>
      <rPr>
        <b/>
        <i/>
        <sz val="9"/>
        <rFont val="Swis721 LtCn BT"/>
        <family val="2"/>
      </rPr>
      <t>Residente de Obra</t>
    </r>
    <r>
      <rPr>
        <sz val="9"/>
        <rFont val="Swis721 LtCn BT"/>
        <family val="2"/>
      </rPr>
      <t xml:space="preserve"> (Profesiones afines, Ingeniero Civil, Arquitecto, Arquitecto Constructor, Ingeniero Constructor) 
</t>
    </r>
    <r>
      <rPr>
        <u/>
        <sz val="9"/>
        <rFont val="Swis721 LtCn BT"/>
        <family val="2"/>
      </rPr>
      <t>Experiencia requerida: mayor a 2</t>
    </r>
    <r>
      <rPr>
        <sz val="9"/>
        <rFont val="Swis721 LtCn BT"/>
        <family val="2"/>
      </rPr>
      <t xml:space="preserve"> años de experiencia contado a partir de la expedición de la matrícula profesional. </t>
    </r>
    <r>
      <rPr>
        <u/>
        <sz val="9"/>
        <rFont val="Swis721 LtCn BT"/>
        <family val="2"/>
      </rPr>
      <t/>
    </r>
  </si>
  <si>
    <t>1.1.5</t>
  </si>
  <si>
    <t>Viaticos Ingeniero Residente</t>
  </si>
  <si>
    <r>
      <rPr>
        <b/>
        <i/>
        <sz val="9"/>
        <rFont val="Swis721 LtCn BT"/>
        <family val="2"/>
      </rPr>
      <t xml:space="preserve">Ingeniero Electricista </t>
    </r>
    <r>
      <rPr>
        <sz val="9"/>
        <rFont val="Swis721 LtCn BT"/>
        <family val="2"/>
      </rPr>
      <t xml:space="preserve">(Profesiones afines, Ingeniero Electricista)
</t>
    </r>
    <r>
      <rPr>
        <u/>
        <sz val="9"/>
        <rFont val="Swis721 LtCn BT"/>
        <family val="2"/>
      </rPr>
      <t xml:space="preserve">Experiencia requerida: mayor a 2 </t>
    </r>
    <r>
      <rPr>
        <sz val="9"/>
        <rFont val="Swis721 LtCn BT"/>
        <family val="2"/>
      </rPr>
      <t>año de experiencia contado a partir de la expedición de la matrícula profesional</t>
    </r>
    <r>
      <rPr>
        <u/>
        <sz val="9"/>
        <rFont val="Swis721 LtCn BT"/>
        <family val="2"/>
      </rPr>
      <t/>
    </r>
  </si>
  <si>
    <t>1.2.3</t>
  </si>
  <si>
    <t>Viaticos Ingeniero ELECTRICISTA</t>
  </si>
  <si>
    <t>Profesionales de Obras deAire Acondicionado</t>
  </si>
  <si>
    <r>
      <rPr>
        <b/>
        <i/>
        <sz val="9"/>
        <rFont val="Swis721 LtCn BT"/>
        <family val="2"/>
      </rPr>
      <t>Ingeniero Mecanico</t>
    </r>
    <r>
      <rPr>
        <sz val="9"/>
        <rFont val="Swis721 LtCn BT"/>
        <family val="2"/>
      </rPr>
      <t xml:space="preserve"> (Profesiones afines, Ingeniero Mecanico)
</t>
    </r>
    <r>
      <rPr>
        <u/>
        <sz val="9"/>
        <rFont val="Swis721 LtCn BT"/>
        <family val="2"/>
      </rPr>
      <t xml:space="preserve">Experiencia requerida: mayor a </t>
    </r>
    <r>
      <rPr>
        <sz val="9"/>
        <rFont val="Swis721 LtCn BT"/>
        <family val="2"/>
      </rPr>
      <t>2 años de experiencia contados a partir de la expedición de la matrícula profesional</t>
    </r>
    <r>
      <rPr>
        <u/>
        <sz val="9"/>
        <rFont val="Swis721 LtCn BT"/>
        <family val="2"/>
      </rPr>
      <t/>
    </r>
  </si>
  <si>
    <t>Viaticos Ingeniero Mecanico</t>
  </si>
  <si>
    <r>
      <rPr>
        <b/>
        <i/>
        <sz val="9"/>
        <rFont val="Swis721 LtCn BT"/>
        <family val="2"/>
      </rPr>
      <t xml:space="preserve">Tecnología en seguridad e higiene ocupacional o afínes
</t>
    </r>
    <r>
      <rPr>
        <u/>
        <sz val="9"/>
        <rFont val="Swis721 LtCn BT"/>
        <family val="2"/>
      </rPr>
      <t>Experiencia requerida</t>
    </r>
    <r>
      <rPr>
        <sz val="9"/>
        <rFont val="Swis721 LtCn BT"/>
        <family val="2"/>
      </rPr>
      <t>: mayor a 1.5 años de experiencia contados a partir de la expedición de la Licencia en salud ocupacional</t>
    </r>
    <r>
      <rPr>
        <u/>
        <sz val="9"/>
        <rFont val="Swis721 LtCn BT"/>
        <family val="2"/>
      </rPr>
      <t/>
    </r>
  </si>
  <si>
    <t>3.1.3</t>
  </si>
  <si>
    <t>Viaticos tecnologo en seuridad ocupacional</t>
  </si>
  <si>
    <t>Inversion ambiental</t>
  </si>
  <si>
    <r>
      <t xml:space="preserve">Implementación de sistema de gestión de seguridad y salud en el trabajo e inversión ambiental. </t>
    </r>
    <r>
      <rPr>
        <b/>
        <sz val="9"/>
        <rFont val="Swis721 LtCn BT"/>
        <family val="2"/>
      </rPr>
      <t>Nota:</t>
    </r>
    <r>
      <rPr>
        <sz val="9"/>
        <rFont val="Swis721 LtCn BT"/>
        <family val="2"/>
      </rPr>
      <t xml:space="preserve"> Incluye valla informativa del proyecto</t>
    </r>
  </si>
  <si>
    <t>MAURO VELEZ GÓMEZ</t>
  </si>
  <si>
    <t>LUIS ENRIQUE OYOLA QUINTERO</t>
  </si>
  <si>
    <t>CHEQUEO DEL VALOR DEL CONTRATO INCLUIDO IVA</t>
  </si>
  <si>
    <t>CHEQUEO POR VALORES EN CERO DENTRO DEL FORMULARIO</t>
  </si>
  <si>
    <t>Asignar de acuerdo al proceso</t>
  </si>
  <si>
    <t>Media aritmética</t>
  </si>
  <si>
    <t>Media aritmética alta</t>
  </si>
  <si>
    <t>Menor valor</t>
  </si>
  <si>
    <t># propuestas (n)</t>
  </si>
  <si>
    <t>LIQ = AC/PC &gt;
Siendo AC = activo corriente 
PC = pasivo corriente</t>
  </si>
  <si>
    <t>ESTADO</t>
  </si>
  <si>
    <t>NE = PT/AT &lt;=
Siendo PT = pasivo total 
AT = activo total</t>
  </si>
  <si>
    <t>CT = AC-PC &gt; X*PO
Siendo PO = Presupuesto Oficial</t>
  </si>
  <si>
    <t>SALARIO MÍNIMO</t>
  </si>
  <si>
    <t>COCIENTE EVALUACIÓN</t>
  </si>
  <si>
    <r>
      <rPr>
        <u/>
        <sz val="12"/>
        <rFont val="Arial"/>
        <family val="2"/>
      </rPr>
      <t xml:space="preserve">Sumatoria (Del valor total de cinco (5) certificados de contratos liquidados en SMMLV) </t>
    </r>
    <r>
      <rPr>
        <sz val="12"/>
        <rFont val="Arial"/>
        <family val="2"/>
      </rPr>
      <t xml:space="preserve">   &gt;3
                        Valor del presupuesto total oficial en SMLMV 2018</t>
    </r>
  </si>
  <si>
    <t>EVALUACIÓN EXPERIENCIA GENERAL</t>
  </si>
  <si>
    <t>MÁXIMO PUNTAJE A ASIGNAR PARA Pti</t>
  </si>
  <si>
    <t>3.4.3 Abstenerse de modificar los formatos del proceso de contratación, salvo autorización expresa de la UdeA</t>
  </si>
  <si>
    <t>3.4.4 Incluir en la propuesta todos los costos, gastos, impuestos, tasas y contribuciones en los que deba incurrir para cumplir el objeto de la INVITACIÓN</t>
  </si>
  <si>
    <t>CUMPLE</t>
  </si>
  <si>
    <t>NH</t>
  </si>
  <si>
    <t>IVA SOBRE UTILIDAD</t>
  </si>
  <si>
    <t xml:space="preserve">CIERRE: 04/12/2018
HORA:09.00 A.M </t>
  </si>
  <si>
    <t>71,338,676</t>
  </si>
  <si>
    <t>N/A</t>
  </si>
  <si>
    <t>1 CARPETA - 1 CD</t>
  </si>
  <si>
    <t>73,077,245</t>
  </si>
  <si>
    <t>032-2012</t>
  </si>
  <si>
    <t>FISCALIA GENERAL DE LA NACION</t>
  </si>
  <si>
    <t>721211-721214 - 401017</t>
  </si>
  <si>
    <t>087-CBN1-ADBN1-DARET/2008</t>
  </si>
  <si>
    <t>ARMADA NACIONAL- BASE NAVAL ARC BOLIVAR</t>
  </si>
  <si>
    <t>37-2009</t>
  </si>
  <si>
    <t>UNIVERSIDAD DE CARTAGENA</t>
  </si>
  <si>
    <t>C</t>
  </si>
  <si>
    <t>0314/2014</t>
  </si>
  <si>
    <t>ARMADA NACIONAL-ESCUELA NAVAL ALMIRANTE PADILLA</t>
  </si>
  <si>
    <t>28-2000</t>
  </si>
  <si>
    <t>SUPERINTENDENCIA DE NOTARIADO Y REGISTRO</t>
  </si>
  <si>
    <t xml:space="preserve">001 del 10 de marzo de 2011 </t>
  </si>
  <si>
    <t>SOCIEDAD TELEVISION DE ANTIOQUIA LTDA</t>
  </si>
  <si>
    <t>721214 -721211 - 401017</t>
  </si>
  <si>
    <t>DEPARTAMENTO DE ANTIOQUIA - FABRICA DE LICORES Y ALCOHOLES DE ANTIOQUIA</t>
  </si>
  <si>
    <t>721211-401017</t>
  </si>
  <si>
    <t xml:space="preserve">El oferente no cumple el código de clasificación 721214 </t>
  </si>
  <si>
    <t>CUMPLE, FOLIOS 1 - 2; #s 6, 7 y 22. ANEXO 2A</t>
  </si>
  <si>
    <t>CUMPLE, FOLIOS 4 - 6; #s 6, 7 y 22. ANEXO 2A</t>
  </si>
  <si>
    <t>CUMPLE, FOLIOS 3- 5, MAURO VÉLEZ GÓMEZ, INGENIERO CIVIL, MATRÍCULA PROFESIONAL 05202-090696 ANT, EXPEDIDA EL 21 DE MARZO DE 2002 POR EL CONSEJO PROFESIONAL NACIONAL DE INGENIERÍA COPNIA, VIGENCIA EXPEDIDA EL 06 DE DICIEMBRE DE 2018. CERTIFICADO N° E2018VEN00252705.</t>
  </si>
  <si>
    <t>CUMPLE, FOLIOS 7- 9, LUIS ENRIQUE OYOLA QUINTERO, INGENIERO CIVIL, MATRÍCULA PROFESIONAL 13202-01418 BLV, EXPEDIDA EL 16 DE ABRIL DE 1980 POR EL CONSEJO PROFESIONAL NACIONAL DE INGENIERÍA COPNIA, VIGENCIA EXPEDIDA EL 22 DE NOVIEMBRE DE 2018. CERTIFICADO N° E2018VEN00244376.</t>
  </si>
  <si>
    <t xml:space="preserve">CUMPLE, FOLIO 6. ACREDITA PAGOS  DE APORTES A PENSIÓN Y SALUD,  (PLANILLAS) CORRESPONDIENTE A NOVIEMBRE DE 2018. </t>
  </si>
  <si>
    <t xml:space="preserve">CUMPLE, FOLIOS 47 - 48. ACREDITA PAGOS  DE APORTES A PENSIÓN, SALUD, Y RIESGOS (PLANILLAS) CORRESPONDIENTE A OCTUBRE DE 2018 </t>
  </si>
  <si>
    <t>CUMPLE, FOLIO 7, APORTA CERTIFICADO EXPEDIDO POR LA CONTRALORÍA GENERAL DE LA REPÚBLICA EL 03 DE DICIEMBRE DE 2018, CÓDIGO DE VERIFICACIÓN: 71338676181203141045.</t>
  </si>
  <si>
    <t xml:space="preserve">CUMPLE, FOLIO 53, APORTA CERTIFICADO EXPEDIDO POR LA CONTRALORÍA GENERAL DE LA REPÚBLICA EL 22 DE NOVIEMBRE DE 2018, CÓDIGO DE VERIFICACIÓN: 73077245181122201937. </t>
  </si>
  <si>
    <t xml:space="preserve">CUMPLE, FOLIO 8. APORTA CERTIFICADO 118726796 EXPEDIDO POR LA PROCURADURÍA GENERAL DE LA NACIÓN EL 03 DE DICIEMBRE DE 2018. </t>
  </si>
  <si>
    <t xml:space="preserve">CUMPLE, FOLIO 55. APORTA CERTIFICADO 118255932 EXPEDIDO POR LA PROCURADURÍA GENERAL DE LA NACIÓN  EL 22 DE NOVIEMBRE DE 2018. </t>
  </si>
  <si>
    <t xml:space="preserve">CUMPLE, FOLIO 9 APORTA CERTIFICADO EXPEDIDO POR LA POLICÍA NACIONAL DE COLOMBIA EL 03 DE DICIEMBRE DE 2018. </t>
  </si>
  <si>
    <t xml:space="preserve">CUMPLE, FOLIO 57 APORTA CERTIFICADO EXPEDIDO POR LA POLICÍA NACIONAL DE COLOMBIA EL 22 DE NOVIEMBRE DE 2018. </t>
  </si>
  <si>
    <t>No estar en mora en el Sistema de Registro Nacional de Medidas Correctivas RNMC de la Policía Nacional de Colombia (artículo 183 de la Ley 1801 de 2016)</t>
  </si>
  <si>
    <t xml:space="preserve">CUMPLE, FOLIO 9A. CERTIFICADO VERIFICADO POR LA COMISIÓN EVALUADORA EXPEDIDO POR LA POLICÍA NACIONAL DE COLOMBIA EL 12 DE DICIEMBRE DE 2018. </t>
  </si>
  <si>
    <t xml:space="preserve">CUMPLE, FOLIO 10. APORTA CERTIFICADO EXPEDIDO POR LA POLICÍA NACIONAL DE COLOMBIA EL 22 DE NOVIEMBRE DE 2018. </t>
  </si>
  <si>
    <t>Tener Registro Único Tributario de la DIAN</t>
  </si>
  <si>
    <r>
      <t>CUMPLE,</t>
    </r>
    <r>
      <rPr>
        <b/>
        <sz val="10"/>
        <rFont val="Arial"/>
        <family val="2"/>
      </rPr>
      <t xml:space="preserve"> </t>
    </r>
    <r>
      <rPr>
        <sz val="10"/>
        <rFont val="Arial"/>
        <family val="2"/>
      </rPr>
      <t>FOLIO 10,</t>
    </r>
    <r>
      <rPr>
        <b/>
        <sz val="10"/>
        <rFont val="Arial"/>
        <family val="2"/>
      </rPr>
      <t xml:space="preserve"> ACTIVIDADES:                                                                    4220. </t>
    </r>
    <r>
      <rPr>
        <sz val="10"/>
        <rFont val="Arial"/>
        <family val="2"/>
      </rPr>
      <t xml:space="preserve"> Construcción de proyectos de servicio público.                                  </t>
    </r>
    <r>
      <rPr>
        <b/>
        <sz val="10"/>
        <rFont val="Arial"/>
        <family val="2"/>
      </rPr>
      <t>4112</t>
    </r>
    <r>
      <rPr>
        <sz val="10"/>
        <rFont val="Arial"/>
        <family val="2"/>
      </rPr>
      <t xml:space="preserve">. Construcción de edificios no residenciales.                                           </t>
    </r>
    <r>
      <rPr>
        <b/>
        <sz val="10"/>
        <rFont val="Arial"/>
        <family val="2"/>
      </rPr>
      <t>VENTAS RÉGIMEN COMÚN</t>
    </r>
  </si>
  <si>
    <r>
      <t>CUMPLE,</t>
    </r>
    <r>
      <rPr>
        <b/>
        <sz val="10"/>
        <rFont val="Arial"/>
        <family val="2"/>
      </rPr>
      <t xml:space="preserve"> </t>
    </r>
    <r>
      <rPr>
        <sz val="10"/>
        <rFont val="Arial"/>
        <family val="2"/>
      </rPr>
      <t>FOLIO 102,</t>
    </r>
    <r>
      <rPr>
        <b/>
        <sz val="10"/>
        <rFont val="Arial"/>
        <family val="2"/>
      </rPr>
      <t xml:space="preserve"> ACTIVIDADES:                                                                    </t>
    </r>
    <r>
      <rPr>
        <sz val="10"/>
        <rFont val="Arial"/>
        <family val="2"/>
      </rPr>
      <t xml:space="preserve">                               </t>
    </r>
    <r>
      <rPr>
        <b/>
        <sz val="10"/>
        <rFont val="Arial"/>
        <family val="2"/>
      </rPr>
      <t>4112</t>
    </r>
    <r>
      <rPr>
        <sz val="10"/>
        <rFont val="Arial"/>
        <family val="2"/>
      </rPr>
      <t xml:space="preserve">. Construcción de edificios no residenciales.                                              </t>
    </r>
    <r>
      <rPr>
        <b/>
        <sz val="10"/>
        <rFont val="Arial"/>
        <family val="2"/>
      </rPr>
      <t xml:space="preserve">4290. </t>
    </r>
    <r>
      <rPr>
        <sz val="10"/>
        <rFont val="Arial"/>
        <family val="2"/>
      </rPr>
      <t xml:space="preserve">Construcción de otras obras de ingeniería civil.                                   </t>
    </r>
    <r>
      <rPr>
        <b/>
        <sz val="10"/>
        <rFont val="Arial"/>
        <family val="2"/>
      </rPr>
      <t>VENTAS RÉGIMEN COMÚN</t>
    </r>
  </si>
  <si>
    <r>
      <t xml:space="preserve">Estar inscrita , Calificada y Clasificada en el Registro Único de Proponentes - RUP - de la Cámara de Comercio de su domicilio antes de la fecha de cierre o entrega de propuestas de esta invitación, en TODAS las clasificaciones de la UNSPSC, en los CÓDIGOS: </t>
    </r>
    <r>
      <rPr>
        <b/>
        <sz val="10"/>
        <color theme="1"/>
        <rFont val="Arial"/>
        <family val="2"/>
      </rPr>
      <t>40-10-14; 72-12-11 y 72-12-14</t>
    </r>
    <r>
      <rPr>
        <sz val="10"/>
        <color theme="1"/>
        <rFont val="Arial"/>
        <family val="2"/>
      </rPr>
      <t xml:space="preserve">, según la </t>
    </r>
    <r>
      <rPr>
        <b/>
        <sz val="10"/>
        <color theme="1"/>
        <rFont val="Arial"/>
        <family val="2"/>
      </rPr>
      <t>Tabla #2.</t>
    </r>
    <r>
      <rPr>
        <sz val="10"/>
        <color theme="1"/>
        <rFont val="Arial"/>
        <family val="2"/>
      </rPr>
      <t xml:space="preserve"> 
</t>
    </r>
  </si>
  <si>
    <r>
      <t>CUMPLE, A FOLIOS 11 - 32 ACREDITA SU INSCRIPCIÓN Y CLASIFICACIÓN EN LAS SIGUIENTES CATEGORÍAS
E (F)  40  10  14 (</t>
    </r>
    <r>
      <rPr>
        <sz val="10"/>
        <color rgb="FFFF0000"/>
        <rFont val="Arial"/>
        <family val="2"/>
      </rPr>
      <t>40 10 17</t>
    </r>
    <r>
      <rPr>
        <sz val="10"/>
        <rFont val="Arial"/>
        <family val="2"/>
      </rPr>
      <t xml:space="preserve">)
 F  72  12  11
 F  72  12  14
</t>
    </r>
  </si>
  <si>
    <r>
      <t>CUMPLE, A FOLIOS 14 - 45 ACREDITA SU INSCRIPCIÓN Y CLASIFICACIÓN EN LAS SIGUIENTES CATEGORÍAS
E (F)  40  10  14 (</t>
    </r>
    <r>
      <rPr>
        <sz val="10"/>
        <color rgb="FFFF0000"/>
        <rFont val="Arial"/>
        <family val="2"/>
      </rPr>
      <t>40 10 17</t>
    </r>
    <r>
      <rPr>
        <sz val="10"/>
        <rFont val="Arial"/>
        <family val="2"/>
      </rPr>
      <t xml:space="preserve">)
 F  72  12  11
 F  72  12  14
</t>
    </r>
  </si>
  <si>
    <t xml:space="preserve">CUMPLE, FOLIOS 57 - 62 </t>
  </si>
  <si>
    <t xml:space="preserve">CUMPLE, FOLIO 12 </t>
  </si>
  <si>
    <t>SEGUROS CONFIANZA S.A.</t>
  </si>
  <si>
    <t xml:space="preserve">SEGUROS DEL ESTADO S.A. </t>
  </si>
  <si>
    <t>GU144657</t>
  </si>
  <si>
    <t>75-44-101095088</t>
  </si>
  <si>
    <t>$83'615.000</t>
  </si>
  <si>
    <t>$83'614.325,70</t>
  </si>
  <si>
    <t>DESDE EL 04 DE DICIEMBRE DE 2018 AL 28 DE FEBRERO DE 2019</t>
  </si>
  <si>
    <t>DESDE EL 04 DE DICIEMBRE DE 2018 AL 05 DE FEBRERO DE 2019</t>
  </si>
  <si>
    <t>H</t>
  </si>
  <si>
    <t>El valor de la propuesta supera el valor oficial. Causal de rechazo 9.6</t>
  </si>
  <si>
    <t>Resúmen: se recibieron 2 propuestas. EQUIPO TECNICO DE EVALUACIÓN
DIVISIÓN DE INFRAESTRUCTURA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</si>
</sst>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 #,##0_-;_-* &quot;-&quot;_-;_-@_-"/>
    <numFmt numFmtId="43" formatCode="_-* #,##0.00_-;\-* #,##0.00_-;_-* &quot;-&quot;??_-;_-@_-"/>
    <numFmt numFmtId="164" formatCode="&quot;$&quot;#,##0.00;[Red]\-&quot;$&quot;#,##0.00"/>
    <numFmt numFmtId="165" formatCode="_(* #,##0.00_);_(* \(#,##0.00\);_(* &quot;-&quot;??_);_(@_)"/>
    <numFmt numFmtId="166" formatCode="_-* #,##0.00\ _€_-;\-* #,##0.00\ _€_-;_-* &quot;-&quot;??\ _€_-;_-@_-"/>
    <numFmt numFmtId="167" formatCode="_ * #,##0.00_ ;_ * \-#,##0.00_ ;_ * &quot;-&quot;??_ ;_ @_ "/>
    <numFmt numFmtId="168" formatCode="&quot;K=&quot;\ \ \ \ #,##0.00\ &quot;de contra&quot;"/>
    <numFmt numFmtId="169" formatCode="&quot;$&quot;\ #,##0.00"/>
    <numFmt numFmtId="170" formatCode="#,##0.00\ &quot;SMMLV&quot;"/>
    <numFmt numFmtId="171" formatCode="_ * #,##0_ ;_ * \-#,##0_ ;_ * &quot;-&quot;??_ ;_ @_ "/>
    <numFmt numFmtId="172" formatCode="_-* #,##0.00\ [$€]_-;\-* #,##0.00\ [$€]_-;_-* &quot;-&quot;??\ [$€]_-;_-@_-"/>
    <numFmt numFmtId="173" formatCode="\$#,##0.00_);[Red]\(\$#,##0.00\)"/>
    <numFmt numFmtId="174" formatCode="&quot;$&quot;\ #,##0.00;[Red]&quot;$&quot;\ \-#,##0.00"/>
    <numFmt numFmtId="175" formatCode="_-* #,##0.00\ _$_-;\-* #,##0.00\ _$_-;_-* &quot;-&quot;??\ _$_-;_-@_-"/>
    <numFmt numFmtId="176" formatCode="#,##0.000"/>
    <numFmt numFmtId="177" formatCode="0.0"/>
    <numFmt numFmtId="178" formatCode="###,###,##0.00000"/>
    <numFmt numFmtId="179" formatCode="&quot;$&quot;\ #,##0;&quot;$&quot;\ \-#,##0"/>
    <numFmt numFmtId="180" formatCode="_ &quot;$&quot;\ * #,##0.00_ ;_ &quot;$&quot;\ * \-#,##0.00_ ;_ &quot;$&quot;\ * &quot;-&quot;??_ ;_ @_ "/>
    <numFmt numFmtId="181" formatCode="_ &quot;$&quot;\ * #,##0_ ;_ &quot;$&quot;\ * \-#,##0_ ;_ &quot;$&quot;\ * &quot;-&quot;_ ;_ @_ "/>
    <numFmt numFmtId="182" formatCode="&quot;$&quot;\ #,##0.00;&quot;$&quot;\ \-#,##0.00"/>
    <numFmt numFmtId="183" formatCode="[$$-240A]\ #,##0.00"/>
    <numFmt numFmtId="184" formatCode="&quot;$&quot;\ #,##0;[Red]&quot;$&quot;\ \-#,##0"/>
    <numFmt numFmtId="185" formatCode="_(* #,##0_);_(* \(#,##0\);_(* &quot;-&quot;??_);_(@_)"/>
    <numFmt numFmtId="186" formatCode="_([$$-240A]\ * #,##0_);_([$$-240A]\ * \(#,##0\);_([$$-240A]\ * &quot;-&quot;_);_(@_)"/>
    <numFmt numFmtId="187" formatCode="#,##0;[Red]#,##0"/>
    <numFmt numFmtId="188" formatCode="#,##0.00;[Red]#,##0.00"/>
    <numFmt numFmtId="189" formatCode="&quot;$&quot;\ #,##0"/>
    <numFmt numFmtId="190" formatCode="&quot;$&quot;#,##0"/>
    <numFmt numFmtId="191" formatCode="&quot;$&quot;#,##0.00"/>
    <numFmt numFmtId="192" formatCode="#,##0.0000"/>
    <numFmt numFmtId="193" formatCode="#,##0.00_ ;[Red]\-#,##0.00\ "/>
    <numFmt numFmtId="194" formatCode="&quot;X=&quot;0.0"/>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rgb="FFFF000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rgb="FF000000"/>
      <name val="Calibri"/>
      <family val="2"/>
    </font>
    <font>
      <b/>
      <sz val="12"/>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2"/>
      <color rgb="FF000000"/>
      <name val="Arial"/>
      <family val="2"/>
    </font>
    <font>
      <b/>
      <sz val="12"/>
      <color theme="1"/>
      <name val="Arial"/>
      <family val="2"/>
    </font>
    <font>
      <b/>
      <sz val="14"/>
      <color rgb="FF000000"/>
      <name val="Calibri"/>
      <family val="2"/>
    </font>
    <font>
      <sz val="11"/>
      <color theme="1"/>
      <name val="Arial"/>
      <family val="2"/>
    </font>
    <font>
      <b/>
      <sz val="16"/>
      <color theme="1"/>
      <name val="Arial"/>
      <family val="2"/>
    </font>
    <font>
      <b/>
      <sz val="11"/>
      <color theme="1"/>
      <name val="Arial"/>
      <family val="2"/>
    </font>
    <font>
      <sz val="12"/>
      <color theme="0"/>
      <name val="Arial"/>
      <family val="2"/>
    </font>
    <font>
      <sz val="10"/>
      <name val="Swis721 LtCn BT"/>
      <family val="2"/>
    </font>
    <font>
      <sz val="11"/>
      <name val="Swis721 LtCn BT"/>
      <family val="2"/>
    </font>
    <font>
      <b/>
      <sz val="12"/>
      <name val="Swis721 LtCn BT"/>
      <family val="2"/>
    </font>
    <font>
      <b/>
      <sz val="11"/>
      <name val="Swis721 LtCn BT"/>
      <family val="2"/>
    </font>
    <font>
      <b/>
      <sz val="10"/>
      <name val="Swis721 LtCn BT"/>
      <family val="2"/>
    </font>
    <font>
      <b/>
      <sz val="9"/>
      <name val="Swis721 LtCn BT"/>
      <family val="2"/>
    </font>
    <font>
      <sz val="9"/>
      <name val="Swis721 LtCn BT"/>
      <family val="2"/>
    </font>
    <font>
      <b/>
      <i/>
      <sz val="9"/>
      <name val="Swis721 LtCn BT"/>
      <family val="2"/>
    </font>
    <font>
      <sz val="9"/>
      <color indexed="81"/>
      <name val="Swis721 LtCn BT"/>
      <family val="2"/>
    </font>
    <font>
      <sz val="9"/>
      <color indexed="81"/>
      <name val="Tahoma"/>
      <family val="2"/>
    </font>
    <font>
      <sz val="12"/>
      <color theme="1"/>
      <name val="Arial"/>
      <family val="2"/>
    </font>
    <font>
      <b/>
      <sz val="11"/>
      <color rgb="FF000000"/>
      <name val="Arial"/>
      <family val="2"/>
    </font>
    <font>
      <sz val="11"/>
      <color rgb="FF000000"/>
      <name val="Arial"/>
      <family val="2"/>
    </font>
    <font>
      <sz val="12"/>
      <name val="Calibri"/>
      <family val="2"/>
      <scheme val="minor"/>
    </font>
    <font>
      <b/>
      <sz val="16"/>
      <name val="Calibri"/>
      <family val="2"/>
      <scheme val="minor"/>
    </font>
    <font>
      <b/>
      <vertAlign val="subscript"/>
      <sz val="12"/>
      <name val="Calibri"/>
      <family val="2"/>
      <scheme val="minor"/>
    </font>
    <font>
      <b/>
      <sz val="14"/>
      <color theme="1"/>
      <name val="Arial"/>
      <family val="2"/>
    </font>
    <font>
      <b/>
      <sz val="20"/>
      <name val="Calibri"/>
      <family val="2"/>
      <scheme val="minor"/>
    </font>
    <font>
      <sz val="10"/>
      <name val="Arial"/>
      <family val="2"/>
    </font>
    <font>
      <b/>
      <sz val="10"/>
      <color rgb="FFFF0000"/>
      <name val="Arial"/>
      <family val="2"/>
    </font>
    <font>
      <b/>
      <sz val="10"/>
      <name val="Calibri"/>
      <family val="2"/>
      <scheme val="minor"/>
    </font>
    <font>
      <b/>
      <sz val="9"/>
      <name val="Calibri"/>
      <family val="2"/>
      <scheme val="minor"/>
    </font>
    <font>
      <b/>
      <sz val="11.5"/>
      <name val="Swis721 LtCn BT"/>
      <family val="2"/>
    </font>
    <font>
      <sz val="10"/>
      <name val="Century Gothic"/>
      <family val="2"/>
    </font>
    <font>
      <u/>
      <sz val="10"/>
      <color theme="10"/>
      <name val="Arial"/>
      <family val="2"/>
    </font>
    <font>
      <sz val="10.5"/>
      <color theme="1"/>
      <name val="Arial"/>
      <family val="2"/>
    </font>
    <font>
      <sz val="10.5"/>
      <name val="Arial"/>
      <family val="2"/>
    </font>
    <font>
      <b/>
      <sz val="10.5"/>
      <color theme="0"/>
      <name val="Swis721 LtCn BT"/>
      <family val="2"/>
    </font>
    <font>
      <sz val="10.5"/>
      <color theme="0"/>
      <name val="Swis721 LtCn BT"/>
      <family val="2"/>
    </font>
    <font>
      <sz val="10"/>
      <color rgb="FF92D050"/>
      <name val="Arial"/>
      <family val="2"/>
    </font>
    <font>
      <b/>
      <sz val="14"/>
      <name val="Swis721 LtCn BT"/>
      <family val="2"/>
    </font>
    <font>
      <b/>
      <sz val="16"/>
      <name val="Swis721 LtCn BT"/>
      <family val="2"/>
    </font>
    <font>
      <sz val="9"/>
      <color theme="1"/>
      <name val="Arial"/>
      <family val="2"/>
    </font>
    <font>
      <u/>
      <sz val="12"/>
      <name val="Arial"/>
      <family val="2"/>
    </font>
    <font>
      <sz val="8"/>
      <name val="Arial"/>
      <family val="2"/>
    </font>
    <font>
      <sz val="10"/>
      <name val="Arial"/>
      <family val="2"/>
    </font>
    <font>
      <sz val="10"/>
      <color theme="0"/>
      <name val="Arial"/>
      <family val="2"/>
    </font>
    <font>
      <sz val="20"/>
      <name val="Swis721 LtCn BT"/>
      <family val="2"/>
    </font>
    <font>
      <b/>
      <sz val="11"/>
      <color theme="0"/>
      <name val="Swis721 LtCn BT"/>
      <family val="2"/>
    </font>
    <font>
      <b/>
      <sz val="11.5"/>
      <color indexed="8"/>
      <name val="Swis721 LtCn BT"/>
      <family val="2"/>
    </font>
    <font>
      <u/>
      <sz val="11.5"/>
      <color theme="10"/>
      <name val="Swis721 LtCn BT"/>
      <family val="2"/>
    </font>
    <font>
      <sz val="12"/>
      <name val="Swis721 LtCn BT"/>
      <family val="2"/>
    </font>
    <font>
      <b/>
      <sz val="9"/>
      <color indexed="81"/>
      <name val="Tahoma"/>
      <family val="2"/>
    </font>
    <font>
      <b/>
      <sz val="12"/>
      <color theme="1"/>
      <name val="Swis721 LtCn BT"/>
      <family val="2"/>
    </font>
    <font>
      <sz val="12"/>
      <color theme="1"/>
      <name val="Swis721 LtCn BT"/>
      <family val="2"/>
    </font>
    <font>
      <sz val="22"/>
      <color rgb="FFFF0000"/>
      <name val="Swis721 LtCn BT"/>
      <family val="2"/>
    </font>
    <font>
      <u/>
      <sz val="9"/>
      <name val="Swis721 LtCn BT"/>
      <family val="2"/>
    </font>
    <font>
      <b/>
      <sz val="18"/>
      <name val="Arial"/>
      <family val="2"/>
    </font>
    <font>
      <sz val="20"/>
      <color rgb="FFFF000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249977111117893"/>
        <bgColor indexed="64"/>
      </patternFill>
    </fill>
    <fill>
      <patternFill patternType="solid">
        <fgColor rgb="FFFFC000"/>
        <bgColor indexed="64"/>
      </patternFill>
    </fill>
    <fill>
      <patternFill patternType="solid">
        <fgColor theme="6" tint="0.39997558519241921"/>
        <bgColor indexed="8"/>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8"/>
      </patternFill>
    </fill>
    <fill>
      <patternFill patternType="solid">
        <fgColor rgb="FFFFFFFF"/>
        <bgColor rgb="FFFFFFCC"/>
      </patternFill>
    </fill>
    <fill>
      <patternFill patternType="solid">
        <fgColor theme="9" tint="0.79998168889431442"/>
        <bgColor indexed="64"/>
      </patternFill>
    </fill>
    <fill>
      <patternFill patternType="solid">
        <fgColor theme="0" tint="-0.49998474074526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double">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bottom style="hair">
        <color auto="1"/>
      </bottom>
      <diagonal/>
    </border>
    <border>
      <left style="medium">
        <color auto="1"/>
      </left>
      <right/>
      <top style="double">
        <color auto="1"/>
      </top>
      <bottom style="double">
        <color auto="1"/>
      </bottom>
      <diagonal/>
    </border>
    <border>
      <left style="medium">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style="medium">
        <color auto="1"/>
      </right>
      <top style="double">
        <color auto="1"/>
      </top>
      <bottom style="double">
        <color auto="1"/>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style="double">
        <color auto="1"/>
      </right>
      <top style="double">
        <color auto="1"/>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style="hair">
        <color auto="1"/>
      </bottom>
      <diagonal/>
    </border>
    <border>
      <left style="medium">
        <color auto="1"/>
      </left>
      <right/>
      <top style="double">
        <color auto="1"/>
      </top>
      <bottom style="thick">
        <color auto="1"/>
      </bottom>
      <diagonal/>
    </border>
    <border>
      <left/>
      <right style="thin">
        <color auto="1"/>
      </right>
      <top style="thin">
        <color auto="1"/>
      </top>
      <bottom style="thin">
        <color auto="1"/>
      </bottom>
      <diagonal/>
    </border>
    <border>
      <left style="medium">
        <color auto="1"/>
      </left>
      <right style="double">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double">
        <color auto="1"/>
      </left>
      <right style="medium">
        <color auto="1"/>
      </right>
      <top style="medium">
        <color auto="1"/>
      </top>
      <bottom style="double">
        <color auto="1"/>
      </bottom>
      <diagonal/>
    </border>
    <border>
      <left style="medium">
        <color auto="1"/>
      </left>
      <right style="double">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double">
        <color auto="1"/>
      </left>
      <right style="medium">
        <color auto="1"/>
      </right>
      <top style="hair">
        <color auto="1"/>
      </top>
      <bottom style="medium">
        <color auto="1"/>
      </bottom>
      <diagonal/>
    </border>
    <border>
      <left style="medium">
        <color auto="1"/>
      </left>
      <right style="double">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thin">
        <color auto="1"/>
      </left>
      <right style="double">
        <color auto="1"/>
      </right>
      <top/>
      <bottom style="double">
        <color auto="1"/>
      </bottom>
      <diagonal/>
    </border>
    <border>
      <left style="thin">
        <color auto="1"/>
      </left>
      <right style="thin">
        <color auto="1"/>
      </right>
      <top/>
      <bottom style="double">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style="double">
        <color auto="1"/>
      </left>
      <right style="double">
        <color auto="1"/>
      </right>
      <top style="double">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double">
        <color auto="1"/>
      </left>
      <right style="medium">
        <color auto="1"/>
      </right>
      <top style="medium">
        <color auto="1"/>
      </top>
      <bottom style="hair">
        <color auto="1"/>
      </bottom>
      <diagonal/>
    </border>
    <border>
      <left style="double">
        <color auto="1"/>
      </left>
      <right/>
      <top style="double">
        <color auto="1"/>
      </top>
      <bottom style="medium">
        <color auto="1"/>
      </bottom>
      <diagonal/>
    </border>
    <border>
      <left style="double">
        <color auto="1"/>
      </left>
      <right style="thin">
        <color auto="1"/>
      </right>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medium">
        <color auto="1"/>
      </right>
      <top/>
      <bottom/>
      <diagonal/>
    </border>
    <border>
      <left style="medium">
        <color auto="1"/>
      </left>
      <right style="medium">
        <color auto="1"/>
      </right>
      <top/>
      <bottom/>
      <diagonal/>
    </border>
    <border>
      <left style="medium">
        <color auto="1"/>
      </left>
      <right style="double">
        <color auto="1"/>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427">
    <xf numFmtId="0" fontId="0" fillId="0" borderId="0"/>
    <xf numFmtId="164" fontId="10" fillId="0" borderId="0" applyFont="0" applyFill="0" applyProtection="0"/>
    <xf numFmtId="0" fontId="10" fillId="0" borderId="0"/>
    <xf numFmtId="167" fontId="13" fillId="0" borderId="0" applyFont="0" applyFill="0" applyBorder="0" applyAlignment="0" applyProtection="0"/>
    <xf numFmtId="172" fontId="10"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3" fontId="10" fillId="0" borderId="0" applyFont="0" applyFill="0" applyProtection="0"/>
    <xf numFmtId="173" fontId="10" fillId="0" borderId="0" applyFont="0" applyFill="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74" fontId="10" fillId="0" borderId="0" applyFont="0" applyFill="0" applyProtection="0"/>
    <xf numFmtId="174" fontId="10" fillId="0" borderId="0" applyFont="0" applyFill="0" applyProtection="0"/>
    <xf numFmtId="174" fontId="10" fillId="0" borderId="0" applyFont="0" applyFill="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Protection="0"/>
    <xf numFmtId="174" fontId="10" fillId="0" borderId="0" applyFont="0" applyFill="0" applyProtection="0"/>
    <xf numFmtId="174"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Protection="0"/>
    <xf numFmtId="164" fontId="10" fillId="0" borderId="0" applyFont="0" applyFill="0" applyProtection="0"/>
    <xf numFmtId="165"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176"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173" fontId="10" fillId="0" borderId="0" applyFont="0" applyFill="0" applyProtection="0"/>
    <xf numFmtId="177" fontId="10" fillId="0" borderId="0" applyFont="0" applyFill="0" applyProtection="0"/>
    <xf numFmtId="177" fontId="10" fillId="0" borderId="0" applyFont="0" applyFill="0" applyProtection="0"/>
    <xf numFmtId="177" fontId="10" fillId="0" borderId="0" applyFont="0" applyFill="0" applyProtection="0"/>
    <xf numFmtId="173" fontId="10" fillId="0" borderId="0" applyFont="0" applyFill="0" applyProtection="0"/>
    <xf numFmtId="173" fontId="10" fillId="0" borderId="0" applyFont="0" applyFill="0" applyProtection="0"/>
    <xf numFmtId="176" fontId="10" fillId="0" borderId="0" applyFont="0" applyFill="0" applyProtection="0"/>
    <xf numFmtId="176"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8" fontId="10" fillId="0" borderId="0" applyFont="0" applyFill="0" applyProtection="0"/>
    <xf numFmtId="178" fontId="10" fillId="0" borderId="0" applyFont="0" applyFill="0" applyProtection="0"/>
    <xf numFmtId="178" fontId="10" fillId="0" borderId="0" applyFont="0" applyFill="0" applyProtection="0"/>
    <xf numFmtId="164" fontId="10" fillId="0" borderId="0" applyFont="0" applyFill="0" applyProtection="0"/>
    <xf numFmtId="164" fontId="10" fillId="0" borderId="0" applyFont="0" applyFill="0" applyProtection="0"/>
    <xf numFmtId="164" fontId="10" fillId="0" borderId="0" applyFont="0" applyFill="0" applyProtection="0"/>
    <xf numFmtId="164" fontId="10" fillId="0" borderId="0" applyFont="0" applyFill="0" applyProtection="0"/>
    <xf numFmtId="164"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2" fontId="10" fillId="0" borderId="0" applyFont="0" applyFill="0" applyProtection="0"/>
    <xf numFmtId="12" fontId="10" fillId="0" borderId="0" applyFont="0" applyFill="0" applyProtection="0"/>
    <xf numFmtId="12" fontId="10" fillId="0" borderId="0" applyFont="0" applyFill="0" applyProtection="0"/>
    <xf numFmtId="41" fontId="1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8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13" fontId="10" fillId="0" borderId="0" applyFont="0" applyFill="0" applyProtection="0"/>
    <xf numFmtId="13" fontId="10" fillId="0" borderId="0" applyFont="0" applyFill="0" applyProtection="0"/>
    <xf numFmtId="13" fontId="10" fillId="0" borderId="0" applyFont="0" applyFill="0" applyProtection="0"/>
    <xf numFmtId="13" fontId="10" fillId="0" borderId="0" applyFont="0" applyFill="0" applyProtection="0"/>
    <xf numFmtId="13" fontId="10" fillId="0" borderId="0" applyFont="0" applyFill="0" applyProtection="0"/>
    <xf numFmtId="9" fontId="10" fillId="0" borderId="0" applyFont="0" applyFill="0" applyBorder="0" applyAlignment="0" applyProtection="0"/>
    <xf numFmtId="0" fontId="10" fillId="0" borderId="0"/>
    <xf numFmtId="0" fontId="10" fillId="0" borderId="0"/>
    <xf numFmtId="0" fontId="10" fillId="0" borderId="0"/>
    <xf numFmtId="0" fontId="18"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3" fontId="12" fillId="0" borderId="0">
      <alignment horizontal="center" vertical="center"/>
    </xf>
    <xf numFmtId="0" fontId="21" fillId="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4" applyNumberFormat="0" applyAlignment="0" applyProtection="0"/>
    <xf numFmtId="0" fontId="24" fillId="23" borderId="4" applyNumberFormat="0" applyAlignment="0" applyProtection="0"/>
    <xf numFmtId="0" fontId="24" fillId="23" borderId="4" applyNumberFormat="0" applyAlignment="0" applyProtection="0"/>
    <xf numFmtId="0" fontId="24" fillId="23" borderId="4" applyNumberFormat="0" applyAlignment="0" applyProtection="0"/>
    <xf numFmtId="0" fontId="25" fillId="24" borderId="5" applyNumberFormat="0" applyAlignment="0" applyProtection="0"/>
    <xf numFmtId="0" fontId="25" fillId="24" borderId="5" applyNumberFormat="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5" fillId="24" borderId="5" applyNumberFormat="0" applyAlignment="0" applyProtection="0"/>
    <xf numFmtId="0" fontId="27" fillId="0" borderId="0">
      <alignment horizontal="left" vertical="top"/>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9" fillId="13" borderId="4" applyNumberFormat="0" applyAlignment="0" applyProtection="0"/>
    <xf numFmtId="0" fontId="29" fillId="13" borderId="4" applyNumberFormat="0" applyAlignment="0" applyProtection="0"/>
    <xf numFmtId="0" fontId="29" fillId="13" borderId="4" applyNumberFormat="0" applyAlignment="0" applyProtection="0"/>
    <xf numFmtId="0" fontId="10" fillId="27" borderId="1" applyNumberFormat="0" applyFont="0" applyFill="0" applyBorder="0" applyAlignment="0" applyProtection="0">
      <alignment horizontal="center" vertical="center" wrapText="1"/>
      <protection locked="0"/>
    </xf>
    <xf numFmtId="0" fontId="30" fillId="0" borderId="0" applyNumberFormat="0" applyFill="0" applyBorder="0" applyAlignment="0" applyProtection="0"/>
    <xf numFmtId="0" fontId="31" fillId="0" borderId="0">
      <alignment horizontal="centerContinuous"/>
    </xf>
    <xf numFmtId="0" fontId="22" fillId="4" borderId="0" applyNumberFormat="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9" fillId="7" borderId="4" applyNumberFormat="0" applyAlignment="0" applyProtection="0"/>
    <xf numFmtId="0" fontId="35" fillId="0" borderId="10" applyNumberFormat="0" applyFill="0" applyAlignment="0" applyProtection="0"/>
    <xf numFmtId="174" fontId="10" fillId="0" borderId="0" applyFont="0" applyFill="0" applyProtection="0"/>
    <xf numFmtId="182" fontId="10" fillId="0" borderId="0" applyFont="0" applyFill="0" applyBorder="0" applyAlignment="0" applyProtection="0"/>
    <xf numFmtId="167"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67" fontId="10" fillId="0" borderId="0" applyFont="0" applyFill="0" applyBorder="0" applyAlignment="0" applyProtection="0"/>
    <xf numFmtId="182"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0" borderId="0"/>
    <xf numFmtId="0" fontId="37" fillId="0" borderId="0"/>
    <xf numFmtId="0" fontId="19" fillId="0" borderId="0"/>
    <xf numFmtId="0" fontId="19" fillId="0" borderId="0"/>
    <xf numFmtId="0" fontId="19" fillId="0" borderId="0"/>
    <xf numFmtId="0" fontId="19" fillId="0" borderId="0"/>
    <xf numFmtId="0" fontId="37" fillId="0" borderId="0"/>
    <xf numFmtId="0" fontId="10" fillId="0" borderId="0"/>
    <xf numFmtId="0" fontId="10" fillId="10" borderId="11" applyNumberFormat="0" applyFont="0" applyAlignment="0" applyProtection="0"/>
    <xf numFmtId="0" fontId="10" fillId="10" borderId="11" applyNumberFormat="0" applyFont="0" applyAlignment="0" applyProtection="0"/>
    <xf numFmtId="0" fontId="10" fillId="10" borderId="11" applyNumberFormat="0" applyFont="0" applyAlignment="0" applyProtection="0"/>
    <xf numFmtId="0" fontId="10" fillId="10" borderId="11" applyNumberFormat="0" applyFont="0" applyAlignment="0" applyProtection="0"/>
    <xf numFmtId="0" fontId="38" fillId="22" borderId="12" applyNumberFormat="0" applyAlignment="0" applyProtection="0"/>
    <xf numFmtId="13" fontId="10" fillId="0" borderId="0" applyFont="0" applyFill="0" applyProtection="0"/>
    <xf numFmtId="13" fontId="10" fillId="0" borderId="0" applyFont="0" applyFill="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3" fontId="10" fillId="0" borderId="0" applyFont="0" applyFill="0" applyBorder="0" applyAlignment="0" applyProtection="0"/>
    <xf numFmtId="0" fontId="38" fillId="23" borderId="12" applyNumberFormat="0" applyAlignment="0" applyProtection="0"/>
    <xf numFmtId="0" fontId="38" fillId="23" borderId="12" applyNumberFormat="0" applyAlignment="0" applyProtection="0"/>
    <xf numFmtId="0" fontId="38" fillId="23"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9" fillId="0" borderId="2" applyBorder="0">
      <alignment horizontal="center"/>
    </xf>
    <xf numFmtId="0" fontId="40" fillId="0" borderId="0" applyNumberFormat="0" applyFill="0" applyBorder="0" applyAlignment="0" applyProtection="0"/>
    <xf numFmtId="0" fontId="41" fillId="0" borderId="0">
      <alignment horizontal="left" vertical="top"/>
    </xf>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10" fillId="0" borderId="0">
      <alignment horizontal="left" vertical="top"/>
    </xf>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15" fillId="0" borderId="0">
      <alignment horizontal="left" vertical="top"/>
    </xf>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9" fillId="0" borderId="0">
      <alignment horizontal="left" vertical="top"/>
    </xf>
    <xf numFmtId="0" fontId="26" fillId="0" borderId="0" applyNumberFormat="0" applyFill="0" applyBorder="0" applyAlignment="0" applyProtection="0"/>
    <xf numFmtId="180"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9" fillId="0" borderId="0"/>
    <xf numFmtId="0" fontId="52" fillId="0" borderId="0"/>
    <xf numFmtId="0" fontId="8" fillId="0" borderId="0"/>
    <xf numFmtId="0" fontId="7" fillId="0" borderId="0"/>
    <xf numFmtId="186" fontId="10" fillId="0" borderId="0"/>
    <xf numFmtId="0" fontId="6" fillId="0" borderId="0"/>
    <xf numFmtId="0" fontId="5" fillId="0" borderId="0"/>
    <xf numFmtId="0" fontId="4" fillId="0" borderId="0"/>
    <xf numFmtId="0" fontId="3" fillId="0" borderId="0"/>
    <xf numFmtId="0" fontId="3"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9" fontId="84" fillId="0" borderId="0" applyFont="0" applyFill="0" applyBorder="0" applyAlignment="0" applyProtection="0"/>
    <xf numFmtId="0" fontId="2" fillId="0" borderId="0"/>
    <xf numFmtId="0" fontId="10" fillId="0" borderId="0"/>
    <xf numFmtId="0" fontId="90"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4" fillId="0" borderId="0" applyFont="0" applyFill="0" applyBorder="0" applyAlignment="0" applyProtection="0"/>
    <xf numFmtId="0" fontId="23" fillId="22" borderId="72" applyNumberFormat="0" applyAlignment="0" applyProtection="0"/>
    <xf numFmtId="0" fontId="24" fillId="23" borderId="72" applyNumberFormat="0" applyAlignment="0" applyProtection="0"/>
    <xf numFmtId="0" fontId="24" fillId="23" borderId="72" applyNumberFormat="0" applyAlignment="0" applyProtection="0"/>
    <xf numFmtId="0" fontId="24" fillId="23" borderId="72" applyNumberFormat="0" applyAlignment="0" applyProtection="0"/>
    <xf numFmtId="0" fontId="29" fillId="13" borderId="72" applyNumberFormat="0" applyAlignment="0" applyProtection="0"/>
    <xf numFmtId="0" fontId="29" fillId="13" borderId="72" applyNumberFormat="0" applyAlignment="0" applyProtection="0"/>
    <xf numFmtId="0" fontId="29" fillId="13" borderId="72" applyNumberFormat="0" applyAlignment="0" applyProtection="0"/>
    <xf numFmtId="0" fontId="10" fillId="27" borderId="41" applyNumberFormat="0" applyFont="0" applyFill="0" applyBorder="0" applyAlignment="0" applyProtection="0">
      <alignment horizontal="center" vertical="center" wrapText="1"/>
      <protection locked="0"/>
    </xf>
    <xf numFmtId="0" fontId="29" fillId="7" borderId="72" applyNumberFormat="0" applyAlignment="0" applyProtection="0"/>
    <xf numFmtId="0" fontId="10" fillId="10" borderId="73" applyNumberFormat="0" applyFont="0" applyAlignment="0" applyProtection="0"/>
    <xf numFmtId="0" fontId="10" fillId="10" borderId="73" applyNumberFormat="0" applyFont="0" applyAlignment="0" applyProtection="0"/>
    <xf numFmtId="0" fontId="10" fillId="10" borderId="73" applyNumberFormat="0" applyFont="0" applyAlignment="0" applyProtection="0"/>
    <xf numFmtId="0" fontId="10" fillId="10" borderId="73" applyNumberFormat="0" applyFont="0" applyAlignment="0" applyProtection="0"/>
    <xf numFmtId="0" fontId="38" fillId="22"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45" fillId="0" borderId="75" applyNumberFormat="0" applyFill="0" applyAlignment="0" applyProtection="0"/>
    <xf numFmtId="0" fontId="45" fillId="0" borderId="75" applyNumberFormat="0" applyFill="0" applyAlignment="0" applyProtection="0"/>
    <xf numFmtId="0" fontId="45" fillId="0" borderId="7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41" fontId="101" fillId="0" borderId="0" applyFont="0" applyFill="0" applyBorder="0" applyAlignment="0" applyProtection="0"/>
  </cellStyleXfs>
  <cellXfs count="567">
    <xf numFmtId="0" fontId="0" fillId="0" borderId="0" xfId="0"/>
    <xf numFmtId="0" fontId="0" fillId="0" borderId="0" xfId="0" applyAlignment="1" applyProtection="1">
      <alignment vertical="center" wrapText="1"/>
    </xf>
    <xf numFmtId="0" fontId="0" fillId="0" borderId="0" xfId="0" applyFill="1" applyAlignment="1" applyProtection="1">
      <alignment vertical="center" wrapText="1"/>
    </xf>
    <xf numFmtId="0" fontId="48" fillId="0" borderId="0" xfId="344" applyFont="1" applyAlignment="1">
      <alignment vertical="center"/>
    </xf>
    <xf numFmtId="0" fontId="48" fillId="33" borderId="1" xfId="344" applyFont="1" applyFill="1" applyBorder="1" applyAlignment="1">
      <alignment horizontal="justify" vertical="center" wrapText="1"/>
    </xf>
    <xf numFmtId="0" fontId="48" fillId="33" borderId="1" xfId="344" applyFont="1" applyFill="1" applyBorder="1" applyAlignment="1">
      <alignment vertical="center"/>
    </xf>
    <xf numFmtId="0" fontId="50" fillId="33" borderId="1" xfId="344" applyFont="1" applyFill="1" applyBorder="1" applyAlignment="1">
      <alignment horizontal="center" vertical="center" wrapText="1"/>
    </xf>
    <xf numFmtId="0" fontId="14" fillId="30" borderId="0" xfId="350" applyFont="1" applyFill="1" applyBorder="1" applyAlignment="1">
      <alignment horizontal="center" vertical="center" wrapText="1"/>
    </xf>
    <xf numFmtId="0" fontId="48" fillId="0" borderId="0" xfId="350" applyFont="1" applyAlignment="1">
      <alignment vertical="center"/>
    </xf>
    <xf numFmtId="0" fontId="48" fillId="0" borderId="0" xfId="350" applyFont="1" applyFill="1" applyAlignment="1">
      <alignment vertical="center"/>
    </xf>
    <xf numFmtId="0" fontId="62" fillId="0" borderId="0" xfId="351" applyFont="1"/>
    <xf numFmtId="0" fontId="48" fillId="0" borderId="1" xfId="344" applyFont="1" applyFill="1" applyBorder="1" applyAlignment="1">
      <alignment horizontal="center" vertical="center"/>
    </xf>
    <xf numFmtId="0" fontId="50" fillId="30" borderId="1" xfId="350" applyFont="1" applyFill="1" applyBorder="1" applyAlignment="1">
      <alignment vertical="center" wrapText="1"/>
    </xf>
    <xf numFmtId="0" fontId="49" fillId="30" borderId="1" xfId="350" applyFont="1" applyFill="1" applyBorder="1" applyAlignment="1">
      <alignment horizontal="center" vertical="center" wrapText="1"/>
    </xf>
    <xf numFmtId="0" fontId="59" fillId="32" borderId="1" xfId="350" applyFont="1" applyFill="1" applyBorder="1" applyAlignment="1">
      <alignment vertical="center"/>
    </xf>
    <xf numFmtId="0" fontId="48" fillId="32" borderId="1" xfId="350" applyFont="1" applyFill="1" applyBorder="1" applyAlignment="1">
      <alignment vertical="center"/>
    </xf>
    <xf numFmtId="0" fontId="66" fillId="0" borderId="0" xfId="104" applyFont="1"/>
    <xf numFmtId="0" fontId="10" fillId="0" borderId="0" xfId="104"/>
    <xf numFmtId="0" fontId="10" fillId="30" borderId="0" xfId="104" applyFont="1" applyFill="1"/>
    <xf numFmtId="0" fontId="58" fillId="0" borderId="0" xfId="104" applyFont="1"/>
    <xf numFmtId="0" fontId="14" fillId="0" borderId="0" xfId="104" applyFont="1"/>
    <xf numFmtId="0" fontId="71" fillId="28" borderId="33" xfId="356" applyFont="1" applyFill="1" applyBorder="1" applyAlignment="1">
      <alignment horizontal="center" vertical="center"/>
    </xf>
    <xf numFmtId="0" fontId="71" fillId="28" borderId="25" xfId="356" applyFont="1" applyFill="1" applyBorder="1" applyAlignment="1">
      <alignment horizontal="center" vertical="center" wrapText="1"/>
    </xf>
    <xf numFmtId="0" fontId="71" fillId="28" borderId="34" xfId="356" applyFont="1" applyFill="1" applyBorder="1" applyAlignment="1">
      <alignment horizontal="center" vertical="center" wrapText="1"/>
    </xf>
    <xf numFmtId="0" fontId="71" fillId="28" borderId="26" xfId="356" applyFont="1" applyFill="1" applyBorder="1" applyAlignment="1">
      <alignment horizontal="center" vertical="center" wrapText="1"/>
    </xf>
    <xf numFmtId="0" fontId="70" fillId="36" borderId="33" xfId="356" applyFont="1" applyFill="1" applyBorder="1" applyAlignment="1">
      <alignment horizontal="center" vertical="center"/>
    </xf>
    <xf numFmtId="0" fontId="72" fillId="31" borderId="38" xfId="356" applyFont="1" applyFill="1" applyBorder="1" applyAlignment="1">
      <alignment horizontal="center" vertical="center"/>
    </xf>
    <xf numFmtId="0" fontId="70" fillId="32" borderId="45" xfId="356" applyFont="1" applyFill="1" applyBorder="1" applyAlignment="1">
      <alignment horizontal="center" vertical="center"/>
    </xf>
    <xf numFmtId="190" fontId="70" fillId="32" borderId="47" xfId="356" applyNumberFormat="1" applyFont="1" applyFill="1" applyBorder="1" applyAlignment="1">
      <alignment horizontal="center" vertical="center"/>
    </xf>
    <xf numFmtId="0" fontId="10" fillId="0" borderId="0" xfId="356" applyAlignment="1">
      <alignment horizontal="center" vertical="center"/>
    </xf>
    <xf numFmtId="0" fontId="70" fillId="32" borderId="33" xfId="356" applyFont="1" applyFill="1" applyBorder="1" applyAlignment="1">
      <alignment horizontal="center" vertical="center"/>
    </xf>
    <xf numFmtId="190" fontId="71" fillId="31" borderId="43" xfId="356" applyNumberFormat="1" applyFont="1" applyFill="1" applyBorder="1" applyAlignment="1">
      <alignment horizontal="center" vertical="center"/>
    </xf>
    <xf numFmtId="4" fontId="71" fillId="31" borderId="43" xfId="356" applyNumberFormat="1" applyFont="1" applyFill="1" applyBorder="1" applyAlignment="1">
      <alignment horizontal="center" vertical="center"/>
    </xf>
    <xf numFmtId="9" fontId="71" fillId="31" borderId="43" xfId="356" applyNumberFormat="1" applyFont="1" applyFill="1" applyBorder="1" applyAlignment="1">
      <alignment horizontal="center" vertical="center"/>
    </xf>
    <xf numFmtId="0" fontId="48" fillId="0" borderId="1" xfId="344" applyFont="1" applyFill="1" applyBorder="1" applyAlignment="1">
      <alignment horizontal="center" vertical="center" wrapText="1"/>
    </xf>
    <xf numFmtId="0" fontId="62" fillId="0" borderId="41" xfId="351" applyFont="1" applyBorder="1" applyAlignment="1">
      <alignment horizontal="center" vertical="center"/>
    </xf>
    <xf numFmtId="21" fontId="62" fillId="0" borderId="41" xfId="351" applyNumberFormat="1" applyFont="1" applyBorder="1" applyAlignment="1">
      <alignment horizontal="center" vertical="center"/>
    </xf>
    <xf numFmtId="0" fontId="62" fillId="0" borderId="41" xfId="351" applyFont="1" applyBorder="1" applyAlignment="1">
      <alignment horizontal="left" vertical="center" wrapText="1"/>
    </xf>
    <xf numFmtId="0" fontId="62" fillId="0" borderId="41" xfId="351" applyFont="1" applyBorder="1" applyAlignment="1">
      <alignment horizontal="center" vertical="center" wrapText="1"/>
    </xf>
    <xf numFmtId="49" fontId="62" fillId="0" borderId="53" xfId="351" applyNumberFormat="1" applyFont="1" applyBorder="1" applyAlignment="1">
      <alignment horizontal="center" vertical="center"/>
    </xf>
    <xf numFmtId="0" fontId="62" fillId="0" borderId="53" xfId="351" applyFont="1" applyBorder="1" applyAlignment="1">
      <alignment horizontal="center" vertical="center"/>
    </xf>
    <xf numFmtId="21" fontId="62" fillId="0" borderId="53" xfId="351" applyNumberFormat="1" applyFont="1" applyBorder="1" applyAlignment="1">
      <alignment horizontal="center" vertical="center"/>
    </xf>
    <xf numFmtId="0" fontId="62" fillId="0" borderId="53" xfId="351" applyFont="1" applyBorder="1" applyAlignment="1">
      <alignment horizontal="left" vertical="center" wrapText="1"/>
    </xf>
    <xf numFmtId="0" fontId="64" fillId="29" borderId="41" xfId="351" applyFont="1" applyFill="1" applyBorder="1" applyAlignment="1">
      <alignment horizontal="center" vertical="center"/>
    </xf>
    <xf numFmtId="0" fontId="64" fillId="29" borderId="41" xfId="351" applyFont="1" applyFill="1" applyBorder="1" applyAlignment="1">
      <alignment horizontal="center" vertical="center" wrapText="1"/>
    </xf>
    <xf numFmtId="0" fontId="41" fillId="0" borderId="41" xfId="0" applyFont="1" applyFill="1" applyBorder="1" applyAlignment="1" applyProtection="1">
      <alignment horizontal="center" vertical="center" wrapText="1"/>
    </xf>
    <xf numFmtId="0" fontId="41" fillId="0" borderId="41" xfId="2" applyFont="1" applyBorder="1" applyAlignment="1" applyProtection="1">
      <alignment horizontal="center" vertical="center" wrapText="1"/>
    </xf>
    <xf numFmtId="49" fontId="58" fillId="0" borderId="41" xfId="0" applyNumberFormat="1" applyFont="1" applyFill="1" applyBorder="1" applyAlignment="1" applyProtection="1">
      <alignment horizontal="center" vertical="center" wrapText="1"/>
    </xf>
    <xf numFmtId="0" fontId="58" fillId="0" borderId="41" xfId="0" applyFont="1" applyBorder="1" applyAlignment="1">
      <alignment vertical="center"/>
    </xf>
    <xf numFmtId="0" fontId="64" fillId="0" borderId="20" xfId="351" applyFont="1" applyFill="1" applyBorder="1" applyAlignment="1">
      <alignment wrapText="1"/>
    </xf>
    <xf numFmtId="0" fontId="64" fillId="0" borderId="21" xfId="351" applyFont="1" applyFill="1" applyBorder="1" applyAlignment="1">
      <alignment vertical="center" wrapText="1"/>
    </xf>
    <xf numFmtId="0" fontId="64" fillId="0" borderId="17" xfId="351" applyFont="1" applyFill="1" applyBorder="1" applyAlignment="1">
      <alignment vertical="center" wrapText="1"/>
    </xf>
    <xf numFmtId="0" fontId="62" fillId="0" borderId="53" xfId="351" applyFont="1" applyBorder="1" applyAlignment="1">
      <alignment horizontal="center" vertical="center" wrapText="1"/>
    </xf>
    <xf numFmtId="0" fontId="62" fillId="33" borderId="1" xfId="350" applyFont="1" applyFill="1" applyBorder="1" applyAlignment="1">
      <alignment horizontal="center" vertical="center" wrapText="1"/>
    </xf>
    <xf numFmtId="0" fontId="77" fillId="33" borderId="1" xfId="350" applyFont="1" applyFill="1" applyBorder="1" applyAlignment="1">
      <alignment vertical="center" wrapText="1"/>
    </xf>
    <xf numFmtId="0" fontId="64" fillId="33" borderId="1" xfId="350" applyFont="1" applyFill="1" applyBorder="1" applyAlignment="1">
      <alignment horizontal="center" vertical="center" wrapText="1"/>
    </xf>
    <xf numFmtId="0" fontId="62" fillId="0" borderId="0" xfId="350" applyFont="1" applyFill="1" applyAlignment="1">
      <alignment vertical="center"/>
    </xf>
    <xf numFmtId="3" fontId="64" fillId="33" borderId="1" xfId="350" applyNumberFormat="1" applyFont="1" applyFill="1" applyBorder="1" applyAlignment="1">
      <alignment horizontal="center" vertical="center" wrapText="1"/>
    </xf>
    <xf numFmtId="0" fontId="41" fillId="30" borderId="3" xfId="350" applyFont="1" applyFill="1" applyBorder="1" applyAlignment="1">
      <alignment horizontal="center" vertical="center" wrapText="1"/>
    </xf>
    <xf numFmtId="0" fontId="62" fillId="30" borderId="1" xfId="350" applyFont="1" applyFill="1" applyBorder="1" applyAlignment="1">
      <alignment horizontal="center" vertical="center" wrapText="1"/>
    </xf>
    <xf numFmtId="0" fontId="64" fillId="32" borderId="1" xfId="350" applyFont="1" applyFill="1" applyBorder="1" applyAlignment="1">
      <alignment horizontal="center" vertical="center" wrapText="1"/>
    </xf>
    <xf numFmtId="0" fontId="62" fillId="0" borderId="0" xfId="350" applyFont="1" applyAlignment="1">
      <alignment vertical="center"/>
    </xf>
    <xf numFmtId="0" fontId="14" fillId="0" borderId="51" xfId="0" applyFont="1" applyFill="1" applyBorder="1" applyAlignment="1" applyProtection="1">
      <alignment horizontal="center" vertical="center" wrapText="1"/>
    </xf>
    <xf numFmtId="49" fontId="49" fillId="33" borderId="1" xfId="344" applyNumberFormat="1" applyFont="1" applyFill="1" applyBorder="1" applyAlignment="1">
      <alignment horizontal="center" vertical="center" wrapText="1"/>
    </xf>
    <xf numFmtId="0" fontId="49" fillId="33" borderId="1" xfId="344" applyFont="1" applyFill="1" applyBorder="1" applyAlignment="1">
      <alignment horizontal="left" vertical="center" wrapText="1"/>
    </xf>
    <xf numFmtId="0" fontId="48" fillId="0" borderId="0" xfId="350" applyFont="1" applyFill="1" applyBorder="1" applyAlignment="1">
      <alignment vertical="center"/>
    </xf>
    <xf numFmtId="0" fontId="70" fillId="36" borderId="34" xfId="356" applyFont="1" applyFill="1" applyBorder="1" applyAlignment="1">
      <alignment horizontal="left" vertical="center" wrapText="1"/>
    </xf>
    <xf numFmtId="0" fontId="66" fillId="36" borderId="34" xfId="356" applyFont="1" applyFill="1" applyBorder="1" applyAlignment="1">
      <alignment vertical="center"/>
    </xf>
    <xf numFmtId="0" fontId="66" fillId="36" borderId="39" xfId="356" applyFont="1" applyFill="1" applyBorder="1" applyAlignment="1">
      <alignment vertical="center"/>
    </xf>
    <xf numFmtId="0" fontId="66" fillId="36" borderId="40" xfId="356" applyFont="1" applyFill="1" applyBorder="1" applyAlignment="1">
      <alignment vertical="center"/>
    </xf>
    <xf numFmtId="0" fontId="70" fillId="28" borderId="33" xfId="356" applyFont="1" applyFill="1" applyBorder="1" applyAlignment="1">
      <alignment horizontal="center" vertical="center"/>
    </xf>
    <xf numFmtId="0" fontId="70" fillId="28" borderId="34" xfId="356" applyFont="1" applyFill="1" applyBorder="1" applyAlignment="1">
      <alignment horizontal="justify" vertical="center" wrapText="1"/>
    </xf>
    <xf numFmtId="0" fontId="72" fillId="28" borderId="34" xfId="356" applyFont="1" applyFill="1" applyBorder="1" applyAlignment="1">
      <alignment vertical="center"/>
    </xf>
    <xf numFmtId="0" fontId="72" fillId="28" borderId="39" xfId="356" applyFont="1" applyFill="1" applyBorder="1" applyAlignment="1">
      <alignment vertical="center"/>
    </xf>
    <xf numFmtId="191" fontId="72" fillId="28" borderId="40" xfId="356" applyNumberFormat="1" applyFont="1" applyFill="1" applyBorder="1" applyAlignment="1">
      <alignment vertical="center"/>
    </xf>
    <xf numFmtId="0" fontId="72" fillId="36" borderId="34" xfId="356" applyFont="1" applyFill="1" applyBorder="1" applyAlignment="1">
      <alignment vertical="center"/>
    </xf>
    <xf numFmtId="0" fontId="72" fillId="36" borderId="39" xfId="356" applyFont="1" applyFill="1" applyBorder="1" applyAlignment="1">
      <alignment vertical="center"/>
    </xf>
    <xf numFmtId="191" fontId="72" fillId="36" borderId="40" xfId="356" applyNumberFormat="1" applyFont="1" applyFill="1" applyBorder="1" applyAlignment="1">
      <alignment vertical="center"/>
    </xf>
    <xf numFmtId="2" fontId="72" fillId="28" borderId="34" xfId="356" applyNumberFormat="1" applyFont="1" applyFill="1" applyBorder="1" applyAlignment="1">
      <alignment vertical="center"/>
    </xf>
    <xf numFmtId="2" fontId="72" fillId="28" borderId="39" xfId="356" applyNumberFormat="1" applyFont="1" applyFill="1" applyBorder="1" applyAlignment="1">
      <alignment vertical="center"/>
    </xf>
    <xf numFmtId="2" fontId="72" fillId="36" borderId="34" xfId="356" applyNumberFormat="1" applyFont="1" applyFill="1" applyBorder="1" applyAlignment="1">
      <alignment vertical="center"/>
    </xf>
    <xf numFmtId="2" fontId="72" fillId="36" borderId="39" xfId="356" applyNumberFormat="1" applyFont="1" applyFill="1" applyBorder="1" applyAlignment="1">
      <alignment vertical="center"/>
    </xf>
    <xf numFmtId="9" fontId="71" fillId="31" borderId="54" xfId="356" applyNumberFormat="1" applyFont="1" applyFill="1" applyBorder="1" applyAlignment="1">
      <alignment horizontal="center" vertical="center"/>
    </xf>
    <xf numFmtId="9" fontId="70" fillId="33" borderId="39" xfId="356" applyNumberFormat="1" applyFont="1" applyFill="1" applyBorder="1" applyAlignment="1">
      <alignment horizontal="center" vertical="center" wrapText="1"/>
    </xf>
    <xf numFmtId="0" fontId="71" fillId="28" borderId="42" xfId="356" applyFont="1" applyFill="1" applyBorder="1" applyAlignment="1">
      <alignment horizontal="center" vertical="center" wrapText="1"/>
    </xf>
    <xf numFmtId="49" fontId="58" fillId="0" borderId="0" xfId="0" applyNumberFormat="1" applyFont="1" applyFill="1" applyBorder="1" applyAlignment="1" applyProtection="1">
      <alignment horizontal="center" vertical="center" wrapText="1"/>
    </xf>
    <xf numFmtId="0" fontId="58" fillId="0" borderId="0" xfId="0" applyFont="1" applyBorder="1" applyAlignment="1">
      <alignment vertical="center"/>
    </xf>
    <xf numFmtId="0" fontId="0" fillId="0" borderId="0" xfId="0" applyFill="1"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horizontal="left" vertical="center"/>
    </xf>
    <xf numFmtId="189" fontId="62" fillId="0" borderId="53" xfId="351" applyNumberFormat="1" applyFont="1" applyBorder="1" applyAlignment="1">
      <alignment horizontal="center" vertical="center" wrapText="1"/>
    </xf>
    <xf numFmtId="3" fontId="62" fillId="0" borderId="41" xfId="351" applyNumberFormat="1" applyFont="1" applyBorder="1" applyAlignment="1">
      <alignment horizontal="center" vertical="center" wrapText="1"/>
    </xf>
    <xf numFmtId="189" fontId="62" fillId="0" borderId="41" xfId="351" applyNumberFormat="1" applyFont="1" applyBorder="1" applyAlignment="1">
      <alignment horizontal="center" vertical="center" wrapText="1"/>
    </xf>
    <xf numFmtId="10" fontId="70" fillId="33" borderId="34" xfId="356" applyNumberFormat="1" applyFont="1" applyFill="1" applyBorder="1" applyAlignment="1">
      <alignment horizontal="center" vertical="center" wrapText="1"/>
    </xf>
    <xf numFmtId="10" fontId="71" fillId="31" borderId="43" xfId="356" applyNumberFormat="1" applyFont="1" applyFill="1" applyBorder="1" applyAlignment="1">
      <alignment horizontal="center" vertical="center"/>
    </xf>
    <xf numFmtId="0" fontId="71" fillId="31" borderId="43" xfId="356" applyFont="1" applyFill="1" applyBorder="1" applyAlignment="1">
      <alignment horizontal="left" vertical="center" wrapText="1"/>
    </xf>
    <xf numFmtId="0" fontId="10" fillId="0" borderId="0" xfId="104" applyFont="1"/>
    <xf numFmtId="0" fontId="76" fillId="0" borderId="0" xfId="104" applyFont="1" applyAlignment="1"/>
    <xf numFmtId="0" fontId="76" fillId="0" borderId="0" xfId="104" applyFont="1" applyAlignment="1">
      <alignment vertical="center"/>
    </xf>
    <xf numFmtId="0" fontId="60" fillId="0" borderId="0" xfId="104" applyFont="1" applyAlignment="1">
      <alignment vertical="center"/>
    </xf>
    <xf numFmtId="0" fontId="67" fillId="0" borderId="0" xfId="104" applyFont="1"/>
    <xf numFmtId="0" fontId="89" fillId="0" borderId="0" xfId="104" applyFont="1" applyAlignment="1">
      <alignment horizontal="center" vertical="center"/>
    </xf>
    <xf numFmtId="0" fontId="91" fillId="0" borderId="0" xfId="104" applyFont="1" applyAlignment="1">
      <alignment horizontal="center" vertical="center"/>
    </xf>
    <xf numFmtId="0" fontId="92" fillId="0" borderId="0" xfId="104" applyFont="1"/>
    <xf numFmtId="0" fontId="10" fillId="0" borderId="0" xfId="356" applyAlignment="1">
      <alignment vertical="center"/>
    </xf>
    <xf numFmtId="0" fontId="72" fillId="30" borderId="38" xfId="356" applyFont="1" applyFill="1" applyBorder="1" applyAlignment="1">
      <alignment horizontal="center" vertical="center"/>
    </xf>
    <xf numFmtId="0" fontId="70" fillId="32" borderId="46" xfId="356" applyFont="1" applyFill="1" applyBorder="1" applyAlignment="1">
      <alignment horizontal="left" vertical="center" wrapText="1"/>
    </xf>
    <xf numFmtId="0" fontId="66" fillId="32" borderId="46" xfId="356" applyFont="1" applyFill="1" applyBorder="1" applyAlignment="1">
      <alignment vertical="center"/>
    </xf>
    <xf numFmtId="0" fontId="66" fillId="32" borderId="55" xfId="356" applyFont="1" applyFill="1" applyBorder="1" applyAlignment="1">
      <alignment vertical="center"/>
    </xf>
    <xf numFmtId="0" fontId="70" fillId="32" borderId="34" xfId="356" applyFont="1" applyFill="1" applyBorder="1" applyAlignment="1">
      <alignment horizontal="left" vertical="center" wrapText="1"/>
    </xf>
    <xf numFmtId="0" fontId="66" fillId="32" borderId="34" xfId="356" applyFont="1" applyFill="1" applyBorder="1" applyAlignment="1">
      <alignment vertical="center"/>
    </xf>
    <xf numFmtId="0" fontId="66" fillId="32" borderId="39" xfId="356" applyFont="1" applyFill="1" applyBorder="1" applyAlignment="1">
      <alignment vertical="center"/>
    </xf>
    <xf numFmtId="190" fontId="70" fillId="32" borderId="40" xfId="356" applyNumberFormat="1" applyFont="1" applyFill="1" applyBorder="1" applyAlignment="1">
      <alignment horizontal="center" vertical="center"/>
    </xf>
    <xf numFmtId="190" fontId="71" fillId="31" borderId="44" xfId="356" applyNumberFormat="1" applyFont="1" applyFill="1" applyBorder="1" applyAlignment="1">
      <alignment horizontal="center" vertical="center"/>
    </xf>
    <xf numFmtId="0" fontId="71" fillId="30" borderId="43" xfId="356" applyFont="1" applyFill="1" applyBorder="1" applyAlignment="1">
      <alignment horizontal="left" vertical="center" wrapText="1"/>
    </xf>
    <xf numFmtId="190" fontId="71" fillId="30" borderId="43" xfId="356" applyNumberFormat="1" applyFont="1" applyFill="1" applyBorder="1" applyAlignment="1">
      <alignment horizontal="center" vertical="center"/>
    </xf>
    <xf numFmtId="4" fontId="71" fillId="30" borderId="43" xfId="356" applyNumberFormat="1" applyFont="1" applyFill="1" applyBorder="1" applyAlignment="1">
      <alignment horizontal="center" vertical="center"/>
    </xf>
    <xf numFmtId="9" fontId="71" fillId="30" borderId="43" xfId="356" applyNumberFormat="1" applyFont="1" applyFill="1" applyBorder="1" applyAlignment="1">
      <alignment horizontal="center" vertical="center"/>
    </xf>
    <xf numFmtId="9" fontId="71" fillId="30" borderId="54" xfId="356" applyNumberFormat="1" applyFont="1" applyFill="1" applyBorder="1" applyAlignment="1">
      <alignment horizontal="center" vertical="center"/>
    </xf>
    <xf numFmtId="190" fontId="71" fillId="30" borderId="44" xfId="356" applyNumberFormat="1" applyFont="1" applyFill="1" applyBorder="1" applyAlignment="1">
      <alignment horizontal="center" vertical="center"/>
    </xf>
    <xf numFmtId="10" fontId="68" fillId="28" borderId="58" xfId="343" applyNumberFormat="1" applyFont="1" applyFill="1" applyBorder="1" applyAlignment="1">
      <alignment horizontal="center" vertical="center"/>
    </xf>
    <xf numFmtId="0" fontId="62" fillId="0" borderId="0" xfId="420" applyFont="1" applyFill="1" applyAlignment="1">
      <alignment horizontal="justify" vertical="center"/>
    </xf>
    <xf numFmtId="0" fontId="85" fillId="32" borderId="41" xfId="420" applyFont="1" applyFill="1" applyBorder="1" applyAlignment="1">
      <alignment horizontal="center" vertical="center"/>
    </xf>
    <xf numFmtId="0" fontId="54" fillId="0" borderId="0" xfId="349" applyFont="1" applyProtection="1">
      <protection hidden="1"/>
    </xf>
    <xf numFmtId="0" fontId="0" fillId="0" borderId="0" xfId="0" applyProtection="1">
      <protection hidden="1"/>
    </xf>
    <xf numFmtId="0" fontId="10" fillId="0" borderId="0" xfId="0" applyFont="1" applyProtection="1">
      <protection hidden="1"/>
    </xf>
    <xf numFmtId="0" fontId="12" fillId="29" borderId="41" xfId="0" applyFont="1" applyFill="1" applyBorder="1" applyAlignment="1" applyProtection="1">
      <alignment horizontal="center" vertical="center"/>
      <protection hidden="1"/>
    </xf>
    <xf numFmtId="0" fontId="58" fillId="0" borderId="0" xfId="0" applyFont="1" applyAlignment="1" applyProtection="1">
      <alignment vertical="center"/>
      <protection hidden="1"/>
    </xf>
    <xf numFmtId="0" fontId="0" fillId="0" borderId="0" xfId="0" applyAlignment="1" applyProtection="1">
      <alignment vertical="center"/>
      <protection hidden="1"/>
    </xf>
    <xf numFmtId="191" fontId="12" fillId="39" borderId="41" xfId="0" applyNumberFormat="1" applyFont="1" applyFill="1" applyBorder="1" applyAlignment="1" applyProtection="1">
      <alignment horizontal="center" vertical="center"/>
      <protection hidden="1"/>
    </xf>
    <xf numFmtId="191" fontId="0" fillId="0" borderId="41" xfId="0" applyNumberFormat="1" applyBorder="1" applyAlignment="1" applyProtection="1">
      <alignment horizontal="center" vertical="center"/>
      <protection hidden="1"/>
    </xf>
    <xf numFmtId="193" fontId="0" fillId="0" borderId="41" xfId="1" applyNumberFormat="1" applyFont="1" applyBorder="1" applyAlignment="1" applyProtection="1">
      <alignment horizontal="center" vertical="center"/>
      <protection hidden="1"/>
    </xf>
    <xf numFmtId="10" fontId="0" fillId="0" borderId="41" xfId="357" applyNumberFormat="1" applyFont="1" applyBorder="1" applyAlignment="1" applyProtection="1">
      <alignment horizontal="center" vertical="center"/>
      <protection hidden="1"/>
    </xf>
    <xf numFmtId="0" fontId="54" fillId="0" borderId="0" xfId="349" applyFont="1" applyBorder="1" applyProtection="1">
      <protection hidden="1"/>
    </xf>
    <xf numFmtId="0" fontId="55" fillId="29" borderId="1" xfId="349" applyFont="1" applyFill="1" applyBorder="1" applyAlignment="1" applyProtection="1">
      <alignment horizontal="center"/>
      <protection hidden="1"/>
    </xf>
    <xf numFmtId="187" fontId="86" fillId="33" borderId="1" xfId="349" applyNumberFormat="1" applyFont="1" applyFill="1" applyBorder="1" applyAlignment="1" applyProtection="1">
      <alignment horizontal="center" vertical="center"/>
      <protection hidden="1"/>
    </xf>
    <xf numFmtId="0" fontId="55" fillId="29" borderId="1" xfId="349" applyFont="1" applyFill="1" applyBorder="1" applyAlignment="1" applyProtection="1">
      <alignment horizontal="center" vertical="center" wrapText="1"/>
      <protection hidden="1"/>
    </xf>
    <xf numFmtId="187" fontId="55" fillId="33" borderId="1" xfId="349" applyNumberFormat="1" applyFont="1" applyFill="1" applyBorder="1" applyAlignment="1" applyProtection="1">
      <alignment horizontal="center" vertical="center"/>
      <protection hidden="1"/>
    </xf>
    <xf numFmtId="0" fontId="54" fillId="0" borderId="0" xfId="349" applyFont="1" applyBorder="1" applyAlignment="1" applyProtection="1">
      <alignment horizontal="center"/>
      <protection hidden="1"/>
    </xf>
    <xf numFmtId="0" fontId="54" fillId="0" borderId="0" xfId="349" applyFont="1" applyAlignment="1" applyProtection="1">
      <alignment horizontal="left"/>
      <protection hidden="1"/>
    </xf>
    <xf numFmtId="0" fontId="56" fillId="29" borderId="1" xfId="349" applyFont="1" applyFill="1" applyBorder="1" applyAlignment="1" applyProtection="1">
      <alignment horizontal="center" vertical="center" wrapText="1"/>
      <protection hidden="1"/>
    </xf>
    <xf numFmtId="0" fontId="56" fillId="29" borderId="1" xfId="349" applyFont="1" applyFill="1" applyBorder="1" applyAlignment="1" applyProtection="1">
      <alignment vertical="center" wrapText="1"/>
      <protection hidden="1"/>
    </xf>
    <xf numFmtId="0" fontId="56" fillId="29" borderId="52" xfId="349" applyFont="1" applyFill="1" applyBorder="1" applyAlignment="1" applyProtection="1">
      <alignment horizontal="center" vertical="center" wrapText="1"/>
      <protection hidden="1"/>
    </xf>
    <xf numFmtId="0" fontId="56" fillId="0" borderId="1" xfId="349" applyFont="1" applyFill="1" applyBorder="1" applyAlignment="1" applyProtection="1">
      <alignment horizontal="center" vertical="center"/>
      <protection hidden="1"/>
    </xf>
    <xf numFmtId="0" fontId="79" fillId="0" borderId="1" xfId="349" applyFont="1" applyFill="1" applyBorder="1" applyAlignment="1" applyProtection="1">
      <alignment horizontal="center" vertical="center" wrapText="1"/>
      <protection hidden="1"/>
    </xf>
    <xf numFmtId="188" fontId="79" fillId="0" borderId="1" xfId="349" applyNumberFormat="1" applyFont="1" applyFill="1" applyBorder="1" applyAlignment="1" applyProtection="1">
      <alignment horizontal="center" vertical="center"/>
      <protection hidden="1"/>
    </xf>
    <xf numFmtId="10" fontId="79" fillId="0" borderId="41" xfId="357" applyNumberFormat="1" applyFont="1" applyFill="1" applyBorder="1" applyAlignment="1" applyProtection="1">
      <alignment horizontal="center" vertical="center"/>
      <protection hidden="1"/>
    </xf>
    <xf numFmtId="2" fontId="79" fillId="0" borderId="1" xfId="349" applyNumberFormat="1" applyFont="1" applyFill="1" applyBorder="1" applyAlignment="1" applyProtection="1">
      <alignment horizontal="center" vertical="center"/>
      <protection hidden="1"/>
    </xf>
    <xf numFmtId="2" fontId="79" fillId="0" borderId="41" xfId="349" applyNumberFormat="1" applyFont="1" applyFill="1" applyBorder="1" applyAlignment="1" applyProtection="1">
      <alignment horizontal="center" vertical="center"/>
      <protection hidden="1"/>
    </xf>
    <xf numFmtId="2" fontId="56" fillId="0" borderId="41" xfId="349" applyNumberFormat="1" applyFont="1" applyFill="1" applyBorder="1" applyAlignment="1" applyProtection="1">
      <alignment horizontal="center" vertical="center"/>
      <protection hidden="1"/>
    </xf>
    <xf numFmtId="1" fontId="83" fillId="0" borderId="1" xfId="349" applyNumberFormat="1" applyFont="1" applyFill="1" applyBorder="1" applyAlignment="1" applyProtection="1">
      <alignment horizontal="center" vertical="center"/>
      <protection hidden="1"/>
    </xf>
    <xf numFmtId="0" fontId="54" fillId="0" borderId="0" xfId="349" applyFont="1" applyAlignment="1" applyProtection="1">
      <alignment vertical="center"/>
      <protection hidden="1"/>
    </xf>
    <xf numFmtId="9" fontId="54" fillId="0" borderId="0" xfId="349" applyNumberFormat="1" applyFont="1" applyAlignment="1" applyProtection="1">
      <alignment vertical="center"/>
      <protection hidden="1"/>
    </xf>
    <xf numFmtId="4" fontId="54" fillId="0" borderId="0" xfId="349" applyNumberFormat="1" applyFont="1" applyAlignment="1" applyProtection="1">
      <alignment vertical="center"/>
      <protection hidden="1"/>
    </xf>
    <xf numFmtId="0" fontId="13" fillId="0" borderId="0" xfId="2" applyFont="1" applyFill="1" applyAlignment="1" applyProtection="1">
      <alignment vertical="center" wrapText="1"/>
      <protection hidden="1"/>
    </xf>
    <xf numFmtId="0" fontId="11" fillId="30" borderId="0" xfId="2" applyFont="1" applyFill="1" applyBorder="1" applyAlignment="1" applyProtection="1">
      <alignment horizontal="center" vertical="center" wrapText="1"/>
      <protection hidden="1"/>
    </xf>
    <xf numFmtId="0" fontId="13" fillId="30" borderId="0" xfId="2" applyFont="1" applyFill="1" applyAlignment="1" applyProtection="1">
      <alignment vertical="center" wrapText="1"/>
      <protection hidden="1"/>
    </xf>
    <xf numFmtId="0" fontId="39" fillId="29" borderId="41" xfId="2" applyFont="1" applyFill="1" applyBorder="1" applyAlignment="1" applyProtection="1">
      <alignment horizontal="center" vertical="center" wrapText="1"/>
      <protection hidden="1"/>
    </xf>
    <xf numFmtId="167" fontId="14" fillId="0" borderId="0" xfId="3" applyFont="1" applyFill="1" applyAlignment="1" applyProtection="1">
      <alignment vertical="center" wrapText="1"/>
      <protection hidden="1"/>
    </xf>
    <xf numFmtId="49" fontId="58" fillId="0" borderId="41" xfId="0" applyNumberFormat="1" applyFont="1" applyFill="1" applyBorder="1" applyAlignment="1" applyProtection="1">
      <alignment horizontal="center" vertical="center" wrapText="1"/>
      <protection hidden="1"/>
    </xf>
    <xf numFmtId="4" fontId="58" fillId="0" borderId="41" xfId="3" applyNumberFormat="1" applyFont="1" applyFill="1" applyBorder="1" applyAlignment="1" applyProtection="1">
      <alignment horizontal="left" vertical="center" wrapText="1"/>
      <protection hidden="1"/>
    </xf>
    <xf numFmtId="0" fontId="13" fillId="0" borderId="0" xfId="2" applyFont="1" applyFill="1" applyAlignment="1" applyProtection="1">
      <alignment horizontal="left" vertical="center"/>
      <protection hidden="1"/>
    </xf>
    <xf numFmtId="0" fontId="14" fillId="0" borderId="0" xfId="3" applyNumberFormat="1" applyFont="1" applyFill="1" applyAlignment="1" applyProtection="1">
      <alignment vertical="center" wrapText="1"/>
      <protection hidden="1"/>
    </xf>
    <xf numFmtId="167" fontId="14" fillId="0" borderId="0" xfId="3" applyFont="1" applyFill="1" applyAlignment="1" applyProtection="1">
      <alignment horizontal="center" vertical="center" wrapText="1"/>
      <protection hidden="1"/>
    </xf>
    <xf numFmtId="167" fontId="11" fillId="33" borderId="41" xfId="3" applyFont="1" applyFill="1" applyBorder="1" applyAlignment="1" applyProtection="1">
      <alignment horizontal="center" vertical="center" wrapText="1"/>
      <protection hidden="1"/>
    </xf>
    <xf numFmtId="167" fontId="65" fillId="0" borderId="0" xfId="3" applyFont="1" applyFill="1" applyAlignment="1" applyProtection="1">
      <alignment vertical="center" wrapText="1"/>
      <protection hidden="1"/>
    </xf>
    <xf numFmtId="0" fontId="14" fillId="0" borderId="0" xfId="2" applyNumberFormat="1" applyFont="1" applyFill="1" applyBorder="1" applyAlignment="1" applyProtection="1">
      <alignment vertical="center" wrapText="1"/>
      <protection hidden="1"/>
    </xf>
    <xf numFmtId="168" fontId="14" fillId="0" borderId="0" xfId="3" applyNumberFormat="1" applyFont="1" applyFill="1" applyBorder="1" applyAlignment="1" applyProtection="1">
      <alignment vertical="center" wrapText="1"/>
      <protection hidden="1"/>
    </xf>
    <xf numFmtId="169" fontId="13" fillId="0" borderId="0" xfId="3" applyNumberFormat="1" applyFont="1" applyFill="1" applyBorder="1" applyAlignment="1" applyProtection="1">
      <alignment horizontal="right" vertical="center" wrapText="1"/>
      <protection hidden="1"/>
    </xf>
    <xf numFmtId="170" fontId="13" fillId="0" borderId="0" xfId="3" applyNumberFormat="1" applyFont="1" applyFill="1" applyBorder="1" applyAlignment="1" applyProtection="1">
      <alignment vertical="center" wrapText="1"/>
      <protection hidden="1"/>
    </xf>
    <xf numFmtId="3" fontId="14" fillId="0" borderId="0" xfId="3" applyNumberFormat="1" applyFont="1" applyFill="1" applyBorder="1" applyAlignment="1" applyProtection="1">
      <alignment vertical="center" wrapText="1"/>
      <protection hidden="1"/>
    </xf>
    <xf numFmtId="0" fontId="14" fillId="33" borderId="41" xfId="2" applyNumberFormat="1" applyFont="1" applyFill="1" applyBorder="1" applyAlignment="1" applyProtection="1">
      <alignment horizontal="center" vertical="center" wrapText="1"/>
      <protection hidden="1"/>
    </xf>
    <xf numFmtId="0" fontId="53" fillId="33" borderId="41" xfId="0" applyFont="1" applyFill="1" applyBorder="1" applyAlignment="1" applyProtection="1">
      <alignment horizontal="center" vertical="center" textRotation="255" wrapText="1"/>
      <protection hidden="1"/>
    </xf>
    <xf numFmtId="0" fontId="58" fillId="0" borderId="41" xfId="2" applyNumberFormat="1" applyFont="1" applyFill="1" applyBorder="1" applyAlignment="1" applyProtection="1">
      <alignment horizontal="center" vertical="center" wrapText="1"/>
      <protection hidden="1"/>
    </xf>
    <xf numFmtId="4" fontId="41" fillId="0" borderId="41" xfId="2" applyNumberFormat="1" applyFont="1" applyFill="1" applyBorder="1" applyAlignment="1" applyProtection="1">
      <alignment horizontal="center" vertical="center" wrapText="1"/>
      <protection hidden="1"/>
    </xf>
    <xf numFmtId="9" fontId="58" fillId="0" borderId="41" xfId="2" applyNumberFormat="1" applyFont="1" applyFill="1" applyBorder="1" applyAlignment="1" applyProtection="1">
      <alignment horizontal="center" vertical="center" wrapText="1"/>
      <protection hidden="1"/>
    </xf>
    <xf numFmtId="0" fontId="14" fillId="0" borderId="41" xfId="3" applyNumberFormat="1" applyFont="1" applyFill="1" applyBorder="1" applyAlignment="1" applyProtection="1">
      <alignment horizontal="center" vertical="center" wrapText="1"/>
      <protection hidden="1"/>
    </xf>
    <xf numFmtId="167" fontId="14" fillId="0" borderId="0" xfId="3" applyFont="1" applyFill="1" applyBorder="1" applyAlignment="1" applyProtection="1">
      <alignment vertical="center" wrapText="1"/>
      <protection hidden="1"/>
    </xf>
    <xf numFmtId="0" fontId="13" fillId="34" borderId="41" xfId="0" applyFont="1" applyFill="1" applyBorder="1" applyAlignment="1" applyProtection="1">
      <protection hidden="1"/>
    </xf>
    <xf numFmtId="0" fontId="14" fillId="34" borderId="41" xfId="0" applyFont="1" applyFill="1" applyBorder="1" applyAlignment="1" applyProtection="1">
      <alignment horizontal="center" vertical="center"/>
      <protection hidden="1"/>
    </xf>
    <xf numFmtId="2" fontId="14" fillId="34" borderId="41" xfId="0" applyNumberFormat="1" applyFont="1" applyFill="1" applyBorder="1" applyAlignment="1" applyProtection="1">
      <alignment horizontal="center" vertical="center"/>
      <protection hidden="1"/>
    </xf>
    <xf numFmtId="0" fontId="13" fillId="0" borderId="0" xfId="2" applyNumberFormat="1" applyFont="1" applyFill="1" applyAlignment="1" applyProtection="1">
      <alignment vertical="center" wrapText="1"/>
      <protection hidden="1"/>
    </xf>
    <xf numFmtId="171" fontId="13" fillId="0" borderId="0" xfId="3" applyNumberFormat="1" applyFont="1" applyFill="1" applyAlignment="1" applyProtection="1">
      <alignment vertical="center" wrapText="1"/>
      <protection hidden="1"/>
    </xf>
    <xf numFmtId="167" fontId="13" fillId="0" borderId="0" xfId="3" applyFont="1" applyFill="1" applyAlignment="1" applyProtection="1">
      <alignment vertical="center" wrapText="1"/>
      <protection hidden="1"/>
    </xf>
    <xf numFmtId="0" fontId="94" fillId="36" borderId="69" xfId="0" applyFont="1" applyFill="1" applyBorder="1" applyAlignment="1">
      <alignment horizontal="center"/>
    </xf>
    <xf numFmtId="0" fontId="93" fillId="36" borderId="68" xfId="0" applyFont="1" applyFill="1" applyBorder="1" applyAlignment="1" applyProtection="1">
      <alignment horizontal="center"/>
    </xf>
    <xf numFmtId="10" fontId="67" fillId="31" borderId="64" xfId="343" applyNumberFormat="1" applyFont="1" applyFill="1" applyBorder="1" applyAlignment="1">
      <alignment horizontal="center" vertical="center"/>
    </xf>
    <xf numFmtId="189" fontId="67" fillId="31" borderId="63" xfId="0" applyNumberFormat="1" applyFont="1" applyFill="1" applyBorder="1" applyAlignment="1">
      <alignment horizontal="center"/>
    </xf>
    <xf numFmtId="10" fontId="67" fillId="30" borderId="36" xfId="343" applyNumberFormat="1" applyFont="1" applyFill="1" applyBorder="1" applyAlignment="1">
      <alignment horizontal="center" vertical="center"/>
    </xf>
    <xf numFmtId="189" fontId="67" fillId="0" borderId="37" xfId="0" applyNumberFormat="1" applyFont="1" applyBorder="1" applyAlignment="1">
      <alignment horizontal="center"/>
    </xf>
    <xf numFmtId="10" fontId="67" fillId="31" borderId="36" xfId="343" applyNumberFormat="1" applyFont="1" applyFill="1" applyBorder="1" applyAlignment="1">
      <alignment horizontal="center" vertical="center"/>
    </xf>
    <xf numFmtId="189" fontId="67" fillId="31" borderId="37" xfId="0" applyNumberFormat="1" applyFont="1" applyFill="1" applyBorder="1" applyAlignment="1">
      <alignment horizontal="center"/>
    </xf>
    <xf numFmtId="189" fontId="67" fillId="0" borderId="60" xfId="0" applyNumberFormat="1" applyFont="1" applyBorder="1" applyAlignment="1">
      <alignment horizontal="center"/>
    </xf>
    <xf numFmtId="189" fontId="88" fillId="28" borderId="57" xfId="0" applyNumberFormat="1" applyFont="1" applyFill="1" applyBorder="1" applyAlignment="1">
      <alignment horizontal="center"/>
    </xf>
    <xf numFmtId="0" fontId="66" fillId="28" borderId="34" xfId="356" applyFont="1" applyFill="1" applyBorder="1" applyAlignment="1">
      <alignment vertical="center"/>
    </xf>
    <xf numFmtId="0" fontId="66" fillId="28" borderId="39" xfId="356" applyFont="1" applyFill="1" applyBorder="1" applyAlignment="1">
      <alignment vertical="center"/>
    </xf>
    <xf numFmtId="0" fontId="66" fillId="28" borderId="40" xfId="356" applyFont="1" applyFill="1" applyBorder="1" applyAlignment="1">
      <alignment vertical="center"/>
    </xf>
    <xf numFmtId="0" fontId="72" fillId="0" borderId="38" xfId="356" applyFont="1" applyFill="1" applyBorder="1" applyAlignment="1">
      <alignment horizontal="center" vertical="center"/>
    </xf>
    <xf numFmtId="0" fontId="12" fillId="29" borderId="41" xfId="0" applyFont="1" applyFill="1" applyBorder="1" applyAlignment="1" applyProtection="1">
      <alignment horizontal="center" vertical="center" wrapText="1"/>
      <protection hidden="1"/>
    </xf>
    <xf numFmtId="191" fontId="10" fillId="0" borderId="0" xfId="0" applyNumberFormat="1" applyFont="1" applyAlignment="1" applyProtection="1">
      <alignment vertical="center"/>
      <protection hidden="1"/>
    </xf>
    <xf numFmtId="191" fontId="0" fillId="0" borderId="0" xfId="0" applyNumberFormat="1" applyAlignment="1" applyProtection="1">
      <alignment vertical="center"/>
      <protection hidden="1"/>
    </xf>
    <xf numFmtId="0" fontId="53" fillId="33" borderId="41" xfId="0" applyFont="1" applyFill="1" applyBorder="1" applyAlignment="1" applyProtection="1">
      <alignment horizontal="center" vertical="center" textRotation="255" wrapText="1"/>
      <protection hidden="1"/>
    </xf>
    <xf numFmtId="0" fontId="14" fillId="34" borderId="41" xfId="0" applyFont="1" applyFill="1" applyBorder="1" applyAlignment="1" applyProtection="1">
      <alignment horizontal="center" vertical="center"/>
      <protection hidden="1"/>
    </xf>
    <xf numFmtId="0" fontId="12" fillId="29" borderId="41" xfId="0" applyFont="1" applyFill="1" applyBorder="1" applyAlignment="1" applyProtection="1">
      <alignment horizontal="center" vertical="center"/>
      <protection hidden="1"/>
    </xf>
    <xf numFmtId="0" fontId="10" fillId="0" borderId="0" xfId="104" applyAlignment="1">
      <alignment vertical="center" wrapText="1"/>
    </xf>
    <xf numFmtId="0" fontId="66" fillId="0" borderId="0" xfId="104" applyFont="1" applyAlignment="1">
      <alignment vertical="center" wrapText="1"/>
    </xf>
    <xf numFmtId="0" fontId="11" fillId="0" borderId="0" xfId="104" applyFont="1" applyAlignment="1">
      <alignment horizontal="center" vertical="center" wrapText="1"/>
    </xf>
    <xf numFmtId="0" fontId="10" fillId="0" borderId="18" xfId="104" applyBorder="1" applyAlignment="1">
      <alignment horizontal="center" vertical="center"/>
    </xf>
    <xf numFmtId="0" fontId="95" fillId="0" borderId="18" xfId="104" applyFont="1" applyBorder="1" applyAlignment="1">
      <alignment horizontal="center" vertical="center"/>
    </xf>
    <xf numFmtId="0" fontId="92" fillId="0" borderId="18" xfId="104" applyFont="1" applyBorder="1" applyAlignment="1">
      <alignment horizontal="center" vertical="center"/>
    </xf>
    <xf numFmtId="0" fontId="10" fillId="30" borderId="0" xfId="104" applyFill="1" applyAlignment="1">
      <alignment horizontal="center" vertical="center"/>
    </xf>
    <xf numFmtId="0" fontId="58" fillId="0" borderId="0" xfId="104" applyFont="1" applyAlignment="1">
      <alignment horizontal="center" vertical="center"/>
    </xf>
    <xf numFmtId="0" fontId="10" fillId="0" borderId="0" xfId="104" applyAlignment="1">
      <alignment horizontal="center" vertical="center"/>
    </xf>
    <xf numFmtId="0" fontId="10" fillId="0" borderId="0" xfId="104" applyAlignment="1">
      <alignment horizontal="center" vertical="center" wrapText="1"/>
    </xf>
    <xf numFmtId="190" fontId="72" fillId="40" borderId="43" xfId="356" applyNumberFormat="1" applyFont="1" applyFill="1" applyBorder="1" applyAlignment="1">
      <alignment horizontal="center" vertical="center"/>
    </xf>
    <xf numFmtId="192" fontId="72" fillId="40" borderId="43" xfId="356" applyNumberFormat="1" applyFont="1" applyFill="1" applyBorder="1" applyAlignment="1">
      <alignment horizontal="center" vertical="center"/>
    </xf>
    <xf numFmtId="190" fontId="72" fillId="0" borderId="44" xfId="356" applyNumberFormat="1" applyFont="1" applyFill="1" applyBorder="1" applyAlignment="1">
      <alignment horizontal="center" vertical="center"/>
    </xf>
    <xf numFmtId="0" fontId="72" fillId="0" borderId="43" xfId="356" applyFont="1" applyFill="1" applyBorder="1" applyAlignment="1">
      <alignment horizontal="center" vertical="center"/>
    </xf>
    <xf numFmtId="0" fontId="72" fillId="0" borderId="54" xfId="356" applyFont="1" applyFill="1" applyBorder="1" applyAlignment="1">
      <alignment horizontal="center" vertical="center"/>
    </xf>
    <xf numFmtId="4" fontId="72" fillId="40" borderId="43" xfId="356" applyNumberFormat="1" applyFont="1" applyFill="1" applyBorder="1" applyAlignment="1">
      <alignment horizontal="center" vertical="center"/>
    </xf>
    <xf numFmtId="190" fontId="72" fillId="40" borderId="36" xfId="356" applyNumberFormat="1" applyFont="1" applyFill="1" applyBorder="1" applyAlignment="1">
      <alignment horizontal="center" vertical="center"/>
    </xf>
    <xf numFmtId="190" fontId="72" fillId="40" borderId="44" xfId="356" applyNumberFormat="1" applyFont="1" applyFill="1" applyBorder="1" applyAlignment="1">
      <alignment horizontal="center" vertical="center"/>
    </xf>
    <xf numFmtId="10" fontId="71" fillId="40" borderId="43" xfId="356" applyNumberFormat="1" applyFont="1" applyFill="1" applyBorder="1" applyAlignment="1">
      <alignment horizontal="center" vertical="center"/>
    </xf>
    <xf numFmtId="10" fontId="67" fillId="40" borderId="61" xfId="343" applyNumberFormat="1" applyFont="1" applyFill="1" applyBorder="1" applyAlignment="1">
      <alignment horizontal="center" vertical="center"/>
    </xf>
    <xf numFmtId="0" fontId="68" fillId="0" borderId="0" xfId="104" applyFont="1" applyAlignment="1" applyProtection="1">
      <alignment horizontal="center"/>
    </xf>
    <xf numFmtId="0" fontId="102" fillId="0" borderId="0" xfId="104" applyFont="1" applyAlignment="1" applyProtection="1">
      <alignment horizontal="center" vertical="center"/>
    </xf>
    <xf numFmtId="0" fontId="104" fillId="36" borderId="59" xfId="0" applyFont="1" applyFill="1" applyBorder="1" applyAlignment="1" applyProtection="1">
      <alignment horizontal="center" vertical="center"/>
    </xf>
    <xf numFmtId="0" fontId="104" fillId="36" borderId="31" xfId="0" applyFont="1" applyFill="1" applyBorder="1" applyAlignment="1" applyProtection="1">
      <alignment horizontal="center" vertical="center"/>
    </xf>
    <xf numFmtId="0" fontId="104" fillId="36" borderId="80" xfId="0" applyFont="1" applyFill="1" applyBorder="1" applyAlignment="1" applyProtection="1">
      <alignment horizontal="center" vertical="center"/>
    </xf>
    <xf numFmtId="4" fontId="104" fillId="36" borderId="66" xfId="0" applyNumberFormat="1" applyFont="1" applyFill="1" applyBorder="1" applyAlignment="1" applyProtection="1">
      <alignment horizontal="center" vertical="center"/>
    </xf>
    <xf numFmtId="3" fontId="104" fillId="36" borderId="66" xfId="0" applyNumberFormat="1" applyFont="1" applyFill="1" applyBorder="1" applyAlignment="1" applyProtection="1">
      <alignment horizontal="center" vertical="center" wrapText="1"/>
    </xf>
    <xf numFmtId="3" fontId="104" fillId="36" borderId="65" xfId="0" applyNumberFormat="1" applyFont="1" applyFill="1" applyBorder="1" applyAlignment="1" applyProtection="1">
      <alignment horizontal="center" vertical="center" wrapText="1"/>
    </xf>
    <xf numFmtId="49" fontId="105" fillId="41" borderId="81" xfId="363" applyNumberFormat="1" applyFont="1" applyFill="1" applyBorder="1" applyAlignment="1" applyProtection="1">
      <alignment horizontal="center" vertical="center" wrapText="1"/>
      <protection locked="0"/>
    </xf>
    <xf numFmtId="0" fontId="69" fillId="29" borderId="82" xfId="359" applyFont="1" applyFill="1" applyBorder="1" applyAlignment="1">
      <alignment horizontal="left" vertical="center"/>
    </xf>
    <xf numFmtId="0" fontId="67" fillId="29" borderId="82" xfId="0" applyFont="1" applyFill="1" applyBorder="1" applyAlignment="1" applyProtection="1">
      <alignment horizontal="center" vertical="center"/>
      <protection locked="0"/>
    </xf>
    <xf numFmtId="2" fontId="67" fillId="29" borderId="82" xfId="0" applyNumberFormat="1" applyFont="1" applyFill="1" applyBorder="1" applyAlignment="1" applyProtection="1">
      <alignment horizontal="center" vertical="center"/>
      <protection locked="0"/>
    </xf>
    <xf numFmtId="189" fontId="67" fillId="29" borderId="82" xfId="359" applyNumberFormat="1" applyFont="1" applyFill="1" applyBorder="1" applyAlignment="1">
      <alignment horizontal="center" vertical="center"/>
    </xf>
    <xf numFmtId="189" fontId="67" fillId="29" borderId="83" xfId="0" applyNumberFormat="1" applyFont="1" applyFill="1" applyBorder="1" applyAlignment="1">
      <alignment horizontal="center" vertical="center"/>
    </xf>
    <xf numFmtId="49" fontId="105" fillId="38" borderId="33" xfId="363" applyNumberFormat="1" applyFont="1" applyFill="1" applyBorder="1" applyAlignment="1" applyProtection="1">
      <alignment horizontal="center" vertical="center" wrapText="1"/>
      <protection locked="0"/>
    </xf>
    <xf numFmtId="0" fontId="69" fillId="28" borderId="40" xfId="359" applyFont="1" applyFill="1" applyBorder="1" applyAlignment="1">
      <alignment horizontal="left" vertical="center"/>
    </xf>
    <xf numFmtId="0" fontId="67" fillId="28" borderId="33" xfId="0" applyFont="1" applyFill="1" applyBorder="1" applyAlignment="1" applyProtection="1">
      <alignment horizontal="center" vertical="center"/>
      <protection locked="0"/>
    </xf>
    <xf numFmtId="2" fontId="67" fillId="28" borderId="25" xfId="0" applyNumberFormat="1" applyFont="1" applyFill="1" applyBorder="1" applyAlignment="1" applyProtection="1">
      <alignment horizontal="center" vertical="center"/>
      <protection locked="0"/>
    </xf>
    <xf numFmtId="189" fontId="67" fillId="28" borderId="34" xfId="359" applyNumberFormat="1" applyFont="1" applyFill="1" applyBorder="1" applyAlignment="1">
      <alignment horizontal="center" vertical="center"/>
    </xf>
    <xf numFmtId="189" fontId="67" fillId="28" borderId="26" xfId="0" applyNumberFormat="1" applyFont="1" applyFill="1" applyBorder="1" applyAlignment="1">
      <alignment horizontal="center" vertical="center"/>
    </xf>
    <xf numFmtId="0" fontId="106" fillId="30" borderId="84" xfId="360" applyFont="1" applyFill="1" applyBorder="1" applyAlignment="1" applyProtection="1">
      <alignment horizontal="center" vertical="center"/>
      <protection locked="0"/>
    </xf>
    <xf numFmtId="2" fontId="67" fillId="30" borderId="85" xfId="356" applyNumberFormat="1" applyFont="1" applyFill="1" applyBorder="1" applyAlignment="1">
      <alignment horizontal="left" vertical="center" wrapText="1"/>
    </xf>
    <xf numFmtId="0" fontId="67" fillId="30" borderId="85" xfId="361" applyNumberFormat="1" applyFont="1" applyFill="1" applyBorder="1" applyAlignment="1">
      <alignment horizontal="center" vertical="center"/>
    </xf>
    <xf numFmtId="2" fontId="67" fillId="30" borderId="85" xfId="0" applyNumberFormat="1" applyFont="1" applyFill="1" applyBorder="1" applyAlignment="1" applyProtection="1">
      <alignment horizontal="center" vertical="center"/>
      <protection locked="0"/>
    </xf>
    <xf numFmtId="190" fontId="67" fillId="40" borderId="85" xfId="359" applyNumberFormat="1" applyFont="1" applyFill="1" applyBorder="1" applyAlignment="1">
      <alignment horizontal="center" vertical="center"/>
    </xf>
    <xf numFmtId="190" fontId="67" fillId="30" borderId="86" xfId="0" applyNumberFormat="1" applyFont="1" applyFill="1" applyBorder="1" applyAlignment="1">
      <alignment horizontal="center" vertical="center"/>
    </xf>
    <xf numFmtId="0" fontId="106" fillId="30" borderId="87" xfId="360" applyFont="1" applyFill="1" applyBorder="1" applyAlignment="1" applyProtection="1">
      <alignment horizontal="center" vertical="center"/>
      <protection locked="0"/>
    </xf>
    <xf numFmtId="2" fontId="67" fillId="42" borderId="41" xfId="0" applyNumberFormat="1" applyFont="1" applyFill="1" applyBorder="1" applyAlignment="1">
      <alignment horizontal="left" vertical="center" wrapText="1"/>
    </xf>
    <xf numFmtId="0" fontId="67" fillId="30" borderId="41" xfId="361" applyNumberFormat="1" applyFont="1" applyFill="1" applyBorder="1" applyAlignment="1">
      <alignment horizontal="center" vertical="center"/>
    </xf>
    <xf numFmtId="2" fontId="67" fillId="30" borderId="41" xfId="0" applyNumberFormat="1" applyFont="1" applyFill="1" applyBorder="1" applyAlignment="1" applyProtection="1">
      <alignment horizontal="center" vertical="center"/>
      <protection locked="0"/>
    </xf>
    <xf numFmtId="190" fontId="67" fillId="40" borderId="41" xfId="359" applyNumberFormat="1" applyFont="1" applyFill="1" applyBorder="1" applyAlignment="1">
      <alignment horizontal="center" vertical="center"/>
    </xf>
    <xf numFmtId="190" fontId="67" fillId="30" borderId="88" xfId="0" applyNumberFormat="1" applyFont="1" applyFill="1" applyBorder="1" applyAlignment="1">
      <alignment horizontal="center" vertical="center"/>
    </xf>
    <xf numFmtId="49" fontId="105" fillId="38" borderId="87" xfId="363" applyNumberFormat="1" applyFont="1" applyFill="1" applyBorder="1" applyAlignment="1" applyProtection="1">
      <alignment horizontal="center" vertical="center" wrapText="1"/>
      <protection locked="0"/>
    </xf>
    <xf numFmtId="0" fontId="69" fillId="28" borderId="41" xfId="359" applyFont="1" applyFill="1" applyBorder="1" applyAlignment="1">
      <alignment horizontal="left" vertical="center"/>
    </xf>
    <xf numFmtId="0" fontId="67" fillId="28" borderId="41" xfId="0" applyFont="1" applyFill="1" applyBorder="1" applyAlignment="1" applyProtection="1">
      <alignment horizontal="center" vertical="center"/>
      <protection locked="0"/>
    </xf>
    <xf numFmtId="2" fontId="67" fillId="28" borderId="41" xfId="0" applyNumberFormat="1" applyFont="1" applyFill="1" applyBorder="1" applyAlignment="1" applyProtection="1">
      <alignment horizontal="center" vertical="center"/>
      <protection locked="0"/>
    </xf>
    <xf numFmtId="189" fontId="67" fillId="28" borderId="41" xfId="359" applyNumberFormat="1" applyFont="1" applyFill="1" applyBorder="1" applyAlignment="1">
      <alignment horizontal="center" vertical="center"/>
    </xf>
    <xf numFmtId="189" fontId="67" fillId="28" borderId="88" xfId="0" applyNumberFormat="1" applyFont="1" applyFill="1" applyBorder="1" applyAlignment="1">
      <alignment horizontal="center" vertical="center"/>
    </xf>
    <xf numFmtId="0" fontId="106" fillId="30" borderId="89" xfId="360" applyFont="1" applyFill="1" applyBorder="1" applyAlignment="1" applyProtection="1">
      <alignment horizontal="center" vertical="center"/>
      <protection locked="0"/>
    </xf>
    <xf numFmtId="2" fontId="67" fillId="42" borderId="90" xfId="0" applyNumberFormat="1" applyFont="1" applyFill="1" applyBorder="1" applyAlignment="1">
      <alignment horizontal="left" vertical="center" wrapText="1"/>
    </xf>
    <xf numFmtId="0" fontId="67" fillId="30" borderId="90" xfId="361" applyNumberFormat="1" applyFont="1" applyFill="1" applyBorder="1" applyAlignment="1">
      <alignment horizontal="center" vertical="center"/>
    </xf>
    <xf numFmtId="2" fontId="67" fillId="30" borderId="90" xfId="0" applyNumberFormat="1" applyFont="1" applyFill="1" applyBorder="1" applyAlignment="1" applyProtection="1">
      <alignment horizontal="center" vertical="center"/>
      <protection locked="0"/>
    </xf>
    <xf numFmtId="190" fontId="67" fillId="40" borderId="90" xfId="359" applyNumberFormat="1" applyFont="1" applyFill="1" applyBorder="1" applyAlignment="1">
      <alignment horizontal="center" vertical="center"/>
    </xf>
    <xf numFmtId="190" fontId="67" fillId="30" borderId="91" xfId="0" applyNumberFormat="1" applyFont="1" applyFill="1" applyBorder="1" applyAlignment="1">
      <alignment horizontal="center" vertical="center"/>
    </xf>
    <xf numFmtId="49" fontId="105" fillId="38" borderId="92" xfId="363" applyNumberFormat="1" applyFont="1" applyFill="1" applyBorder="1" applyAlignment="1" applyProtection="1">
      <alignment horizontal="center" vertical="center" wrapText="1"/>
      <protection locked="0"/>
    </xf>
    <xf numFmtId="0" fontId="69" fillId="28" borderId="53" xfId="359" applyFont="1" applyFill="1" applyBorder="1" applyAlignment="1">
      <alignment horizontal="left" vertical="center"/>
    </xf>
    <xf numFmtId="0" fontId="67" fillId="28" borderId="53" xfId="0" applyFont="1" applyFill="1" applyBorder="1" applyAlignment="1" applyProtection="1">
      <alignment horizontal="center" vertical="center"/>
      <protection locked="0"/>
    </xf>
    <xf numFmtId="2" fontId="67" fillId="28" borderId="53" xfId="0" applyNumberFormat="1" applyFont="1" applyFill="1" applyBorder="1" applyAlignment="1" applyProtection="1">
      <alignment horizontal="center" vertical="center"/>
      <protection locked="0"/>
    </xf>
    <xf numFmtId="189" fontId="67" fillId="28" borderId="53" xfId="359" applyNumberFormat="1" applyFont="1" applyFill="1" applyBorder="1" applyAlignment="1">
      <alignment horizontal="center" vertical="center"/>
    </xf>
    <xf numFmtId="189" fontId="67" fillId="28" borderId="93" xfId="0" applyNumberFormat="1" applyFont="1" applyFill="1" applyBorder="1" applyAlignment="1">
      <alignment horizontal="center" vertical="center"/>
    </xf>
    <xf numFmtId="0" fontId="69" fillId="28" borderId="94" xfId="359" applyFont="1" applyFill="1" applyBorder="1" applyAlignment="1">
      <alignment horizontal="left" vertical="center"/>
    </xf>
    <xf numFmtId="0" fontId="67" fillId="28" borderId="94" xfId="0" applyFont="1" applyFill="1" applyBorder="1" applyAlignment="1" applyProtection="1">
      <alignment horizontal="center" vertical="center"/>
      <protection locked="0"/>
    </xf>
    <xf numFmtId="2" fontId="67" fillId="28" borderId="94" xfId="0" applyNumberFormat="1" applyFont="1" applyFill="1" applyBorder="1" applyAlignment="1" applyProtection="1">
      <alignment horizontal="center" vertical="center"/>
      <protection locked="0"/>
    </xf>
    <xf numFmtId="189" fontId="67" fillId="28" borderId="94" xfId="359" applyNumberFormat="1" applyFont="1" applyFill="1" applyBorder="1" applyAlignment="1">
      <alignment horizontal="center" vertical="center"/>
    </xf>
    <xf numFmtId="189" fontId="67" fillId="28" borderId="95" xfId="0" applyNumberFormat="1" applyFont="1" applyFill="1" applyBorder="1" applyAlignment="1">
      <alignment horizontal="center" vertical="center"/>
    </xf>
    <xf numFmtId="49" fontId="105" fillId="38" borderId="96" xfId="363" applyNumberFormat="1" applyFont="1" applyFill="1" applyBorder="1" applyAlignment="1" applyProtection="1">
      <alignment horizontal="center" vertical="center" wrapText="1"/>
      <protection locked="0"/>
    </xf>
    <xf numFmtId="190" fontId="67" fillId="30" borderId="90" xfId="359" applyNumberFormat="1" applyFont="1" applyFill="1" applyBorder="1" applyAlignment="1">
      <alignment horizontal="center" vertical="center"/>
    </xf>
    <xf numFmtId="2" fontId="67" fillId="42" borderId="90" xfId="0" applyNumberFormat="1" applyFont="1" applyFill="1" applyBorder="1" applyAlignment="1">
      <alignment horizontal="left" vertical="top" wrapText="1"/>
    </xf>
    <xf numFmtId="0" fontId="67" fillId="31" borderId="77" xfId="0" applyFont="1" applyFill="1" applyBorder="1" applyAlignment="1">
      <alignment vertical="center"/>
    </xf>
    <xf numFmtId="189" fontId="107" fillId="31" borderId="76" xfId="0" applyNumberFormat="1" applyFont="1" applyFill="1" applyBorder="1" applyAlignment="1">
      <alignment horizontal="center"/>
    </xf>
    <xf numFmtId="191" fontId="0" fillId="0" borderId="94" xfId="0" applyNumberFormat="1" applyBorder="1" applyAlignment="1" applyProtection="1">
      <alignment horizontal="center" vertical="center"/>
      <protection hidden="1"/>
    </xf>
    <xf numFmtId="0" fontId="76" fillId="0" borderId="0" xfId="104" applyFont="1" applyAlignment="1" applyProtection="1">
      <alignment horizontal="right" vertical="center"/>
    </xf>
    <xf numFmtId="0" fontId="109" fillId="0" borderId="0" xfId="0" applyFont="1" applyAlignment="1">
      <alignment vertical="center"/>
    </xf>
    <xf numFmtId="0" fontId="110" fillId="0" borderId="0" xfId="0" applyFont="1" applyAlignment="1">
      <alignment vertical="center"/>
    </xf>
    <xf numFmtId="0" fontId="110" fillId="0" borderId="0" xfId="0" applyFont="1" applyAlignment="1"/>
    <xf numFmtId="0" fontId="66" fillId="0" borderId="0" xfId="0" applyFont="1"/>
    <xf numFmtId="0" fontId="72" fillId="43" borderId="43" xfId="356" applyFont="1" applyFill="1" applyBorder="1" applyAlignment="1">
      <alignment horizontal="justify" vertical="center" wrapText="1"/>
    </xf>
    <xf numFmtId="9" fontId="72" fillId="43" borderId="43" xfId="356" applyNumberFormat="1" applyFont="1" applyFill="1" applyBorder="1" applyAlignment="1">
      <alignment horizontal="center" vertical="center"/>
    </xf>
    <xf numFmtId="0" fontId="72" fillId="43" borderId="43" xfId="356" applyFont="1" applyFill="1" applyBorder="1" applyAlignment="1">
      <alignment horizontal="center" vertical="center"/>
    </xf>
    <xf numFmtId="0" fontId="72" fillId="43" borderId="54" xfId="356" applyFont="1" applyFill="1" applyBorder="1" applyAlignment="1">
      <alignment horizontal="center" vertical="center"/>
    </xf>
    <xf numFmtId="191" fontId="72" fillId="43" borderId="44" xfId="356" applyNumberFormat="1" applyFont="1" applyFill="1" applyBorder="1" applyAlignment="1">
      <alignment horizontal="center" vertical="center"/>
    </xf>
    <xf numFmtId="192" fontId="72" fillId="43" borderId="43" xfId="356" applyNumberFormat="1" applyFont="1" applyFill="1" applyBorder="1" applyAlignment="1">
      <alignment horizontal="center" vertical="center"/>
    </xf>
    <xf numFmtId="0" fontId="66" fillId="43" borderId="43" xfId="356" applyFont="1" applyFill="1" applyBorder="1" applyAlignment="1">
      <alignment horizontal="justify" vertical="center" wrapText="1"/>
    </xf>
    <xf numFmtId="0" fontId="72" fillId="0" borderId="38" xfId="356" applyFont="1" applyBorder="1" applyAlignment="1">
      <alignment horizontal="center" vertical="center"/>
    </xf>
    <xf numFmtId="0" fontId="72" fillId="0" borderId="97" xfId="356" applyFont="1" applyBorder="1" applyAlignment="1">
      <alignment horizontal="center" vertical="center"/>
    </xf>
    <xf numFmtId="0" fontId="72" fillId="0" borderId="98" xfId="356" applyFont="1" applyBorder="1" applyAlignment="1">
      <alignment horizontal="left" vertical="center" wrapText="1"/>
    </xf>
    <xf numFmtId="190" fontId="72" fillId="40" borderId="98" xfId="356" applyNumberFormat="1" applyFont="1" applyFill="1" applyBorder="1" applyAlignment="1">
      <alignment horizontal="center" vertical="center"/>
    </xf>
    <xf numFmtId="4" fontId="72" fillId="0" borderId="98" xfId="356" applyNumberFormat="1" applyFont="1" applyBorder="1" applyAlignment="1">
      <alignment horizontal="center" vertical="center"/>
    </xf>
    <xf numFmtId="9" fontId="72" fillId="0" borderId="98" xfId="356" applyNumberFormat="1" applyFont="1" applyBorder="1" applyAlignment="1">
      <alignment horizontal="center" vertical="center"/>
    </xf>
    <xf numFmtId="177" fontId="72" fillId="0" borderId="98" xfId="356" applyNumberFormat="1" applyFont="1" applyBorder="1" applyAlignment="1">
      <alignment horizontal="center" vertical="center"/>
    </xf>
    <xf numFmtId="0" fontId="72" fillId="0" borderId="3" xfId="356" applyFont="1" applyBorder="1" applyAlignment="1">
      <alignment horizontal="center" vertical="center"/>
    </xf>
    <xf numFmtId="190" fontId="72" fillId="0" borderId="99" xfId="356" applyNumberFormat="1" applyFont="1" applyBorder="1" applyAlignment="1">
      <alignment horizontal="center" vertical="center"/>
    </xf>
    <xf numFmtId="0" fontId="72" fillId="0" borderId="43" xfId="356" applyFont="1" applyFill="1" applyBorder="1" applyAlignment="1">
      <alignment horizontal="left" vertical="center" wrapText="1"/>
    </xf>
    <xf numFmtId="9" fontId="72" fillId="40" borderId="43" xfId="356" applyNumberFormat="1" applyFont="1" applyFill="1" applyBorder="1" applyAlignment="1">
      <alignment horizontal="center" vertical="center"/>
    </xf>
    <xf numFmtId="0" fontId="72" fillId="0" borderId="36" xfId="356" applyFont="1" applyFill="1" applyBorder="1" applyAlignment="1">
      <alignment horizontal="left" vertical="center" wrapText="1"/>
    </xf>
    <xf numFmtId="4" fontId="72" fillId="0" borderId="36" xfId="356" applyNumberFormat="1" applyFont="1" applyFill="1" applyBorder="1" applyAlignment="1">
      <alignment horizontal="center" vertical="center"/>
    </xf>
    <xf numFmtId="9" fontId="72" fillId="40" borderId="36" xfId="356" applyNumberFormat="1" applyFont="1" applyFill="1" applyBorder="1" applyAlignment="1">
      <alignment horizontal="center" vertical="center"/>
    </xf>
    <xf numFmtId="0" fontId="72" fillId="0" borderId="36" xfId="356" applyFont="1" applyFill="1" applyBorder="1" applyAlignment="1">
      <alignment horizontal="center" vertical="center"/>
    </xf>
    <xf numFmtId="190" fontId="72" fillId="0" borderId="37" xfId="356" applyNumberFormat="1" applyFont="1" applyFill="1" applyBorder="1" applyAlignment="1">
      <alignment horizontal="center" vertical="center"/>
    </xf>
    <xf numFmtId="9" fontId="72" fillId="0" borderId="36" xfId="356" applyNumberFormat="1" applyFont="1" applyFill="1" applyBorder="1" applyAlignment="1">
      <alignment horizontal="center" vertical="center"/>
    </xf>
    <xf numFmtId="177" fontId="70" fillId="36" borderId="33" xfId="356" applyNumberFormat="1" applyFont="1" applyFill="1" applyBorder="1" applyAlignment="1">
      <alignment horizontal="center" vertical="center"/>
    </xf>
    <xf numFmtId="0" fontId="66" fillId="0" borderId="38" xfId="356" applyFont="1" applyBorder="1" applyAlignment="1">
      <alignment horizontal="center" vertical="center"/>
    </xf>
    <xf numFmtId="0" fontId="66" fillId="0" borderId="43" xfId="356" applyFont="1" applyBorder="1" applyAlignment="1">
      <alignment vertical="center"/>
    </xf>
    <xf numFmtId="0" fontId="72" fillId="0" borderId="43" xfId="356" applyFont="1" applyBorder="1" applyAlignment="1">
      <alignment vertical="center"/>
    </xf>
    <xf numFmtId="10" fontId="72" fillId="0" borderId="43" xfId="356" applyNumberFormat="1" applyFont="1" applyBorder="1" applyAlignment="1">
      <alignment horizontal="center" vertical="center"/>
    </xf>
    <xf numFmtId="0" fontId="72" fillId="0" borderId="54" xfId="356" applyFont="1" applyBorder="1" applyAlignment="1">
      <alignment vertical="center"/>
    </xf>
    <xf numFmtId="0" fontId="102" fillId="0" borderId="0" xfId="356" applyFont="1" applyAlignment="1">
      <alignment horizontal="center" vertical="center"/>
    </xf>
    <xf numFmtId="0" fontId="58" fillId="0" borderId="0" xfId="356" applyFont="1" applyAlignment="1">
      <alignment horizontal="right" vertical="center"/>
    </xf>
    <xf numFmtId="0" fontId="14" fillId="0" borderId="0" xfId="356" applyFont="1" applyAlignment="1">
      <alignment horizontal="center" vertical="center"/>
    </xf>
    <xf numFmtId="190" fontId="70" fillId="33" borderId="40" xfId="356" applyNumberFormat="1" applyFont="1" applyFill="1" applyBorder="1" applyAlignment="1">
      <alignment horizontal="center" vertical="center"/>
    </xf>
    <xf numFmtId="0" fontId="55" fillId="40" borderId="102" xfId="349" applyFont="1" applyFill="1" applyBorder="1" applyAlignment="1" applyProtection="1">
      <alignment horizontal="center" vertical="center"/>
      <protection locked="0"/>
    </xf>
    <xf numFmtId="14" fontId="55" fillId="40" borderId="105" xfId="349" applyNumberFormat="1" applyFont="1" applyFill="1" applyBorder="1" applyAlignment="1" applyProtection="1">
      <alignment horizontal="center" vertical="center" wrapText="1"/>
      <protection locked="0"/>
    </xf>
    <xf numFmtId="0" fontId="56" fillId="40" borderId="109" xfId="349" applyFont="1" applyFill="1" applyBorder="1" applyAlignment="1" applyProtection="1">
      <alignment horizontal="center" vertical="center"/>
      <protection locked="0"/>
    </xf>
    <xf numFmtId="0" fontId="56" fillId="40" borderId="3" xfId="349" applyFont="1" applyFill="1" applyBorder="1" applyAlignment="1" applyProtection="1">
      <alignment horizontal="center" vertical="center"/>
      <protection locked="0"/>
    </xf>
    <xf numFmtId="0" fontId="56" fillId="40" borderId="113" xfId="349" applyFont="1" applyFill="1" applyBorder="1" applyAlignment="1" applyProtection="1">
      <alignment horizontal="center" vertical="center"/>
      <protection locked="0"/>
    </xf>
    <xf numFmtId="0" fontId="55" fillId="0" borderId="0" xfId="349" applyFont="1" applyFill="1" applyBorder="1" applyAlignment="1" applyProtection="1">
      <alignment horizontal="center" vertical="center" wrapText="1"/>
    </xf>
    <xf numFmtId="14" fontId="55" fillId="0" borderId="0" xfId="349" applyNumberFormat="1" applyFont="1" applyFill="1" applyBorder="1" applyAlignment="1" applyProtection="1">
      <alignment horizontal="center" vertical="center" wrapText="1"/>
      <protection locked="0"/>
    </xf>
    <xf numFmtId="0" fontId="80" fillId="0" borderId="0" xfId="349" applyFont="1" applyFill="1" applyBorder="1" applyAlignment="1" applyProtection="1">
      <alignment horizontal="center" vertical="center"/>
      <protection hidden="1"/>
    </xf>
    <xf numFmtId="0" fontId="56" fillId="0" borderId="0" xfId="349" applyFont="1" applyFill="1" applyBorder="1" applyAlignment="1" applyProtection="1">
      <alignment horizontal="center" vertical="center" wrapText="1"/>
      <protection hidden="1"/>
    </xf>
    <xf numFmtId="188" fontId="87" fillId="0" borderId="0" xfId="349" applyNumberFormat="1" applyFont="1" applyFill="1" applyBorder="1" applyAlignment="1" applyProtection="1">
      <alignment horizontal="center" vertical="center"/>
      <protection hidden="1"/>
    </xf>
    <xf numFmtId="10" fontId="56" fillId="0" borderId="0" xfId="357" applyNumberFormat="1" applyFont="1" applyFill="1" applyBorder="1" applyAlignment="1" applyProtection="1">
      <alignment horizontal="center" vertical="center"/>
      <protection hidden="1"/>
    </xf>
    <xf numFmtId="0" fontId="54" fillId="0" borderId="0" xfId="349" applyFont="1" applyFill="1" applyProtection="1">
      <protection hidden="1"/>
    </xf>
    <xf numFmtId="0" fontId="55" fillId="0" borderId="0" xfId="349" applyFont="1" applyFill="1" applyBorder="1" applyAlignment="1" applyProtection="1">
      <alignment horizontal="center" vertical="center" wrapText="1"/>
      <protection hidden="1"/>
    </xf>
    <xf numFmtId="187" fontId="55" fillId="0" borderId="0" xfId="349" applyNumberFormat="1" applyFont="1" applyFill="1" applyBorder="1" applyAlignment="1" applyProtection="1">
      <alignment horizontal="center" vertical="center"/>
      <protection hidden="1"/>
    </xf>
    <xf numFmtId="188" fontId="87" fillId="33" borderId="120" xfId="349" applyNumberFormat="1" applyFont="1" applyFill="1" applyBorder="1" applyAlignment="1" applyProtection="1">
      <alignment horizontal="center" vertical="center"/>
      <protection hidden="1"/>
    </xf>
    <xf numFmtId="10" fontId="56" fillId="33" borderId="121" xfId="357" applyNumberFormat="1" applyFont="1" applyFill="1" applyBorder="1" applyAlignment="1" applyProtection="1">
      <alignment horizontal="center" vertical="center"/>
      <protection hidden="1"/>
    </xf>
    <xf numFmtId="0" fontId="80" fillId="33" borderId="122" xfId="349" applyFont="1" applyFill="1" applyBorder="1" applyAlignment="1" applyProtection="1">
      <alignment horizontal="center" vertical="center"/>
    </xf>
    <xf numFmtId="0" fontId="58" fillId="40" borderId="94" xfId="2" applyFont="1" applyFill="1" applyBorder="1" applyAlignment="1" applyProtection="1">
      <alignment horizontal="center" vertical="center" wrapText="1"/>
      <protection locked="0"/>
    </xf>
    <xf numFmtId="0" fontId="39" fillId="29" borderId="94" xfId="2" applyFont="1" applyFill="1" applyBorder="1" applyAlignment="1" applyProtection="1">
      <alignment horizontal="center" vertical="center" wrapText="1"/>
    </xf>
    <xf numFmtId="4" fontId="10" fillId="40" borderId="94" xfId="3" applyNumberFormat="1" applyFont="1" applyFill="1" applyBorder="1" applyAlignment="1" applyProtection="1">
      <alignment horizontal="center" vertical="center" wrapText="1"/>
      <protection locked="0"/>
    </xf>
    <xf numFmtId="4" fontId="10" fillId="0" borderId="94" xfId="2" applyNumberFormat="1" applyFont="1" applyFill="1" applyBorder="1" applyAlignment="1" applyProtection="1">
      <alignment horizontal="center" vertical="center"/>
    </xf>
    <xf numFmtId="4" fontId="41" fillId="32" borderId="94" xfId="2" applyNumberFormat="1" applyFont="1" applyFill="1" applyBorder="1" applyAlignment="1" applyProtection="1">
      <alignment horizontal="center" vertical="center"/>
    </xf>
    <xf numFmtId="0" fontId="39" fillId="33" borderId="94" xfId="2" applyFont="1" applyFill="1" applyBorder="1" applyAlignment="1" applyProtection="1">
      <alignment horizontal="center" vertical="center" wrapText="1"/>
    </xf>
    <xf numFmtId="9" fontId="58" fillId="40" borderId="94" xfId="2" applyNumberFormat="1" applyFont="1" applyFill="1" applyBorder="1" applyAlignment="1" applyProtection="1">
      <alignment horizontal="center" vertical="center" wrapText="1"/>
      <protection locked="0"/>
    </xf>
    <xf numFmtId="4" fontId="10" fillId="40" borderId="94" xfId="2" applyNumberFormat="1" applyFont="1" applyFill="1" applyBorder="1" applyAlignment="1" applyProtection="1">
      <alignment horizontal="center" vertical="center" wrapText="1"/>
      <protection locked="0"/>
    </xf>
    <xf numFmtId="10" fontId="10" fillId="0" borderId="94" xfId="2" applyNumberFormat="1" applyFont="1" applyFill="1" applyBorder="1" applyAlignment="1" applyProtection="1">
      <alignment horizontal="center" vertical="center"/>
    </xf>
    <xf numFmtId="0" fontId="14" fillId="33" borderId="41" xfId="2" applyNumberFormat="1" applyFont="1" applyFill="1" applyBorder="1" applyAlignment="1" applyProtection="1">
      <alignment horizontal="center" vertical="center" wrapText="1"/>
      <protection hidden="1"/>
    </xf>
    <xf numFmtId="0" fontId="39" fillId="44" borderId="94" xfId="0" applyFont="1" applyFill="1" applyBorder="1" applyAlignment="1" applyProtection="1">
      <alignment horizontal="center" vertical="center" wrapText="1"/>
    </xf>
    <xf numFmtId="194" fontId="58" fillId="40" borderId="94" xfId="2" applyNumberFormat="1" applyFont="1" applyFill="1" applyBorder="1" applyAlignment="1" applyProtection="1">
      <alignment horizontal="center" vertical="center" wrapText="1"/>
      <protection locked="0"/>
    </xf>
    <xf numFmtId="0" fontId="39" fillId="44" borderId="94" xfId="2" applyFont="1" applyFill="1" applyBorder="1" applyAlignment="1" applyProtection="1">
      <alignment horizontal="center" vertical="center" wrapText="1"/>
    </xf>
    <xf numFmtId="167" fontId="14" fillId="33" borderId="94" xfId="3" applyFont="1" applyFill="1" applyBorder="1" applyAlignment="1" applyProtection="1">
      <alignment horizontal="center" vertical="center" wrapText="1"/>
    </xf>
    <xf numFmtId="177" fontId="11" fillId="40" borderId="94" xfId="3" applyNumberFormat="1" applyFont="1" applyFill="1" applyBorder="1" applyAlignment="1" applyProtection="1">
      <alignment horizontal="center" vertical="center" wrapText="1"/>
      <protection locked="0"/>
    </xf>
    <xf numFmtId="169" fontId="11" fillId="40" borderId="41" xfId="3" applyNumberFormat="1" applyFont="1" applyFill="1" applyBorder="1" applyAlignment="1" applyProtection="1">
      <alignment horizontal="center" vertical="center" wrapText="1"/>
      <protection hidden="1"/>
    </xf>
    <xf numFmtId="10" fontId="12" fillId="39" borderId="41" xfId="357" applyNumberFormat="1" applyFont="1" applyFill="1" applyBorder="1" applyAlignment="1" applyProtection="1">
      <alignment horizontal="center" vertical="center"/>
      <protection hidden="1"/>
    </xf>
    <xf numFmtId="0" fontId="55" fillId="29" borderId="94" xfId="349" applyFont="1" applyFill="1" applyBorder="1" applyAlignment="1" applyProtection="1">
      <alignment horizontal="center" vertical="center"/>
    </xf>
    <xf numFmtId="0" fontId="55" fillId="40" borderId="94" xfId="426" applyNumberFormat="1" applyFont="1" applyFill="1" applyBorder="1" applyAlignment="1" applyProtection="1">
      <alignment horizontal="center" vertical="center" wrapText="1"/>
    </xf>
    <xf numFmtId="0" fontId="70" fillId="31" borderId="43" xfId="356" applyFont="1" applyFill="1" applyBorder="1" applyAlignment="1">
      <alignment horizontal="left" vertical="center" wrapText="1"/>
    </xf>
    <xf numFmtId="190" fontId="70" fillId="31" borderId="43" xfId="356" applyNumberFormat="1" applyFont="1" applyFill="1" applyBorder="1" applyAlignment="1">
      <alignment horizontal="center" vertical="center"/>
    </xf>
    <xf numFmtId="4" fontId="70" fillId="31" borderId="43" xfId="356" applyNumberFormat="1" applyFont="1" applyFill="1" applyBorder="1" applyAlignment="1">
      <alignment horizontal="center" vertical="center"/>
    </xf>
    <xf numFmtId="9" fontId="70" fillId="31" borderId="43" xfId="356" applyNumberFormat="1" applyFont="1" applyFill="1" applyBorder="1" applyAlignment="1">
      <alignment horizontal="center" vertical="center"/>
    </xf>
    <xf numFmtId="9" fontId="70" fillId="31" borderId="54" xfId="356" applyNumberFormat="1" applyFont="1" applyFill="1" applyBorder="1" applyAlignment="1">
      <alignment horizontal="center" vertical="center"/>
    </xf>
    <xf numFmtId="190" fontId="70" fillId="31" borderId="44" xfId="356" applyNumberFormat="1" applyFont="1" applyFill="1" applyBorder="1" applyAlignment="1">
      <alignment horizontal="center" vertical="center"/>
    </xf>
    <xf numFmtId="167" fontId="14" fillId="0" borderId="94" xfId="3" applyFont="1" applyFill="1" applyBorder="1" applyAlignment="1" applyProtection="1">
      <alignment vertical="center" wrapText="1"/>
      <protection hidden="1"/>
    </xf>
    <xf numFmtId="167" fontId="13" fillId="0" borderId="94" xfId="3" applyFont="1" applyFill="1" applyBorder="1" applyAlignment="1" applyProtection="1">
      <alignment vertical="center" wrapText="1"/>
      <protection hidden="1"/>
    </xf>
    <xf numFmtId="0" fontId="48" fillId="32" borderId="94" xfId="350" applyFont="1" applyFill="1" applyBorder="1" applyAlignment="1">
      <alignment horizontal="justify" vertical="center"/>
    </xf>
    <xf numFmtId="0" fontId="10" fillId="0" borderId="94" xfId="350" applyFont="1" applyFill="1" applyBorder="1" applyAlignment="1" applyProtection="1">
      <alignment horizontal="center" vertical="center" wrapText="1"/>
      <protection hidden="1"/>
    </xf>
    <xf numFmtId="0" fontId="48" fillId="0" borderId="94" xfId="420" applyFont="1" applyFill="1" applyBorder="1" applyAlignment="1">
      <alignment horizontal="center" vertical="center" wrapText="1"/>
    </xf>
    <xf numFmtId="0" fontId="48" fillId="32" borderId="94" xfId="350" applyFont="1" applyFill="1" applyBorder="1" applyAlignment="1">
      <alignment horizontal="justify" vertical="center" wrapText="1"/>
    </xf>
    <xf numFmtId="0" fontId="10" fillId="0" borderId="56" xfId="350" applyFont="1" applyFill="1" applyBorder="1" applyAlignment="1" applyProtection="1">
      <alignment horizontal="justify" vertical="center"/>
      <protection hidden="1"/>
    </xf>
    <xf numFmtId="0" fontId="10" fillId="0" borderId="94" xfId="350" applyFont="1" applyFill="1" applyBorder="1" applyAlignment="1" applyProtection="1">
      <alignment vertical="center" wrapText="1"/>
      <protection hidden="1"/>
    </xf>
    <xf numFmtId="0" fontId="48" fillId="0" borderId="94" xfId="420" applyFont="1" applyFill="1" applyBorder="1" applyAlignment="1">
      <alignment horizontal="justify" vertical="center" wrapText="1"/>
    </xf>
    <xf numFmtId="0" fontId="10" fillId="0" borderId="94" xfId="350" applyFont="1" applyFill="1" applyBorder="1" applyAlignment="1" applyProtection="1">
      <alignment horizontal="left" vertical="center" wrapText="1"/>
      <protection hidden="1"/>
    </xf>
    <xf numFmtId="0" fontId="10" fillId="0" borderId="94" xfId="416" applyFont="1" applyBorder="1" applyAlignment="1">
      <alignment horizontal="left" vertical="center" wrapText="1"/>
    </xf>
    <xf numFmtId="0" fontId="48" fillId="0" borderId="0" xfId="350" applyFont="1" applyFill="1" applyAlignment="1">
      <alignment horizontal="center" vertical="center"/>
    </xf>
    <xf numFmtId="164" fontId="10" fillId="0" borderId="94" xfId="350" applyNumberFormat="1" applyFont="1" applyFill="1" applyBorder="1" applyAlignment="1" applyProtection="1">
      <alignment horizontal="center" vertical="center"/>
      <protection hidden="1"/>
    </xf>
    <xf numFmtId="0" fontId="48" fillId="37" borderId="94" xfId="350" applyFont="1" applyFill="1" applyBorder="1" applyAlignment="1">
      <alignment horizontal="justify" vertical="center" wrapText="1"/>
    </xf>
    <xf numFmtId="0" fontId="48" fillId="37" borderId="94" xfId="420" applyFont="1" applyFill="1" applyBorder="1" applyAlignment="1">
      <alignment horizontal="justify" vertical="center" wrapText="1"/>
    </xf>
    <xf numFmtId="0" fontId="60" fillId="35" borderId="94" xfId="350" applyFont="1" applyFill="1" applyBorder="1" applyAlignment="1">
      <alignment horizontal="left" vertical="center"/>
    </xf>
    <xf numFmtId="0" fontId="48" fillId="0" borderId="94" xfId="350" applyFont="1" applyFill="1" applyBorder="1" applyAlignment="1">
      <alignment horizontal="left" vertical="center" wrapText="1"/>
    </xf>
    <xf numFmtId="0" fontId="51" fillId="35" borderId="94" xfId="0" applyFont="1" applyFill="1" applyBorder="1" applyAlignment="1">
      <alignment vertical="center" wrapText="1"/>
    </xf>
    <xf numFmtId="0" fontId="48" fillId="0" borderId="94" xfId="350" applyFont="1" applyFill="1" applyBorder="1" applyAlignment="1">
      <alignment horizontal="justify" vertical="center"/>
    </xf>
    <xf numFmtId="0" fontId="98" fillId="0" borderId="94" xfId="416" applyFont="1" applyBorder="1" applyAlignment="1">
      <alignment horizontal="justify" vertical="center" wrapText="1"/>
    </xf>
    <xf numFmtId="0" fontId="48" fillId="35" borderId="94" xfId="350" applyFont="1" applyFill="1" applyBorder="1" applyAlignment="1">
      <alignment horizontal="justify" vertical="center" wrapText="1"/>
    </xf>
    <xf numFmtId="0" fontId="51" fillId="35" borderId="94" xfId="0" applyFont="1" applyFill="1" applyBorder="1" applyAlignment="1">
      <alignment horizontal="justify" vertical="center" wrapText="1"/>
    </xf>
    <xf numFmtId="0" fontId="48" fillId="0" borderId="94" xfId="350" applyFont="1" applyFill="1" applyBorder="1" applyAlignment="1">
      <alignment horizontal="center" vertical="center" wrapText="1"/>
    </xf>
    <xf numFmtId="0" fontId="98" fillId="0" borderId="94" xfId="0" applyFont="1" applyBorder="1" applyAlignment="1">
      <alignment vertical="center" wrapText="1"/>
    </xf>
    <xf numFmtId="0" fontId="98" fillId="0" borderId="94" xfId="416" applyFont="1" applyFill="1" applyBorder="1" applyAlignment="1">
      <alignment horizontal="justify" vertical="center" wrapText="1"/>
    </xf>
    <xf numFmtId="0" fontId="48" fillId="0" borderId="94" xfId="416" applyFont="1" applyBorder="1" applyAlignment="1">
      <alignment horizontal="justify" vertical="center" wrapText="1"/>
    </xf>
    <xf numFmtId="0" fontId="48" fillId="0" borderId="94" xfId="350" applyFont="1" applyFill="1" applyBorder="1" applyAlignment="1">
      <alignment horizontal="center" vertical="center"/>
    </xf>
    <xf numFmtId="0" fontId="47" fillId="0" borderId="94" xfId="416" applyFont="1" applyBorder="1" applyAlignment="1">
      <alignment horizontal="justify" vertical="center" wrapText="1"/>
    </xf>
    <xf numFmtId="0" fontId="51" fillId="0" borderId="94" xfId="420" applyFont="1" applyFill="1" applyBorder="1" applyAlignment="1" applyProtection="1">
      <alignment horizontal="center" vertical="center" wrapText="1"/>
      <protection hidden="1"/>
    </xf>
    <xf numFmtId="164" fontId="48" fillId="0" borderId="94" xfId="420" applyNumberFormat="1" applyFont="1" applyFill="1" applyBorder="1" applyAlignment="1" applyProtection="1">
      <alignment horizontal="center" vertical="center"/>
      <protection hidden="1"/>
    </xf>
    <xf numFmtId="0" fontId="48" fillId="0" borderId="94" xfId="420" applyFont="1" applyFill="1" applyBorder="1" applyAlignment="1" applyProtection="1">
      <alignment horizontal="justify" vertical="center"/>
      <protection hidden="1"/>
    </xf>
    <xf numFmtId="0" fontId="62" fillId="32" borderId="94" xfId="350" applyFont="1" applyFill="1" applyBorder="1" applyAlignment="1">
      <alignment horizontal="center" vertical="center" wrapText="1"/>
    </xf>
    <xf numFmtId="0" fontId="62" fillId="37" borderId="94" xfId="350" applyFont="1" applyFill="1" applyBorder="1" applyAlignment="1">
      <alignment horizontal="center" vertical="center" wrapText="1"/>
    </xf>
    <xf numFmtId="0" fontId="64" fillId="35" borderId="94" xfId="350" applyFont="1" applyFill="1" applyBorder="1" applyAlignment="1">
      <alignment horizontal="center" vertical="center" wrapText="1"/>
    </xf>
    <xf numFmtId="0" fontId="62" fillId="35" borderId="94" xfId="350" applyFont="1" applyFill="1" applyBorder="1" applyAlignment="1">
      <alignment horizontal="center" vertical="center"/>
    </xf>
    <xf numFmtId="0" fontId="78" fillId="35" borderId="94" xfId="0" applyFont="1" applyFill="1" applyBorder="1" applyAlignment="1">
      <alignment horizontal="center" vertical="center" wrapText="1"/>
    </xf>
    <xf numFmtId="0" fontId="62" fillId="0" borderId="0" xfId="351" applyFont="1" applyAlignment="1">
      <alignment horizontal="center" vertical="center"/>
    </xf>
    <xf numFmtId="0" fontId="10" fillId="0" borderId="0" xfId="0" applyFont="1" applyBorder="1" applyAlignment="1" applyProtection="1">
      <alignment horizontal="left" vertical="center" wrapText="1"/>
    </xf>
    <xf numFmtId="0" fontId="10" fillId="0" borderId="0" xfId="0" applyFont="1" applyFill="1" applyAlignment="1" applyProtection="1">
      <alignment horizontal="justify" vertical="top" wrapText="1"/>
    </xf>
    <xf numFmtId="0" fontId="0" fillId="0" borderId="0" xfId="0" applyFill="1" applyAlignment="1" applyProtection="1">
      <alignment horizontal="justify" vertical="top" wrapText="1"/>
    </xf>
    <xf numFmtId="0" fontId="14" fillId="31" borderId="20" xfId="0" applyFont="1" applyFill="1" applyBorder="1" applyAlignment="1" applyProtection="1">
      <alignment horizontal="center" vertical="center" wrapText="1"/>
    </xf>
    <xf numFmtId="0" fontId="14" fillId="31" borderId="17" xfId="0" applyFont="1" applyFill="1" applyBorder="1" applyAlignment="1" applyProtection="1">
      <alignment horizontal="center" vertical="center" wrapText="1"/>
    </xf>
    <xf numFmtId="0" fontId="58" fillId="31" borderId="18" xfId="0" applyFont="1" applyFill="1" applyBorder="1" applyAlignment="1" applyProtection="1">
      <alignment horizontal="justify" vertical="center" wrapText="1"/>
    </xf>
    <xf numFmtId="0" fontId="58" fillId="31" borderId="19" xfId="0" applyFont="1" applyFill="1" applyBorder="1" applyAlignment="1" applyProtection="1">
      <alignment horizontal="justify" vertical="center" wrapText="1"/>
    </xf>
    <xf numFmtId="0" fontId="11" fillId="31" borderId="18" xfId="0" applyFont="1" applyFill="1" applyBorder="1" applyAlignment="1" applyProtection="1">
      <alignment horizontal="center" vertical="center" wrapText="1"/>
    </xf>
    <xf numFmtId="0" fontId="11" fillId="31" borderId="19" xfId="0" applyFont="1" applyFill="1" applyBorder="1" applyAlignment="1" applyProtection="1">
      <alignment horizontal="center" vertical="center" wrapText="1"/>
    </xf>
    <xf numFmtId="0" fontId="46" fillId="31" borderId="48" xfId="0" applyFont="1" applyFill="1" applyBorder="1" applyAlignment="1" applyProtection="1">
      <alignment horizontal="center" vertical="center" wrapText="1"/>
    </xf>
    <xf numFmtId="0" fontId="46" fillId="31" borderId="50" xfId="0" applyFont="1" applyFill="1" applyBorder="1" applyAlignment="1" applyProtection="1">
      <alignment horizontal="center" vertical="center" wrapText="1"/>
    </xf>
    <xf numFmtId="0" fontId="63" fillId="31" borderId="49" xfId="351" applyFont="1" applyFill="1" applyBorder="1" applyAlignment="1">
      <alignment horizontal="center" wrapText="1"/>
    </xf>
    <xf numFmtId="0" fontId="63" fillId="31" borderId="50" xfId="351" applyFont="1" applyFill="1" applyBorder="1" applyAlignment="1">
      <alignment horizontal="center" wrapText="1"/>
    </xf>
    <xf numFmtId="0" fontId="82" fillId="31" borderId="0" xfId="351" applyFont="1" applyFill="1" applyBorder="1" applyAlignment="1">
      <alignment horizontal="center"/>
    </xf>
    <xf numFmtId="0" fontId="82" fillId="31" borderId="19" xfId="351" applyFont="1" applyFill="1" applyBorder="1" applyAlignment="1">
      <alignment horizontal="center"/>
    </xf>
    <xf numFmtId="0" fontId="64" fillId="31" borderId="0" xfId="351" applyFont="1" applyFill="1" applyBorder="1" applyAlignment="1">
      <alignment horizontal="center" vertical="center" wrapText="1"/>
    </xf>
    <xf numFmtId="0" fontId="64" fillId="31" borderId="19" xfId="351" applyFont="1" applyFill="1" applyBorder="1" applyAlignment="1">
      <alignment horizontal="center" vertical="center" wrapText="1"/>
    </xf>
    <xf numFmtId="0" fontId="62" fillId="0" borderId="0" xfId="351" applyFont="1" applyAlignment="1">
      <alignment horizontal="center" vertical="center" wrapText="1"/>
    </xf>
    <xf numFmtId="0" fontId="62" fillId="31" borderId="48" xfId="351" applyFont="1" applyFill="1" applyBorder="1" applyAlignment="1">
      <alignment horizontal="center"/>
    </xf>
    <xf numFmtId="0" fontId="62" fillId="31" borderId="18" xfId="351" applyFont="1" applyFill="1" applyBorder="1" applyAlignment="1">
      <alignment horizontal="center"/>
    </xf>
    <xf numFmtId="0" fontId="64" fillId="32" borderId="20" xfId="351" applyFont="1" applyFill="1" applyBorder="1" applyAlignment="1">
      <alignment horizontal="center" wrapText="1"/>
    </xf>
    <xf numFmtId="0" fontId="64" fillId="32" borderId="21" xfId="351" applyFont="1" applyFill="1" applyBorder="1" applyAlignment="1">
      <alignment horizontal="center" wrapText="1"/>
    </xf>
    <xf numFmtId="0" fontId="64" fillId="32" borderId="17" xfId="351" applyFont="1" applyFill="1" applyBorder="1" applyAlignment="1">
      <alignment horizontal="center" wrapText="1"/>
    </xf>
    <xf numFmtId="0" fontId="60" fillId="31" borderId="20" xfId="351" applyFont="1" applyFill="1" applyBorder="1" applyAlignment="1">
      <alignment horizontal="center" vertical="center" wrapText="1"/>
    </xf>
    <xf numFmtId="0" fontId="60" fillId="31" borderId="21" xfId="351" applyFont="1" applyFill="1" applyBorder="1" applyAlignment="1">
      <alignment horizontal="center" vertical="center" wrapText="1"/>
    </xf>
    <xf numFmtId="0" fontId="60" fillId="31" borderId="17" xfId="351" applyFont="1" applyFill="1" applyBorder="1" applyAlignment="1">
      <alignment horizontal="center" vertical="center" wrapText="1"/>
    </xf>
    <xf numFmtId="0" fontId="11" fillId="32" borderId="94" xfId="1" applyNumberFormat="1" applyFont="1" applyFill="1" applyBorder="1" applyAlignment="1" applyProtection="1">
      <alignment horizontal="center" vertical="center" wrapText="1"/>
      <protection hidden="1"/>
    </xf>
    <xf numFmtId="0" fontId="61" fillId="33" borderId="94" xfId="0" applyFont="1" applyFill="1" applyBorder="1" applyAlignment="1" applyProtection="1">
      <alignment horizontal="center" vertical="center" wrapText="1"/>
      <protection hidden="1"/>
    </xf>
    <xf numFmtId="0" fontId="113" fillId="31" borderId="0" xfId="2" applyFont="1" applyFill="1" applyBorder="1" applyAlignment="1" applyProtection="1">
      <alignment horizontal="center" vertical="center" wrapText="1"/>
      <protection hidden="1"/>
    </xf>
    <xf numFmtId="0" fontId="13" fillId="40" borderId="0" xfId="2" applyFont="1" applyFill="1" applyBorder="1" applyAlignment="1" applyProtection="1">
      <alignment horizontal="center" vertical="center" wrapText="1"/>
      <protection hidden="1"/>
    </xf>
    <xf numFmtId="0" fontId="14" fillId="34" borderId="41" xfId="0" applyFont="1" applyFill="1" applyBorder="1" applyAlignment="1" applyProtection="1">
      <alignment horizontal="center" vertical="center"/>
      <protection hidden="1"/>
    </xf>
    <xf numFmtId="0" fontId="53" fillId="33" borderId="41" xfId="0" applyFont="1" applyFill="1" applyBorder="1" applyAlignment="1" applyProtection="1">
      <alignment horizontal="center" vertical="center" textRotation="255" wrapText="1"/>
      <protection hidden="1"/>
    </xf>
    <xf numFmtId="0" fontId="13" fillId="0" borderId="0" xfId="2" applyFont="1" applyFill="1" applyAlignment="1" applyProtection="1">
      <alignment horizontal="left" vertical="center" wrapText="1"/>
      <protection hidden="1"/>
    </xf>
    <xf numFmtId="168" fontId="11" fillId="33" borderId="41" xfId="3" applyNumberFormat="1" applyFont="1" applyFill="1" applyBorder="1" applyAlignment="1" applyProtection="1">
      <alignment horizontal="center" vertical="center" wrapText="1"/>
      <protection hidden="1"/>
    </xf>
    <xf numFmtId="167" fontId="11" fillId="33" borderId="41" xfId="3" applyFont="1" applyFill="1" applyBorder="1" applyAlignment="1" applyProtection="1">
      <alignment horizontal="center" vertical="center" wrapText="1"/>
      <protection hidden="1"/>
    </xf>
    <xf numFmtId="0" fontId="59" fillId="33" borderId="41" xfId="0" applyFont="1" applyFill="1" applyBorder="1" applyAlignment="1" applyProtection="1">
      <alignment horizontal="center" vertical="center" textRotation="255" wrapText="1"/>
      <protection hidden="1"/>
    </xf>
    <xf numFmtId="170" fontId="11" fillId="33" borderId="41" xfId="3" applyNumberFormat="1" applyFont="1" applyFill="1" applyBorder="1" applyAlignment="1" applyProtection="1">
      <alignment horizontal="center" vertical="center" wrapText="1"/>
      <protection hidden="1"/>
    </xf>
    <xf numFmtId="167" fontId="14" fillId="33" borderId="116" xfId="3" applyFont="1" applyFill="1" applyBorder="1" applyAlignment="1" applyProtection="1">
      <alignment horizontal="center" vertical="center" wrapText="1"/>
    </xf>
    <xf numFmtId="167" fontId="14" fillId="33" borderId="117" xfId="3" applyFont="1" applyFill="1" applyBorder="1" applyAlignment="1" applyProtection="1">
      <alignment horizontal="center" vertical="center" wrapText="1"/>
    </xf>
    <xf numFmtId="189" fontId="11" fillId="40" borderId="116" xfId="3" applyNumberFormat="1" applyFont="1" applyFill="1" applyBorder="1" applyAlignment="1" applyProtection="1">
      <alignment horizontal="center" vertical="center" wrapText="1"/>
      <protection locked="0"/>
    </xf>
    <xf numFmtId="189" fontId="11" fillId="40" borderId="117" xfId="3" applyNumberFormat="1" applyFont="1" applyFill="1" applyBorder="1" applyAlignment="1" applyProtection="1">
      <alignment horizontal="center" vertical="center" wrapText="1"/>
      <protection locked="0"/>
    </xf>
    <xf numFmtId="0" fontId="46" fillId="31" borderId="18" xfId="2" applyFont="1" applyFill="1" applyBorder="1" applyAlignment="1" applyProtection="1">
      <alignment horizontal="center" vertical="center" wrapText="1"/>
      <protection hidden="1"/>
    </xf>
    <xf numFmtId="0" fontId="46" fillId="31" borderId="0" xfId="2" applyFont="1" applyFill="1" applyBorder="1" applyAlignment="1" applyProtection="1">
      <alignment horizontal="center" vertical="center" wrapText="1"/>
      <protection hidden="1"/>
    </xf>
    <xf numFmtId="0" fontId="14" fillId="33" borderId="41" xfId="2" applyNumberFormat="1" applyFont="1" applyFill="1" applyBorder="1" applyAlignment="1" applyProtection="1">
      <alignment horizontal="center" vertical="center" wrapText="1"/>
      <protection hidden="1"/>
    </xf>
    <xf numFmtId="0" fontId="14" fillId="44" borderId="94" xfId="2" applyNumberFormat="1" applyFont="1" applyFill="1" applyBorder="1" applyAlignment="1" applyProtection="1">
      <alignment horizontal="center" vertical="center" wrapText="1"/>
    </xf>
    <xf numFmtId="0" fontId="14" fillId="0" borderId="41" xfId="2" applyFont="1" applyFill="1" applyBorder="1" applyAlignment="1" applyProtection="1">
      <alignment horizontal="center" vertical="center" wrapText="1"/>
      <protection hidden="1"/>
    </xf>
    <xf numFmtId="0" fontId="14" fillId="29" borderId="41" xfId="2" applyFont="1" applyFill="1" applyBorder="1" applyAlignment="1" applyProtection="1">
      <alignment horizontal="center" vertical="center" wrapText="1"/>
      <protection hidden="1"/>
    </xf>
    <xf numFmtId="0" fontId="100" fillId="29" borderId="116" xfId="2" applyFont="1" applyFill="1" applyBorder="1" applyAlignment="1" applyProtection="1">
      <alignment horizontal="center" vertical="center" wrapText="1"/>
    </xf>
    <xf numFmtId="0" fontId="100" fillId="29" borderId="117" xfId="2" applyFont="1" applyFill="1" applyBorder="1" applyAlignment="1" applyProtection="1">
      <alignment horizontal="center" vertical="center" wrapText="1"/>
    </xf>
    <xf numFmtId="0" fontId="100" fillId="33" borderId="116" xfId="2" applyFont="1" applyFill="1" applyBorder="1" applyAlignment="1" applyProtection="1">
      <alignment horizontal="center" vertical="center" wrapText="1"/>
    </xf>
    <xf numFmtId="0" fontId="100" fillId="33" borderId="117" xfId="2" applyFont="1" applyFill="1" applyBorder="1" applyAlignment="1" applyProtection="1">
      <alignment horizontal="center" vertical="center" wrapText="1"/>
    </xf>
    <xf numFmtId="0" fontId="100" fillId="44" borderId="116" xfId="2" applyFont="1" applyFill="1" applyBorder="1" applyAlignment="1" applyProtection="1">
      <alignment horizontal="center" vertical="center" wrapText="1"/>
    </xf>
    <xf numFmtId="0" fontId="100" fillId="44" borderId="117" xfId="2" applyFont="1" applyFill="1" applyBorder="1" applyAlignment="1" applyProtection="1">
      <alignment horizontal="center" vertical="center" wrapText="1"/>
    </xf>
    <xf numFmtId="0" fontId="14" fillId="31" borderId="18" xfId="2" applyFont="1" applyFill="1" applyBorder="1" applyAlignment="1" applyProtection="1">
      <alignment horizontal="center" vertical="center" wrapText="1"/>
    </xf>
    <xf numFmtId="0" fontId="14" fillId="31" borderId="0" xfId="2" applyFont="1" applyFill="1" applyBorder="1" applyAlignment="1" applyProtection="1">
      <alignment horizontal="center" vertical="center" wrapText="1"/>
    </xf>
    <xf numFmtId="0" fontId="79" fillId="0" borderId="2" xfId="349" applyFont="1" applyFill="1" applyBorder="1" applyAlignment="1" applyProtection="1">
      <alignment horizontal="left" vertical="center" wrapText="1"/>
      <protection hidden="1"/>
    </xf>
    <xf numFmtId="0" fontId="79" fillId="0" borderId="51" xfId="349" applyFont="1" applyFill="1" applyBorder="1" applyAlignment="1" applyProtection="1">
      <alignment horizontal="left" vertical="center" wrapText="1"/>
      <protection hidden="1"/>
    </xf>
    <xf numFmtId="0" fontId="79" fillId="0" borderId="56" xfId="349" applyFont="1" applyFill="1" applyBorder="1" applyAlignment="1" applyProtection="1">
      <alignment horizontal="left" vertical="center" wrapText="1"/>
      <protection hidden="1"/>
    </xf>
    <xf numFmtId="0" fontId="57" fillId="0" borderId="41" xfId="349" applyFont="1" applyFill="1" applyBorder="1" applyAlignment="1" applyProtection="1">
      <alignment horizontal="justify" vertical="center" wrapText="1"/>
      <protection hidden="1"/>
    </xf>
    <xf numFmtId="0" fontId="56" fillId="29" borderId="41" xfId="349" applyFont="1" applyFill="1" applyBorder="1" applyAlignment="1" applyProtection="1">
      <alignment horizontal="center" vertical="center" wrapText="1"/>
      <protection hidden="1"/>
    </xf>
    <xf numFmtId="0" fontId="56" fillId="33" borderId="105" xfId="349" applyFont="1" applyFill="1" applyBorder="1" applyAlignment="1" applyProtection="1">
      <alignment horizontal="center" vertical="center" wrapText="1"/>
    </xf>
    <xf numFmtId="0" fontId="56" fillId="33" borderId="123" xfId="349" applyFont="1" applyFill="1" applyBorder="1" applyAlignment="1" applyProtection="1">
      <alignment horizontal="center" vertical="center" wrapText="1"/>
    </xf>
    <xf numFmtId="0" fontId="46" fillId="31" borderId="48" xfId="2" applyFont="1" applyFill="1" applyBorder="1" applyAlignment="1" applyProtection="1">
      <alignment horizontal="center" vertical="center" wrapText="1"/>
      <protection hidden="1"/>
    </xf>
    <xf numFmtId="0" fontId="46" fillId="31" borderId="49" xfId="2" applyFont="1" applyFill="1" applyBorder="1" applyAlignment="1" applyProtection="1">
      <alignment horizontal="center" vertical="center" wrapText="1"/>
      <protection hidden="1"/>
    </xf>
    <xf numFmtId="0" fontId="46" fillId="31" borderId="50" xfId="2" applyFont="1" applyFill="1" applyBorder="1" applyAlignment="1" applyProtection="1">
      <alignment horizontal="center" vertical="center" wrapText="1"/>
      <protection hidden="1"/>
    </xf>
    <xf numFmtId="0" fontId="11" fillId="31" borderId="18" xfId="2" applyFont="1" applyFill="1" applyBorder="1" applyAlignment="1" applyProtection="1">
      <alignment horizontal="center" vertical="center" wrapText="1"/>
      <protection hidden="1"/>
    </xf>
    <xf numFmtId="0" fontId="11" fillId="31" borderId="0" xfId="2" applyFont="1" applyFill="1" applyBorder="1" applyAlignment="1" applyProtection="1">
      <alignment horizontal="center" vertical="center" wrapText="1"/>
      <protection hidden="1"/>
    </xf>
    <xf numFmtId="0" fontId="11" fillId="31" borderId="19" xfId="2" applyFont="1" applyFill="1" applyBorder="1" applyAlignment="1" applyProtection="1">
      <alignment horizontal="center" vertical="center" wrapText="1"/>
      <protection hidden="1"/>
    </xf>
    <xf numFmtId="0" fontId="41" fillId="31" borderId="18" xfId="2" applyFont="1" applyFill="1" applyBorder="1" applyAlignment="1" applyProtection="1">
      <alignment horizontal="center" vertical="center" wrapText="1"/>
      <protection hidden="1"/>
    </xf>
    <xf numFmtId="0" fontId="41" fillId="31" borderId="0" xfId="2" applyFont="1" applyFill="1" applyBorder="1" applyAlignment="1" applyProtection="1">
      <alignment horizontal="center" vertical="center" wrapText="1"/>
      <protection hidden="1"/>
    </xf>
    <xf numFmtId="0" fontId="41" fillId="31" borderId="19" xfId="2" applyFont="1" applyFill="1" applyBorder="1" applyAlignment="1" applyProtection="1">
      <alignment horizontal="center" vertical="center" wrapText="1"/>
      <protection hidden="1"/>
    </xf>
    <xf numFmtId="0" fontId="14" fillId="31" borderId="20" xfId="2" applyFont="1" applyFill="1" applyBorder="1" applyAlignment="1" applyProtection="1">
      <alignment horizontal="center" vertical="center" wrapText="1"/>
      <protection hidden="1"/>
    </xf>
    <xf numFmtId="0" fontId="14" fillId="31" borderId="21" xfId="2" applyFont="1" applyFill="1" applyBorder="1" applyAlignment="1" applyProtection="1">
      <alignment horizontal="center" vertical="center" wrapText="1"/>
      <protection hidden="1"/>
    </xf>
    <xf numFmtId="0" fontId="14" fillId="31" borderId="17" xfId="2" applyFont="1" applyFill="1" applyBorder="1" applyAlignment="1" applyProtection="1">
      <alignment horizontal="center" vertical="center" wrapText="1"/>
      <protection hidden="1"/>
    </xf>
    <xf numFmtId="0" fontId="56" fillId="29" borderId="2" xfId="349" applyFont="1" applyFill="1" applyBorder="1" applyAlignment="1" applyProtection="1">
      <alignment horizontal="center" vertical="center" wrapText="1"/>
      <protection hidden="1"/>
    </xf>
    <xf numFmtId="0" fontId="56" fillId="29" borderId="51" xfId="349" applyFont="1" applyFill="1" applyBorder="1" applyAlignment="1" applyProtection="1">
      <alignment horizontal="center" vertical="center" wrapText="1"/>
      <protection hidden="1"/>
    </xf>
    <xf numFmtId="0" fontId="56" fillId="29" borderId="56" xfId="349" applyFont="1" applyFill="1" applyBorder="1" applyAlignment="1" applyProtection="1">
      <alignment horizontal="center" vertical="center" wrapText="1"/>
      <protection hidden="1"/>
    </xf>
    <xf numFmtId="0" fontId="55" fillId="29" borderId="106" xfId="349" applyFont="1" applyFill="1" applyBorder="1" applyAlignment="1" applyProtection="1">
      <alignment horizontal="center" vertical="center"/>
    </xf>
    <xf numFmtId="0" fontId="55" fillId="29" borderId="107" xfId="349" applyFont="1" applyFill="1" applyBorder="1" applyAlignment="1" applyProtection="1">
      <alignment horizontal="center" vertical="center"/>
    </xf>
    <xf numFmtId="0" fontId="55" fillId="29" borderId="108" xfId="349" applyFont="1" applyFill="1" applyBorder="1" applyAlignment="1" applyProtection="1">
      <alignment horizontal="center" vertical="center"/>
    </xf>
    <xf numFmtId="0" fontId="55" fillId="29" borderId="103" xfId="349" applyFont="1" applyFill="1" applyBorder="1" applyAlignment="1" applyProtection="1">
      <alignment horizontal="center" vertical="center" wrapText="1"/>
    </xf>
    <xf numFmtId="0" fontId="55" fillId="29" borderId="104" xfId="349" applyFont="1" applyFill="1" applyBorder="1" applyAlignment="1" applyProtection="1">
      <alignment horizontal="center" vertical="center" wrapText="1"/>
    </xf>
    <xf numFmtId="0" fontId="55" fillId="29" borderId="100" xfId="349" applyFont="1" applyFill="1" applyBorder="1" applyAlignment="1" applyProtection="1">
      <alignment horizontal="center" vertical="center"/>
    </xf>
    <xf numFmtId="0" fontId="55" fillId="29" borderId="101" xfId="349" applyFont="1" applyFill="1" applyBorder="1" applyAlignment="1" applyProtection="1">
      <alignment horizontal="center" vertical="center"/>
    </xf>
    <xf numFmtId="0" fontId="55" fillId="29" borderId="94" xfId="349" applyFont="1" applyFill="1" applyBorder="1" applyAlignment="1" applyProtection="1">
      <alignment horizontal="center" vertical="center"/>
    </xf>
    <xf numFmtId="0" fontId="56" fillId="30" borderId="110" xfId="349" applyFont="1" applyFill="1" applyBorder="1" applyAlignment="1" applyProtection="1">
      <alignment horizontal="left" vertical="center"/>
    </xf>
    <xf numFmtId="0" fontId="56" fillId="30" borderId="111" xfId="349" applyFont="1" applyFill="1" applyBorder="1" applyAlignment="1" applyProtection="1">
      <alignment horizontal="left" vertical="center"/>
    </xf>
    <xf numFmtId="0" fontId="56" fillId="30" borderId="0" xfId="349" applyFont="1" applyFill="1" applyBorder="1" applyAlignment="1" applyProtection="1">
      <alignment horizontal="left" vertical="center"/>
    </xf>
    <xf numFmtId="0" fontId="56" fillId="30" borderId="112" xfId="349" applyFont="1" applyFill="1" applyBorder="1" applyAlignment="1" applyProtection="1">
      <alignment horizontal="left" vertical="center"/>
    </xf>
    <xf numFmtId="0" fontId="56" fillId="30" borderId="114" xfId="349" applyFont="1" applyFill="1" applyBorder="1" applyAlignment="1" applyProtection="1">
      <alignment horizontal="left" vertical="center"/>
    </xf>
    <xf numFmtId="0" fontId="56" fillId="30" borderId="115" xfId="349" applyFont="1" applyFill="1" applyBorder="1" applyAlignment="1" applyProtection="1">
      <alignment horizontal="left" vertical="center"/>
    </xf>
    <xf numFmtId="0" fontId="55" fillId="29" borderId="118" xfId="349" applyFont="1" applyFill="1" applyBorder="1" applyAlignment="1" applyProtection="1">
      <alignment horizontal="center"/>
      <protection hidden="1"/>
    </xf>
    <xf numFmtId="0" fontId="55" fillId="29" borderId="100" xfId="349" applyFont="1" applyFill="1" applyBorder="1" applyAlignment="1" applyProtection="1">
      <alignment horizontal="center"/>
      <protection hidden="1"/>
    </xf>
    <xf numFmtId="0" fontId="55" fillId="29" borderId="119" xfId="349" applyFont="1" applyFill="1" applyBorder="1" applyAlignment="1" applyProtection="1">
      <alignment horizontal="center"/>
      <protection hidden="1"/>
    </xf>
    <xf numFmtId="193" fontId="12" fillId="33" borderId="41" xfId="0" applyNumberFormat="1" applyFont="1" applyFill="1" applyBorder="1" applyAlignment="1" applyProtection="1">
      <alignment horizontal="center" vertical="center"/>
      <protection hidden="1"/>
    </xf>
    <xf numFmtId="0" fontId="12" fillId="33" borderId="41" xfId="0" applyFont="1" applyFill="1" applyBorder="1" applyAlignment="1" applyProtection="1">
      <alignment horizontal="center" vertical="center"/>
      <protection hidden="1"/>
    </xf>
    <xf numFmtId="193" fontId="10" fillId="33" borderId="41" xfId="0" applyNumberFormat="1" applyFont="1" applyFill="1" applyBorder="1" applyAlignment="1" applyProtection="1">
      <alignment horizontal="center" vertical="center"/>
      <protection hidden="1"/>
    </xf>
    <xf numFmtId="0" fontId="10" fillId="33" borderId="41" xfId="0" applyFont="1" applyFill="1" applyBorder="1" applyAlignment="1" applyProtection="1">
      <alignment horizontal="center" vertical="center"/>
      <protection hidden="1"/>
    </xf>
    <xf numFmtId="0" fontId="41" fillId="29" borderId="41" xfId="0" applyFont="1" applyFill="1" applyBorder="1" applyAlignment="1" applyProtection="1">
      <alignment horizontal="center" vertical="center" wrapText="1"/>
      <protection hidden="1"/>
    </xf>
    <xf numFmtId="49" fontId="41" fillId="29" borderId="41" xfId="0" applyNumberFormat="1" applyFont="1" applyFill="1" applyBorder="1" applyAlignment="1" applyProtection="1">
      <alignment horizontal="center" vertical="center"/>
      <protection hidden="1"/>
    </xf>
    <xf numFmtId="0" fontId="41" fillId="29" borderId="94" xfId="0" applyFont="1" applyFill="1" applyBorder="1" applyAlignment="1" applyProtection="1">
      <alignment horizontal="center" vertical="center" wrapText="1"/>
    </xf>
    <xf numFmtId="0" fontId="41" fillId="29" borderId="41" xfId="0" applyFont="1" applyFill="1" applyBorder="1" applyAlignment="1" applyProtection="1">
      <alignment horizontal="center"/>
      <protection hidden="1"/>
    </xf>
    <xf numFmtId="0" fontId="12" fillId="29" borderId="41" xfId="0" applyFont="1" applyFill="1" applyBorder="1" applyAlignment="1" applyProtection="1">
      <alignment horizontal="center" vertical="center"/>
      <protection hidden="1"/>
    </xf>
    <xf numFmtId="0" fontId="68" fillId="28" borderId="59" xfId="0" applyFont="1" applyFill="1" applyBorder="1" applyAlignment="1">
      <alignment horizontal="center" vertical="center"/>
    </xf>
    <xf numFmtId="0" fontId="68" fillId="28" borderId="58" xfId="0" applyFont="1" applyFill="1" applyBorder="1" applyAlignment="1">
      <alignment horizontal="center" vertical="center"/>
    </xf>
    <xf numFmtId="0" fontId="69" fillId="31" borderId="78" xfId="0" applyFont="1" applyFill="1" applyBorder="1" applyAlignment="1">
      <alignment horizontal="center" vertical="center"/>
    </xf>
    <xf numFmtId="0" fontId="69" fillId="31" borderId="64" xfId="0" applyFont="1" applyFill="1" applyBorder="1" applyAlignment="1">
      <alignment horizontal="center" vertical="center"/>
    </xf>
    <xf numFmtId="0" fontId="96" fillId="31" borderId="24" xfId="0" quotePrefix="1" applyFont="1" applyFill="1" applyBorder="1" applyAlignment="1" applyProtection="1">
      <alignment horizontal="center" vertical="center" wrapText="1"/>
    </xf>
    <xf numFmtId="0" fontId="96" fillId="31" borderId="25" xfId="0" quotePrefix="1" applyFont="1" applyFill="1" applyBorder="1" applyAlignment="1" applyProtection="1">
      <alignment horizontal="center" vertical="center" wrapText="1"/>
    </xf>
    <xf numFmtId="0" fontId="96" fillId="31" borderId="26" xfId="0" quotePrefix="1" applyFont="1" applyFill="1" applyBorder="1" applyAlignment="1" applyProtection="1">
      <alignment horizontal="center" vertical="center" wrapText="1"/>
    </xf>
    <xf numFmtId="0" fontId="68" fillId="31" borderId="22" xfId="0" applyFont="1" applyFill="1" applyBorder="1" applyAlignment="1" applyProtection="1">
      <alignment horizontal="center" vertical="center" wrapText="1"/>
    </xf>
    <xf numFmtId="0" fontId="68" fillId="31" borderId="29" xfId="0" applyFont="1" applyFill="1" applyBorder="1" applyAlignment="1" applyProtection="1">
      <alignment horizontal="center" vertical="center" wrapText="1"/>
    </xf>
    <xf numFmtId="0" fontId="68" fillId="31" borderId="23" xfId="0" applyFont="1" applyFill="1" applyBorder="1" applyAlignment="1" applyProtection="1">
      <alignment horizontal="center" vertical="center" wrapText="1"/>
    </xf>
    <xf numFmtId="0" fontId="68" fillId="31" borderId="30" xfId="0" applyFont="1" applyFill="1" applyBorder="1" applyAlignment="1" applyProtection="1">
      <alignment horizontal="center" vertical="center" wrapText="1"/>
    </xf>
    <xf numFmtId="0" fontId="68" fillId="31" borderId="32" xfId="0" applyFont="1" applyFill="1" applyBorder="1" applyAlignment="1" applyProtection="1">
      <alignment horizontal="center" vertical="center" wrapText="1"/>
    </xf>
    <xf numFmtId="0" fontId="68" fillId="31" borderId="31" xfId="0" applyFont="1" applyFill="1" applyBorder="1" applyAlignment="1" applyProtection="1">
      <alignment horizontal="center" vertical="center" wrapText="1"/>
    </xf>
    <xf numFmtId="0" fontId="93" fillId="36" borderId="79" xfId="0" applyFont="1" applyFill="1" applyBorder="1" applyAlignment="1" applyProtection="1">
      <alignment horizontal="left" vertical="center"/>
    </xf>
    <xf numFmtId="0" fontId="93" fillId="36" borderId="67" xfId="0" applyFont="1" applyFill="1" applyBorder="1" applyAlignment="1" applyProtection="1">
      <alignment horizontal="left" vertical="center"/>
    </xf>
    <xf numFmtId="0" fontId="93" fillId="36" borderId="68" xfId="0" applyFont="1" applyFill="1" applyBorder="1" applyAlignment="1" applyProtection="1">
      <alignment horizontal="left" vertical="center"/>
    </xf>
    <xf numFmtId="0" fontId="96" fillId="31" borderId="22" xfId="0" applyFont="1" applyFill="1" applyBorder="1" applyAlignment="1" applyProtection="1">
      <alignment horizontal="center" vertical="center" wrapText="1"/>
    </xf>
    <xf numFmtId="0" fontId="96" fillId="31" borderId="29" xfId="0" applyFont="1" applyFill="1" applyBorder="1" applyAlignment="1" applyProtection="1">
      <alignment horizontal="center" vertical="center" wrapText="1"/>
    </xf>
    <xf numFmtId="0" fontId="96" fillId="31" borderId="23" xfId="0" applyFont="1" applyFill="1" applyBorder="1" applyAlignment="1" applyProtection="1">
      <alignment horizontal="center" vertical="center" wrapText="1"/>
    </xf>
    <xf numFmtId="0" fontId="96" fillId="31" borderId="27" xfId="0" applyFont="1" applyFill="1" applyBorder="1" applyAlignment="1" applyProtection="1">
      <alignment horizontal="center" vertical="center" wrapText="1"/>
    </xf>
    <xf numFmtId="0" fontId="96" fillId="31" borderId="0" xfId="0" applyFont="1" applyFill="1" applyBorder="1" applyAlignment="1" applyProtection="1">
      <alignment horizontal="center" vertical="center" wrapText="1"/>
    </xf>
    <xf numFmtId="0" fontId="96" fillId="31" borderId="28" xfId="0" applyFont="1" applyFill="1" applyBorder="1" applyAlignment="1" applyProtection="1">
      <alignment horizontal="center" vertical="center" wrapText="1"/>
    </xf>
    <xf numFmtId="0" fontId="96" fillId="31" borderId="30" xfId="0" applyFont="1" applyFill="1" applyBorder="1" applyAlignment="1" applyProtection="1">
      <alignment horizontal="center" vertical="center" wrapText="1"/>
    </xf>
    <xf numFmtId="0" fontId="96" fillId="31" borderId="32" xfId="0" applyFont="1" applyFill="1" applyBorder="1" applyAlignment="1" applyProtection="1">
      <alignment horizontal="center" vertical="center" wrapText="1"/>
    </xf>
    <xf numFmtId="0" fontId="96" fillId="31" borderId="31" xfId="0" applyFont="1" applyFill="1" applyBorder="1" applyAlignment="1" applyProtection="1">
      <alignment horizontal="center" vertical="center" wrapText="1"/>
    </xf>
    <xf numFmtId="0" fontId="103" fillId="40" borderId="22" xfId="0" applyFont="1" applyFill="1" applyBorder="1" applyAlignment="1">
      <alignment horizontal="center" vertical="center" wrapText="1"/>
    </xf>
    <xf numFmtId="0" fontId="103" fillId="40" borderId="23" xfId="0" applyFont="1" applyFill="1" applyBorder="1" applyAlignment="1">
      <alignment horizontal="center" vertical="center" wrapText="1"/>
    </xf>
    <xf numFmtId="0" fontId="103" fillId="40" borderId="27" xfId="0" applyFont="1" applyFill="1" applyBorder="1" applyAlignment="1">
      <alignment horizontal="center" vertical="center" wrapText="1"/>
    </xf>
    <xf numFmtId="0" fontId="103" fillId="40" borderId="28" xfId="0" applyFont="1" applyFill="1" applyBorder="1" applyAlignment="1">
      <alignment horizontal="center" vertical="center" wrapText="1"/>
    </xf>
    <xf numFmtId="0" fontId="103" fillId="40" borderId="30" xfId="0" applyFont="1" applyFill="1" applyBorder="1" applyAlignment="1">
      <alignment horizontal="center" vertical="center" wrapText="1"/>
    </xf>
    <xf numFmtId="0" fontId="103" fillId="40" borderId="31" xfId="0" applyFont="1" applyFill="1" applyBorder="1" applyAlignment="1">
      <alignment horizontal="center" vertical="center" wrapText="1"/>
    </xf>
    <xf numFmtId="0" fontId="68" fillId="31" borderId="71" xfId="0" applyFont="1" applyFill="1" applyBorder="1" applyAlignment="1" applyProtection="1">
      <alignment horizontal="center" vertical="center" wrapText="1"/>
    </xf>
    <xf numFmtId="0" fontId="68" fillId="31" borderId="70" xfId="0" applyFont="1" applyFill="1" applyBorder="1" applyAlignment="1" applyProtection="1">
      <alignment horizontal="center" vertical="center" wrapText="1"/>
    </xf>
    <xf numFmtId="0" fontId="69" fillId="31" borderId="69" xfId="0" applyFont="1" applyFill="1" applyBorder="1" applyAlignment="1">
      <alignment horizontal="center" vertical="center"/>
    </xf>
    <xf numFmtId="0" fontId="69" fillId="31" borderId="77" xfId="0" applyFont="1" applyFill="1" applyBorder="1" applyAlignment="1">
      <alignment horizontal="center" vertical="center"/>
    </xf>
    <xf numFmtId="0" fontId="97" fillId="0" borderId="32" xfId="104" applyFont="1" applyBorder="1" applyAlignment="1" applyProtection="1">
      <alignment horizontal="center"/>
    </xf>
    <xf numFmtId="0" fontId="69" fillId="30" borderId="35" xfId="0" applyFont="1" applyFill="1" applyBorder="1" applyAlignment="1">
      <alignment horizontal="center" vertical="center"/>
    </xf>
    <xf numFmtId="0" fontId="69" fillId="30" borderId="36" xfId="0" applyFont="1" applyFill="1" applyBorder="1" applyAlignment="1">
      <alignment horizontal="center" vertical="center"/>
    </xf>
    <xf numFmtId="0" fontId="69" fillId="31" borderId="35" xfId="0" applyFont="1" applyFill="1" applyBorder="1" applyAlignment="1">
      <alignment horizontal="center" vertical="center"/>
    </xf>
    <xf numFmtId="0" fontId="69" fillId="31" borderId="36" xfId="0" applyFont="1" applyFill="1" applyBorder="1" applyAlignment="1">
      <alignment horizontal="center" vertical="center"/>
    </xf>
    <xf numFmtId="0" fontId="69" fillId="30" borderId="62" xfId="0" applyFont="1" applyFill="1" applyBorder="1" applyAlignment="1">
      <alignment horizontal="center" vertical="center"/>
    </xf>
    <xf numFmtId="0" fontId="69" fillId="30" borderId="61" xfId="0" applyFont="1" applyFill="1" applyBorder="1" applyAlignment="1">
      <alignment horizontal="center" vertical="center"/>
    </xf>
    <xf numFmtId="0" fontId="111" fillId="30" borderId="22" xfId="0" applyFont="1" applyFill="1" applyBorder="1" applyAlignment="1">
      <alignment horizontal="left" vertical="top" wrapText="1"/>
    </xf>
    <xf numFmtId="0" fontId="111" fillId="30" borderId="29" xfId="0" applyFont="1" applyFill="1" applyBorder="1" applyAlignment="1">
      <alignment horizontal="left" vertical="top" wrapText="1"/>
    </xf>
    <xf numFmtId="0" fontId="111" fillId="30" borderId="23" xfId="0" applyFont="1" applyFill="1" applyBorder="1" applyAlignment="1">
      <alignment horizontal="left" vertical="top" wrapText="1"/>
    </xf>
    <xf numFmtId="0" fontId="111" fillId="30" borderId="27" xfId="0" applyFont="1" applyFill="1" applyBorder="1" applyAlignment="1">
      <alignment horizontal="left" vertical="top" wrapText="1"/>
    </xf>
    <xf numFmtId="0" fontId="111" fillId="30" borderId="0" xfId="0" applyFont="1" applyFill="1" applyBorder="1" applyAlignment="1">
      <alignment horizontal="left" vertical="top" wrapText="1"/>
    </xf>
    <xf numFmtId="0" fontId="111" fillId="30" borderId="28" xfId="0" applyFont="1" applyFill="1" applyBorder="1" applyAlignment="1">
      <alignment horizontal="left" vertical="top" wrapText="1"/>
    </xf>
    <xf numFmtId="0" fontId="111" fillId="30" borderId="30" xfId="0" applyFont="1" applyFill="1" applyBorder="1" applyAlignment="1">
      <alignment horizontal="left" vertical="top" wrapText="1"/>
    </xf>
    <xf numFmtId="0" fontId="111" fillId="30" borderId="32" xfId="0" applyFont="1" applyFill="1" applyBorder="1" applyAlignment="1">
      <alignment horizontal="left" vertical="top" wrapText="1"/>
    </xf>
    <xf numFmtId="0" fontId="111" fillId="30" borderId="31" xfId="0" applyFont="1" applyFill="1" applyBorder="1" applyAlignment="1">
      <alignment horizontal="left" vertical="top" wrapText="1"/>
    </xf>
    <xf numFmtId="0" fontId="114" fillId="0" borderId="94" xfId="356" applyFont="1" applyBorder="1" applyAlignment="1">
      <alignment horizontal="left" vertical="center"/>
    </xf>
    <xf numFmtId="0" fontId="70" fillId="40" borderId="24" xfId="356" applyFont="1" applyFill="1" applyBorder="1" applyAlignment="1">
      <alignment horizontal="center" vertical="center" wrapText="1"/>
    </xf>
    <xf numFmtId="0" fontId="70" fillId="40" borderId="26" xfId="356" applyFont="1" applyFill="1" applyBorder="1" applyAlignment="1">
      <alignment horizontal="center" vertical="center" wrapText="1"/>
    </xf>
    <xf numFmtId="0" fontId="68" fillId="33" borderId="25" xfId="356" applyFont="1" applyFill="1" applyBorder="1" applyAlignment="1">
      <alignment horizontal="center" vertical="center" wrapText="1"/>
    </xf>
    <xf numFmtId="0" fontId="68" fillId="33" borderId="26" xfId="356" applyFont="1" applyFill="1" applyBorder="1" applyAlignment="1">
      <alignment horizontal="center" vertical="center" wrapText="1"/>
    </xf>
    <xf numFmtId="0" fontId="70" fillId="33" borderId="24" xfId="356" applyFont="1" applyFill="1" applyBorder="1" applyAlignment="1">
      <alignment horizontal="center" vertical="center" wrapText="1"/>
    </xf>
    <xf numFmtId="0" fontId="70" fillId="33" borderId="25" xfId="356" applyFont="1" applyFill="1" applyBorder="1" applyAlignment="1">
      <alignment horizontal="center" vertical="center" wrapText="1"/>
    </xf>
    <xf numFmtId="0" fontId="70" fillId="33" borderId="42" xfId="356" applyFont="1" applyFill="1" applyBorder="1" applyAlignment="1">
      <alignment horizontal="center" vertical="center" wrapText="1"/>
    </xf>
    <xf numFmtId="0" fontId="68" fillId="33" borderId="24" xfId="356" applyFont="1" applyFill="1" applyBorder="1" applyAlignment="1">
      <alignment horizontal="center" vertical="center" wrapText="1"/>
    </xf>
  </cellXfs>
  <cellStyles count="427">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6"/>
    <cellStyle name="Cálculo 2" xfId="232"/>
    <cellStyle name="Cálculo 2 2" xfId="397"/>
    <cellStyle name="Cálculo 3" xfId="233"/>
    <cellStyle name="Cálculo 3 2" xfId="398"/>
    <cellStyle name="Cálculo 4" xfId="234"/>
    <cellStyle name="Cálculo 4 2" xfId="399"/>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400"/>
    <cellStyle name="Entrada 3" xfId="263"/>
    <cellStyle name="Entrada 3 2" xfId="401"/>
    <cellStyle name="Entrada 4" xfId="264"/>
    <cellStyle name="Entrada 4 2" xfId="402"/>
    <cellStyle name="Estilo 1" xfId="265"/>
    <cellStyle name="Estilo 1 2" xfId="403"/>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60"/>
    <cellStyle name="Incorrecto 2" xfId="273"/>
    <cellStyle name="Incorrecto 3" xfId="274"/>
    <cellStyle name="Incorrecto 4" xfId="275"/>
    <cellStyle name="Input" xfId="276"/>
    <cellStyle name="Input 2" xfId="404"/>
    <cellStyle name="Linked Cell" xfId="277"/>
    <cellStyle name="Millares" xfId="1" builtinId="3"/>
    <cellStyle name="Millares [0]" xfId="426" builtinId="6"/>
    <cellStyle name="Millares 10" xfId="7"/>
    <cellStyle name="Millares 10 2" xfId="8"/>
    <cellStyle name="Millares 10 2 2" xfId="363"/>
    <cellStyle name="Millares 10 3" xfId="9"/>
    <cellStyle name="Millares 10 3 2" xfId="364"/>
    <cellStyle name="Millares 10 4" xfId="362"/>
    <cellStyle name="Millares 11" xfId="10"/>
    <cellStyle name="Millares 11 2" xfId="11"/>
    <cellStyle name="Millares 11 2 2" xfId="366"/>
    <cellStyle name="Millares 11 3" xfId="12"/>
    <cellStyle name="Millares 11 3 2" xfId="367"/>
    <cellStyle name="Millares 11 4" xfId="365"/>
    <cellStyle name="Millares 12" xfId="13"/>
    <cellStyle name="Millares 12 2" xfId="14"/>
    <cellStyle name="Millares 13" xfId="354"/>
    <cellStyle name="Millares 13 2" xfId="424"/>
    <cellStyle name="Millares 2" xfId="15"/>
    <cellStyle name="Millares 2 10" xfId="16"/>
    <cellStyle name="Millares 2 10 2" xfId="17"/>
    <cellStyle name="Millares 2 10 3" xfId="18"/>
    <cellStyle name="Millares 2 11" xfId="19"/>
    <cellStyle name="Millares 2 11 2" xfId="20"/>
    <cellStyle name="Millares 2 11 2 2" xfId="370"/>
    <cellStyle name="Millares 2 11 3" xfId="369"/>
    <cellStyle name="Millares 2 12" xfId="21"/>
    <cellStyle name="Millares 2 12 2" xfId="22"/>
    <cellStyle name="Millares 2 12 2 2" xfId="372"/>
    <cellStyle name="Millares 2 12 3" xfId="371"/>
    <cellStyle name="Millares 2 13" xfId="23"/>
    <cellStyle name="Millares 2 13 2" xfId="24"/>
    <cellStyle name="Millares 2 13 2 2" xfId="374"/>
    <cellStyle name="Millares 2 13 3" xfId="373"/>
    <cellStyle name="Millares 2 14" xfId="25"/>
    <cellStyle name="Millares 2 14 2" xfId="26"/>
    <cellStyle name="Millares 2 14 2 2" xfId="376"/>
    <cellStyle name="Millares 2 14 3" xfId="375"/>
    <cellStyle name="Millares 2 15" xfId="27"/>
    <cellStyle name="Millares 2 15 2" xfId="28"/>
    <cellStyle name="Millares 2 15 2 2" xfId="378"/>
    <cellStyle name="Millares 2 15 3" xfId="377"/>
    <cellStyle name="Millares 2 16" xfId="368"/>
    <cellStyle name="Millares 2 2" xfId="29"/>
    <cellStyle name="Millares 2 2 2" xfId="30"/>
    <cellStyle name="Millares 2 2 2 2" xfId="31"/>
    <cellStyle name="Millares 2 2 2 3" xfId="32"/>
    <cellStyle name="Millares 2 2 2 4" xfId="379"/>
    <cellStyle name="Millares 2 2 3" xfId="33"/>
    <cellStyle name="Millares 2 2 3 2" xfId="380"/>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2"/>
    <cellStyle name="Millares 2 6 3" xfId="48"/>
    <cellStyle name="Millares 2 6 3 2" xfId="383"/>
    <cellStyle name="Millares 2 6 4" xfId="381"/>
    <cellStyle name="Millares 2 7" xfId="49"/>
    <cellStyle name="Millares 2 8" xfId="50"/>
    <cellStyle name="Millares 2 9" xfId="51"/>
    <cellStyle name="Millares 2 9 2" xfId="52"/>
    <cellStyle name="Millares 2 9 3" xfId="53"/>
    <cellStyle name="Millares 2 9 3 2" xfId="385"/>
    <cellStyle name="Millares 2 9 4" xfId="384"/>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7"/>
    <cellStyle name="Millares 4 3" xfId="71"/>
    <cellStyle name="Millares 4 3 2" xfId="388"/>
    <cellStyle name="Millares 4 4" xfId="386"/>
    <cellStyle name="Millares 5" xfId="72"/>
    <cellStyle name="Millares 5 2" xfId="73"/>
    <cellStyle name="Millares 5 3" xfId="74"/>
    <cellStyle name="Millares 6" xfId="75"/>
    <cellStyle name="Millares 6 2" xfId="76"/>
    <cellStyle name="Millares 6 2 2" xfId="390"/>
    <cellStyle name="Millares 6 3" xfId="77"/>
    <cellStyle name="Millares 6 3 2" xfId="391"/>
    <cellStyle name="Millares 6 4" xfId="389"/>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3"/>
    <cellStyle name="Millares 9 3" xfId="88"/>
    <cellStyle name="Millares 9 3 2" xfId="394"/>
    <cellStyle name="Millares 9 4" xfId="392"/>
    <cellStyle name="Millares_Formato Evaluacion LP No. 41 Biblioteca Belen" xfId="3"/>
    <cellStyle name="Moneda [0] 10" xfId="280"/>
    <cellStyle name="Moneda [0] 11" xfId="281"/>
    <cellStyle name="Moneda [0] 14" xfId="282"/>
    <cellStyle name="Moneda [0] 2" xfId="283"/>
    <cellStyle name="Moneda [0] 3" xfId="284"/>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5"/>
    <cellStyle name="Moneda 6" xfId="100"/>
    <cellStyle name="Moneda 6 2" xfId="101"/>
    <cellStyle name="Moneda 6 3" xfId="102"/>
    <cellStyle name="Moneda 7" xfId="103"/>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3"/>
    <cellStyle name="Normal 12 2 3" xfId="420"/>
    <cellStyle name="Normal 12 3" xfId="352"/>
    <cellStyle name="Normal 12 3 2" xfId="422"/>
    <cellStyle name="Normal 12 4" xfId="416"/>
    <cellStyle name="Normal 13" xfId="345"/>
    <cellStyle name="Normal 14" xfId="346"/>
    <cellStyle name="Normal 14 2" xfId="349"/>
    <cellStyle name="Normal 14 2 2" xfId="419"/>
    <cellStyle name="Normal 14 3" xfId="417"/>
    <cellStyle name="Normal 15" xfId="351"/>
    <cellStyle name="Normal 15 2" xfId="358"/>
    <cellStyle name="Normal 15 2 2" xfId="425"/>
    <cellStyle name="Normal 15 3" xfId="421"/>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8"/>
    <cellStyle name="Normal 7" xfId="296"/>
    <cellStyle name="Normal 78" xfId="342"/>
    <cellStyle name="Normal 8" xfId="297"/>
    <cellStyle name="Normal 9" xfId="298"/>
    <cellStyle name="Normal_CONSOLIDADO  EVALUACIÓN LP 53 OBRA ADECUACIÓN Y MANTENIMIENTO DEL TEATRO LIDO" xfId="2"/>
    <cellStyle name="Normal_FORM20_1 2" xfId="359"/>
    <cellStyle name="Notas 2" xfId="299"/>
    <cellStyle name="Notas 2 2" xfId="405"/>
    <cellStyle name="Notas 3" xfId="300"/>
    <cellStyle name="Notas 3 2" xfId="406"/>
    <cellStyle name="Notas 4" xfId="301"/>
    <cellStyle name="Notas 4 2" xfId="407"/>
    <cellStyle name="Note" xfId="302"/>
    <cellStyle name="Note 2" xfId="408"/>
    <cellStyle name="Output" xfId="303"/>
    <cellStyle name="Output 2" xfId="409"/>
    <cellStyle name="Porcentaje" xfId="357" builtinId="5"/>
    <cellStyle name="Porcentaje 2" xfId="343"/>
    <cellStyle name="Porcentual 2" xfId="140"/>
    <cellStyle name="Porcentual 2 2" xfId="141"/>
    <cellStyle name="Porcentual 2 2 2" xfId="142"/>
    <cellStyle name="Porcentual 2 2 2 2" xfId="143"/>
    <cellStyle name="Porcentual 2 2 2 3" xfId="361"/>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10"/>
    <cellStyle name="Salida 3" xfId="312"/>
    <cellStyle name="Salida 3 2" xfId="411"/>
    <cellStyle name="Salida 4" xfId="313"/>
    <cellStyle name="Salida 4 2" xfId="412"/>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3"/>
    <cellStyle name="Total 3" xfId="336"/>
    <cellStyle name="Total 3 2" xfId="414"/>
    <cellStyle name="Total 4" xfId="337"/>
    <cellStyle name="Total 4 2" xfId="415"/>
    <cellStyle name="Viñeta" xfId="338"/>
    <cellStyle name="Warning Text" xfId="339"/>
  </cellStyles>
  <dxfs count="5">
    <dxf>
      <font>
        <color theme="1"/>
      </font>
      <fill>
        <patternFill>
          <bgColor rgb="FFFF0000"/>
        </patternFill>
      </fill>
    </dxf>
    <dxf>
      <font>
        <color theme="1"/>
      </font>
      <fill>
        <patternFill>
          <bgColor rgb="FFFF0000"/>
        </patternFill>
      </fill>
    </dxf>
    <dxf>
      <font>
        <color theme="1"/>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820154</xdr:colOff>
      <xdr:row>2</xdr:row>
      <xdr:rowOff>19050</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xdr:colOff>
      <xdr:row>0</xdr:row>
      <xdr:rowOff>15875</xdr:rowOff>
    </xdr:from>
    <xdr:to>
      <xdr:col>1</xdr:col>
      <xdr:colOff>49737</xdr:colOff>
      <xdr:row>2</xdr:row>
      <xdr:rowOff>164041</xdr:rowOff>
    </xdr:to>
    <xdr:pic>
      <xdr:nvPicPr>
        <xdr:cNvPr id="3"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15875"/>
          <a:ext cx="8117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107749</xdr:colOff>
      <xdr:row>0</xdr:row>
      <xdr:rowOff>31654</xdr:rowOff>
    </xdr:from>
    <xdr:ext cx="811133" cy="1000615"/>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811133" cy="100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0Bloque_09\Laboratorio%20de%20Psicologia-%20Bloque%209\Presupuesto%20Oficial\Presupuesto%20Oficial_B09_Lab.Psicologia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quitecto8\Google%20Drive\2%20Evaluaciones\0%20Modelo%20evaluaci&#243;n\Plantilla%20Evaluaci&#243;n%20contratos%20mantenimient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 Nivel 1"/>
      <sheetName val="F.P. Profesional Nivel 2"/>
      <sheetName val="F.P. Profesional Nivel 3"/>
      <sheetName val="F.P. Mano de Obra"/>
      <sheetName val="Analisis A.I.U."/>
      <sheetName val="A.P.U."/>
      <sheetName val="Presupuesto Consolidado"/>
      <sheetName val="Memorias de Calculo Cantidades"/>
      <sheetName val="F.P. Profesionales"/>
      <sheetName val="MA"/>
      <sheetName val="EQ"/>
    </sheetNames>
    <sheetDataSet>
      <sheetData sheetId="0">
        <row r="18">
          <cell r="H18">
            <v>2071262.3695850959</v>
          </cell>
        </row>
      </sheetData>
      <sheetData sheetId="1" refreshError="1"/>
      <sheetData sheetId="2" refreshError="1"/>
      <sheetData sheetId="3" refreshError="1"/>
      <sheetData sheetId="4">
        <row r="1">
          <cell r="G1">
            <v>737717</v>
          </cell>
        </row>
      </sheetData>
      <sheetData sheetId="5">
        <row r="3">
          <cell r="D3" t="str">
            <v>Andamio  multidireccional certificado de( 1.4 x1.4 m, altura de plataforma 2 m)</v>
          </cell>
        </row>
      </sheetData>
      <sheetData sheetId="6">
        <row r="2">
          <cell r="H2">
            <v>0</v>
          </cell>
        </row>
        <row r="3">
          <cell r="H3">
            <v>0</v>
          </cell>
        </row>
        <row r="4">
          <cell r="H4">
            <v>0</v>
          </cell>
        </row>
        <row r="5">
          <cell r="H5">
            <v>0</v>
          </cell>
        </row>
        <row r="6">
          <cell r="H6" t="str">
            <v>Consumo (HM)</v>
          </cell>
        </row>
        <row r="7">
          <cell r="H7">
            <v>0.05</v>
          </cell>
        </row>
        <row r="8">
          <cell r="H8">
            <v>1</v>
          </cell>
        </row>
        <row r="9">
          <cell r="H9">
            <v>0</v>
          </cell>
        </row>
        <row r="10">
          <cell r="H10">
            <v>0</v>
          </cell>
        </row>
        <row r="11">
          <cell r="H11" t="str">
            <v>Sub-total</v>
          </cell>
        </row>
        <row r="12">
          <cell r="H12">
            <v>0</v>
          </cell>
        </row>
        <row r="13">
          <cell r="H13" t="str">
            <v>Cantidad (se considera desperdicio del 3%)</v>
          </cell>
        </row>
        <row r="14">
          <cell r="H14">
            <v>0</v>
          </cell>
        </row>
        <row r="15">
          <cell r="H15">
            <v>0</v>
          </cell>
        </row>
        <row r="16">
          <cell r="H16" t="str">
            <v>Sub-total</v>
          </cell>
        </row>
        <row r="17">
          <cell r="H17">
            <v>0</v>
          </cell>
        </row>
        <row r="18">
          <cell r="H18" t="str">
            <v>Consumo</v>
          </cell>
        </row>
        <row r="19">
          <cell r="H19">
            <v>0.3</v>
          </cell>
        </row>
        <row r="20">
          <cell r="H20" t="str">
            <v>Sub-total</v>
          </cell>
        </row>
        <row r="21">
          <cell r="H21">
            <v>0</v>
          </cell>
        </row>
        <row r="22">
          <cell r="H22" t="str">
            <v>Consumo (HC)</v>
          </cell>
        </row>
        <row r="23">
          <cell r="H23">
            <v>1.1000000000000001</v>
          </cell>
        </row>
        <row r="24">
          <cell r="H24">
            <v>1.1000000000000001</v>
          </cell>
        </row>
        <row r="25">
          <cell r="H25">
            <v>0</v>
          </cell>
        </row>
        <row r="26">
          <cell r="H26">
            <v>0</v>
          </cell>
        </row>
        <row r="27">
          <cell r="H27">
            <v>0</v>
          </cell>
        </row>
        <row r="28">
          <cell r="H28">
            <v>0</v>
          </cell>
        </row>
        <row r="29">
          <cell r="H29" t="str">
            <v>Consumo (HM)</v>
          </cell>
        </row>
        <row r="30">
          <cell r="H30">
            <v>0.05</v>
          </cell>
        </row>
        <row r="31">
          <cell r="H31">
            <v>0</v>
          </cell>
        </row>
        <row r="32">
          <cell r="H32">
            <v>0</v>
          </cell>
        </row>
        <row r="33">
          <cell r="H33">
            <v>0</v>
          </cell>
        </row>
        <row r="34">
          <cell r="H34" t="str">
            <v>Sub-total</v>
          </cell>
        </row>
        <row r="35">
          <cell r="H35">
            <v>0</v>
          </cell>
        </row>
        <row r="36">
          <cell r="H36" t="str">
            <v>Cantidad (se considera desperdicio del 3%)</v>
          </cell>
        </row>
        <row r="37">
          <cell r="H37">
            <v>0</v>
          </cell>
        </row>
        <row r="38">
          <cell r="H38">
            <v>0</v>
          </cell>
        </row>
        <row r="39">
          <cell r="H39" t="str">
            <v>Sub-total</v>
          </cell>
        </row>
        <row r="40">
          <cell r="H40">
            <v>0</v>
          </cell>
        </row>
        <row r="41">
          <cell r="H41" t="str">
            <v>Consumo</v>
          </cell>
        </row>
        <row r="42">
          <cell r="H42">
            <v>1</v>
          </cell>
        </row>
        <row r="43">
          <cell r="H43" t="str">
            <v>Sub-total</v>
          </cell>
        </row>
        <row r="44">
          <cell r="H44">
            <v>0</v>
          </cell>
        </row>
        <row r="45">
          <cell r="H45" t="str">
            <v>Consumo (HC)</v>
          </cell>
        </row>
        <row r="46">
          <cell r="H46">
            <v>1.8</v>
          </cell>
        </row>
        <row r="47">
          <cell r="H47">
            <v>1.8</v>
          </cell>
        </row>
        <row r="48">
          <cell r="H48">
            <v>0</v>
          </cell>
        </row>
        <row r="49">
          <cell r="H49">
            <v>0</v>
          </cell>
        </row>
        <row r="50">
          <cell r="H50">
            <v>0</v>
          </cell>
        </row>
        <row r="51">
          <cell r="H51">
            <v>0</v>
          </cell>
        </row>
        <row r="52">
          <cell r="H52" t="str">
            <v>Consumo (HM)</v>
          </cell>
        </row>
        <row r="53">
          <cell r="H53">
            <v>0.05</v>
          </cell>
        </row>
        <row r="54">
          <cell r="H54">
            <v>0</v>
          </cell>
        </row>
        <row r="55">
          <cell r="H55">
            <v>0</v>
          </cell>
        </row>
        <row r="56">
          <cell r="H56">
            <v>0</v>
          </cell>
        </row>
        <row r="57">
          <cell r="H57" t="str">
            <v>Sub-total</v>
          </cell>
        </row>
        <row r="58">
          <cell r="H58">
            <v>0</v>
          </cell>
        </row>
        <row r="59">
          <cell r="H59" t="str">
            <v>Cantidad (se considera desperdicio del 3%)</v>
          </cell>
        </row>
        <row r="60">
          <cell r="H60">
            <v>0</v>
          </cell>
        </row>
        <row r="61">
          <cell r="H61">
            <v>0</v>
          </cell>
        </row>
        <row r="62">
          <cell r="H62" t="str">
            <v>Sub-total</v>
          </cell>
        </row>
        <row r="63">
          <cell r="H63">
            <v>0</v>
          </cell>
        </row>
        <row r="64">
          <cell r="H64" t="str">
            <v>Consumo</v>
          </cell>
        </row>
        <row r="65">
          <cell r="H65">
            <v>1</v>
          </cell>
        </row>
        <row r="66">
          <cell r="H66" t="str">
            <v>Sub-total</v>
          </cell>
        </row>
        <row r="67">
          <cell r="H67">
            <v>0</v>
          </cell>
        </row>
        <row r="68">
          <cell r="H68" t="str">
            <v>Consumo (HC)</v>
          </cell>
        </row>
        <row r="69">
          <cell r="H69">
            <v>1</v>
          </cell>
        </row>
        <row r="70">
          <cell r="H70">
            <v>1</v>
          </cell>
        </row>
        <row r="71">
          <cell r="H71">
            <v>0</v>
          </cell>
        </row>
        <row r="72">
          <cell r="H72">
            <v>0</v>
          </cell>
        </row>
        <row r="73">
          <cell r="H73">
            <v>0</v>
          </cell>
        </row>
        <row r="74">
          <cell r="H74">
            <v>0</v>
          </cell>
        </row>
        <row r="75">
          <cell r="H75" t="str">
            <v>Consumo (HM)</v>
          </cell>
        </row>
        <row r="76">
          <cell r="H76">
            <v>0.05</v>
          </cell>
        </row>
        <row r="77">
          <cell r="H77">
            <v>0</v>
          </cell>
        </row>
        <row r="78">
          <cell r="H78">
            <v>0</v>
          </cell>
        </row>
        <row r="79">
          <cell r="H79" t="str">
            <v>Sub-total</v>
          </cell>
        </row>
        <row r="80">
          <cell r="H80">
            <v>0</v>
          </cell>
        </row>
        <row r="81">
          <cell r="H81" t="str">
            <v>Cantidad (se considera desperdicio del 3%)</v>
          </cell>
        </row>
        <row r="82">
          <cell r="H82">
            <v>0</v>
          </cell>
        </row>
        <row r="83">
          <cell r="H83">
            <v>0</v>
          </cell>
        </row>
        <row r="84">
          <cell r="H84" t="str">
            <v>Sub-total</v>
          </cell>
        </row>
        <row r="85">
          <cell r="H85">
            <v>0</v>
          </cell>
        </row>
        <row r="86">
          <cell r="H86" t="str">
            <v>Consumo</v>
          </cell>
        </row>
        <row r="87">
          <cell r="H87">
            <v>1</v>
          </cell>
        </row>
        <row r="88">
          <cell r="H88" t="str">
            <v>Sub-total</v>
          </cell>
        </row>
        <row r="89">
          <cell r="H89">
            <v>0</v>
          </cell>
        </row>
        <row r="90">
          <cell r="H90" t="str">
            <v>Consumo (HC)</v>
          </cell>
        </row>
        <row r="91">
          <cell r="H91">
            <v>1.5</v>
          </cell>
        </row>
        <row r="92">
          <cell r="H92">
            <v>1.5</v>
          </cell>
        </row>
        <row r="93">
          <cell r="H93">
            <v>0</v>
          </cell>
        </row>
        <row r="94">
          <cell r="H94">
            <v>0</v>
          </cell>
        </row>
        <row r="95">
          <cell r="H95">
            <v>0</v>
          </cell>
        </row>
        <row r="96">
          <cell r="H96">
            <v>0</v>
          </cell>
        </row>
        <row r="97">
          <cell r="H97" t="str">
            <v>Consumo (HM)</v>
          </cell>
        </row>
        <row r="98">
          <cell r="H98">
            <v>0.05</v>
          </cell>
        </row>
        <row r="99">
          <cell r="H99">
            <v>0</v>
          </cell>
        </row>
        <row r="100">
          <cell r="H100">
            <v>0</v>
          </cell>
        </row>
        <row r="101">
          <cell r="H101" t="str">
            <v>Sub-total</v>
          </cell>
        </row>
        <row r="102">
          <cell r="H102">
            <v>0</v>
          </cell>
        </row>
        <row r="103">
          <cell r="H103" t="str">
            <v>Cantidad (se considera desperdicio del 3%)</v>
          </cell>
        </row>
        <row r="104">
          <cell r="H104">
            <v>0</v>
          </cell>
        </row>
        <row r="105">
          <cell r="H105">
            <v>0</v>
          </cell>
        </row>
        <row r="106">
          <cell r="H106" t="str">
            <v>Sub-total</v>
          </cell>
        </row>
        <row r="107">
          <cell r="H107">
            <v>0</v>
          </cell>
        </row>
        <row r="108">
          <cell r="H108" t="str">
            <v>Consumo</v>
          </cell>
        </row>
        <row r="109">
          <cell r="H109">
            <v>1</v>
          </cell>
        </row>
        <row r="110">
          <cell r="H110" t="str">
            <v>Sub-total</v>
          </cell>
        </row>
        <row r="111">
          <cell r="H111">
            <v>0</v>
          </cell>
        </row>
        <row r="112">
          <cell r="H112" t="str">
            <v>Consumo (HC)</v>
          </cell>
        </row>
        <row r="113">
          <cell r="H113">
            <v>1.5</v>
          </cell>
        </row>
        <row r="114">
          <cell r="H114">
            <v>1.5</v>
          </cell>
        </row>
        <row r="115">
          <cell r="H115">
            <v>0</v>
          </cell>
        </row>
        <row r="116">
          <cell r="H116">
            <v>0</v>
          </cell>
        </row>
        <row r="117">
          <cell r="H117">
            <v>0</v>
          </cell>
        </row>
        <row r="118">
          <cell r="H118">
            <v>0</v>
          </cell>
        </row>
        <row r="119">
          <cell r="H119" t="str">
            <v>Consumo (HM)</v>
          </cell>
        </row>
        <row r="120">
          <cell r="H120">
            <v>0.05</v>
          </cell>
        </row>
        <row r="121">
          <cell r="H121">
            <v>0</v>
          </cell>
        </row>
        <row r="122">
          <cell r="H122">
            <v>0</v>
          </cell>
        </row>
        <row r="123">
          <cell r="H123" t="str">
            <v>Sub-total</v>
          </cell>
        </row>
        <row r="124">
          <cell r="H124">
            <v>0</v>
          </cell>
        </row>
        <row r="125">
          <cell r="H125" t="str">
            <v>Cantidad (se considera desperdicio del 3%)</v>
          </cell>
        </row>
        <row r="126">
          <cell r="H126">
            <v>0</v>
          </cell>
        </row>
        <row r="127">
          <cell r="H127">
            <v>0</v>
          </cell>
        </row>
        <row r="128">
          <cell r="H128" t="str">
            <v>Sub-total</v>
          </cell>
        </row>
        <row r="129">
          <cell r="H129">
            <v>0</v>
          </cell>
        </row>
        <row r="130">
          <cell r="H130" t="str">
            <v>Consumo</v>
          </cell>
        </row>
        <row r="131">
          <cell r="H131">
            <v>1</v>
          </cell>
        </row>
        <row r="132">
          <cell r="H132" t="str">
            <v>Sub-total</v>
          </cell>
        </row>
        <row r="133">
          <cell r="H133">
            <v>0</v>
          </cell>
        </row>
        <row r="134">
          <cell r="H134" t="str">
            <v>Consumo (HC)</v>
          </cell>
        </row>
        <row r="135">
          <cell r="H135">
            <v>1.5</v>
          </cell>
        </row>
        <row r="136">
          <cell r="H136">
            <v>1.5</v>
          </cell>
        </row>
        <row r="137">
          <cell r="H137">
            <v>0</v>
          </cell>
        </row>
        <row r="138">
          <cell r="H138">
            <v>0</v>
          </cell>
        </row>
        <row r="139">
          <cell r="H139">
            <v>0</v>
          </cell>
        </row>
        <row r="140">
          <cell r="H140">
            <v>0</v>
          </cell>
        </row>
        <row r="141">
          <cell r="H141" t="str">
            <v>Consumo (HM)</v>
          </cell>
        </row>
        <row r="142">
          <cell r="H142">
            <v>0.05</v>
          </cell>
        </row>
        <row r="143">
          <cell r="H143">
            <v>0</v>
          </cell>
        </row>
        <row r="144">
          <cell r="H144">
            <v>0</v>
          </cell>
        </row>
        <row r="145">
          <cell r="H145" t="str">
            <v>Sub-total</v>
          </cell>
        </row>
        <row r="146">
          <cell r="H146">
            <v>0</v>
          </cell>
        </row>
        <row r="147">
          <cell r="H147" t="str">
            <v>Cantidad (se considera desperdicio del 3%)</v>
          </cell>
        </row>
        <row r="148">
          <cell r="H148">
            <v>0</v>
          </cell>
        </row>
        <row r="149">
          <cell r="H149">
            <v>0</v>
          </cell>
        </row>
        <row r="150">
          <cell r="H150" t="str">
            <v>Sub-total</v>
          </cell>
        </row>
        <row r="151">
          <cell r="H151">
            <v>0</v>
          </cell>
        </row>
        <row r="152">
          <cell r="H152" t="str">
            <v>Consumo</v>
          </cell>
        </row>
        <row r="153">
          <cell r="H153">
            <v>0.5</v>
          </cell>
        </row>
        <row r="154">
          <cell r="H154" t="str">
            <v>Sub-total</v>
          </cell>
        </row>
        <row r="155">
          <cell r="H155">
            <v>0</v>
          </cell>
        </row>
        <row r="156">
          <cell r="H156" t="str">
            <v>Consumo (HC)</v>
          </cell>
        </row>
        <row r="157">
          <cell r="H157">
            <v>1.5</v>
          </cell>
        </row>
        <row r="158">
          <cell r="H158">
            <v>1.5</v>
          </cell>
        </row>
        <row r="159">
          <cell r="H159">
            <v>0</v>
          </cell>
        </row>
        <row r="160">
          <cell r="H160">
            <v>0</v>
          </cell>
        </row>
        <row r="161">
          <cell r="H161">
            <v>0</v>
          </cell>
        </row>
        <row r="162">
          <cell r="H162">
            <v>0</v>
          </cell>
        </row>
        <row r="163">
          <cell r="H163" t="str">
            <v>Consumo (HM)</v>
          </cell>
        </row>
        <row r="164">
          <cell r="H164">
            <v>0.05</v>
          </cell>
        </row>
        <row r="165">
          <cell r="H165">
            <v>0</v>
          </cell>
        </row>
        <row r="166">
          <cell r="H166">
            <v>0</v>
          </cell>
        </row>
        <row r="167">
          <cell r="H167" t="str">
            <v>Sub-total</v>
          </cell>
        </row>
        <row r="168">
          <cell r="H168">
            <v>0</v>
          </cell>
        </row>
        <row r="169">
          <cell r="H169" t="str">
            <v>Cantidad (se considera desperdicio del 3%)</v>
          </cell>
        </row>
        <row r="170">
          <cell r="H170">
            <v>0</v>
          </cell>
        </row>
        <row r="171">
          <cell r="H171">
            <v>0</v>
          </cell>
        </row>
        <row r="172">
          <cell r="H172" t="str">
            <v>Sub-total</v>
          </cell>
        </row>
        <row r="173">
          <cell r="H173">
            <v>0</v>
          </cell>
        </row>
        <row r="174">
          <cell r="H174" t="str">
            <v>Consumo</v>
          </cell>
        </row>
        <row r="175">
          <cell r="H175">
            <v>0.5</v>
          </cell>
        </row>
        <row r="176">
          <cell r="H176" t="str">
            <v>Sub-total</v>
          </cell>
        </row>
        <row r="177">
          <cell r="H177">
            <v>0</v>
          </cell>
        </row>
        <row r="178">
          <cell r="H178" t="str">
            <v>Consumo (HC)</v>
          </cell>
        </row>
        <row r="179">
          <cell r="H179">
            <v>1.2</v>
          </cell>
        </row>
        <row r="180">
          <cell r="H180">
            <v>1.2</v>
          </cell>
        </row>
        <row r="181">
          <cell r="H181">
            <v>0</v>
          </cell>
        </row>
        <row r="182">
          <cell r="H182">
            <v>0</v>
          </cell>
        </row>
        <row r="183">
          <cell r="H183">
            <v>0</v>
          </cell>
        </row>
        <row r="184">
          <cell r="H184">
            <v>0</v>
          </cell>
        </row>
        <row r="185">
          <cell r="H185" t="str">
            <v>Consumo (HM)</v>
          </cell>
        </row>
        <row r="186">
          <cell r="H186">
            <v>0.05</v>
          </cell>
        </row>
        <row r="187">
          <cell r="H187">
            <v>0</v>
          </cell>
        </row>
        <row r="188">
          <cell r="H188">
            <v>0</v>
          </cell>
        </row>
        <row r="189">
          <cell r="H189" t="str">
            <v>Sub-total</v>
          </cell>
        </row>
        <row r="190">
          <cell r="H190">
            <v>0</v>
          </cell>
        </row>
        <row r="191">
          <cell r="H191" t="str">
            <v>Cantidad (se considera desperdicio del 3%)</v>
          </cell>
        </row>
        <row r="192">
          <cell r="H192">
            <v>0</v>
          </cell>
        </row>
        <row r="193">
          <cell r="H193">
            <v>0</v>
          </cell>
        </row>
        <row r="194">
          <cell r="H194" t="str">
            <v>Sub-total</v>
          </cell>
        </row>
        <row r="195">
          <cell r="H195">
            <v>0</v>
          </cell>
        </row>
        <row r="196">
          <cell r="H196" t="str">
            <v>Consumo</v>
          </cell>
        </row>
        <row r="197">
          <cell r="H197">
            <v>1</v>
          </cell>
        </row>
        <row r="198">
          <cell r="H198" t="str">
            <v>Sub-total</v>
          </cell>
        </row>
        <row r="199">
          <cell r="H199">
            <v>0</v>
          </cell>
        </row>
        <row r="200">
          <cell r="H200" t="str">
            <v>Consumo (HC)</v>
          </cell>
        </row>
        <row r="201">
          <cell r="H201">
            <v>0</v>
          </cell>
        </row>
        <row r="202">
          <cell r="H202">
            <v>1</v>
          </cell>
        </row>
        <row r="203">
          <cell r="H203">
            <v>0</v>
          </cell>
        </row>
        <row r="204">
          <cell r="H204">
            <v>0</v>
          </cell>
        </row>
        <row r="205">
          <cell r="H205">
            <v>0</v>
          </cell>
        </row>
        <row r="206">
          <cell r="H206">
            <v>0</v>
          </cell>
        </row>
        <row r="207">
          <cell r="H207" t="str">
            <v>Consumo (HM)</v>
          </cell>
        </row>
        <row r="208">
          <cell r="H208">
            <v>0.05</v>
          </cell>
        </row>
        <row r="209">
          <cell r="H209">
            <v>0</v>
          </cell>
        </row>
        <row r="210">
          <cell r="H210">
            <v>0</v>
          </cell>
        </row>
        <row r="211">
          <cell r="H211" t="str">
            <v>Sub-total</v>
          </cell>
        </row>
        <row r="212">
          <cell r="H212">
            <v>0</v>
          </cell>
        </row>
        <row r="213">
          <cell r="H213" t="str">
            <v>Cantidad (se considera desperdicio del 3%)</v>
          </cell>
        </row>
        <row r="214">
          <cell r="H214">
            <v>0</v>
          </cell>
        </row>
        <row r="215">
          <cell r="H215">
            <v>0</v>
          </cell>
        </row>
        <row r="216">
          <cell r="H216" t="str">
            <v>Sub-total</v>
          </cell>
        </row>
        <row r="217">
          <cell r="H217">
            <v>0</v>
          </cell>
        </row>
        <row r="218">
          <cell r="H218" t="str">
            <v>Consumo</v>
          </cell>
        </row>
        <row r="219">
          <cell r="H219">
            <v>1</v>
          </cell>
        </row>
        <row r="220">
          <cell r="H220" t="str">
            <v>Sub-total</v>
          </cell>
        </row>
        <row r="221">
          <cell r="H221">
            <v>0</v>
          </cell>
        </row>
        <row r="222">
          <cell r="H222" t="str">
            <v>Consumo (HC)</v>
          </cell>
        </row>
        <row r="223">
          <cell r="H223">
            <v>1.2</v>
          </cell>
        </row>
        <row r="224">
          <cell r="H224">
            <v>1.2</v>
          </cell>
        </row>
        <row r="225">
          <cell r="H225">
            <v>0</v>
          </cell>
        </row>
        <row r="226">
          <cell r="H226">
            <v>0</v>
          </cell>
        </row>
        <row r="227">
          <cell r="H227">
            <v>0</v>
          </cell>
        </row>
        <row r="228">
          <cell r="H228">
            <v>0</v>
          </cell>
        </row>
        <row r="229">
          <cell r="H229" t="str">
            <v>Consumo (HM)</v>
          </cell>
        </row>
        <row r="230">
          <cell r="H230">
            <v>0.05</v>
          </cell>
        </row>
        <row r="231">
          <cell r="H231">
            <v>0</v>
          </cell>
        </row>
        <row r="232">
          <cell r="H232">
            <v>0</v>
          </cell>
        </row>
        <row r="233">
          <cell r="H233" t="str">
            <v>Sub-total</v>
          </cell>
        </row>
        <row r="234">
          <cell r="H234">
            <v>0</v>
          </cell>
        </row>
        <row r="235">
          <cell r="H235" t="str">
            <v>Cantidad (se considera desperdicio del 3%)</v>
          </cell>
        </row>
        <row r="236">
          <cell r="H236">
            <v>0</v>
          </cell>
        </row>
        <row r="237">
          <cell r="H237">
            <v>0</v>
          </cell>
        </row>
        <row r="238">
          <cell r="H238" t="str">
            <v>Sub-total</v>
          </cell>
        </row>
        <row r="239">
          <cell r="H239">
            <v>0</v>
          </cell>
        </row>
        <row r="240">
          <cell r="H240" t="str">
            <v>Consumo</v>
          </cell>
        </row>
        <row r="241">
          <cell r="H241">
            <v>1</v>
          </cell>
        </row>
        <row r="242">
          <cell r="H242" t="str">
            <v>Sub-total</v>
          </cell>
        </row>
        <row r="243">
          <cell r="H243">
            <v>0</v>
          </cell>
        </row>
        <row r="244">
          <cell r="H244" t="str">
            <v>Consumo (HC)</v>
          </cell>
        </row>
        <row r="245">
          <cell r="H245">
            <v>1.5</v>
          </cell>
        </row>
        <row r="246">
          <cell r="H246">
            <v>1.5</v>
          </cell>
        </row>
        <row r="247">
          <cell r="H247">
            <v>0</v>
          </cell>
        </row>
        <row r="248">
          <cell r="H248">
            <v>0</v>
          </cell>
        </row>
        <row r="249">
          <cell r="H249">
            <v>0</v>
          </cell>
        </row>
        <row r="250">
          <cell r="H250">
            <v>0</v>
          </cell>
        </row>
        <row r="251">
          <cell r="H251" t="str">
            <v>Consumo (HM)</v>
          </cell>
        </row>
        <row r="252">
          <cell r="H252">
            <v>0.05</v>
          </cell>
        </row>
        <row r="253">
          <cell r="H253">
            <v>0</v>
          </cell>
        </row>
        <row r="254">
          <cell r="H254">
            <v>0</v>
          </cell>
        </row>
        <row r="255">
          <cell r="H255" t="str">
            <v>Sub-total</v>
          </cell>
        </row>
        <row r="256">
          <cell r="H256">
            <v>0</v>
          </cell>
        </row>
        <row r="257">
          <cell r="H257" t="str">
            <v>Cantidad (se considera desperdicio del 3%)</v>
          </cell>
        </row>
        <row r="258">
          <cell r="H258">
            <v>0</v>
          </cell>
        </row>
        <row r="259">
          <cell r="H259">
            <v>0</v>
          </cell>
        </row>
        <row r="260">
          <cell r="H260" t="str">
            <v>Sub-total</v>
          </cell>
        </row>
        <row r="261">
          <cell r="H261">
            <v>0</v>
          </cell>
        </row>
        <row r="262">
          <cell r="H262" t="str">
            <v>Consumo</v>
          </cell>
        </row>
        <row r="263">
          <cell r="H263">
            <v>1</v>
          </cell>
        </row>
        <row r="264">
          <cell r="H264" t="str">
            <v>Sub-total</v>
          </cell>
        </row>
        <row r="265">
          <cell r="H265">
            <v>0</v>
          </cell>
        </row>
        <row r="266">
          <cell r="H266" t="str">
            <v>Consumo (HC)</v>
          </cell>
        </row>
        <row r="267">
          <cell r="H267">
            <v>1</v>
          </cell>
        </row>
        <row r="268">
          <cell r="H268">
            <v>1</v>
          </cell>
        </row>
        <row r="269">
          <cell r="H269">
            <v>0</v>
          </cell>
        </row>
        <row r="270">
          <cell r="H270">
            <v>0</v>
          </cell>
        </row>
        <row r="271">
          <cell r="H271">
            <v>0</v>
          </cell>
        </row>
        <row r="272">
          <cell r="H272">
            <v>0</v>
          </cell>
        </row>
        <row r="273">
          <cell r="H273" t="str">
            <v>Consumo (HM)</v>
          </cell>
        </row>
        <row r="274">
          <cell r="H274">
            <v>0.05</v>
          </cell>
        </row>
        <row r="275">
          <cell r="H275">
            <v>0</v>
          </cell>
        </row>
        <row r="276">
          <cell r="H276">
            <v>0</v>
          </cell>
        </row>
        <row r="277">
          <cell r="H277" t="str">
            <v>Sub-total</v>
          </cell>
        </row>
        <row r="278">
          <cell r="H278">
            <v>0</v>
          </cell>
        </row>
        <row r="279">
          <cell r="H279" t="str">
            <v>Cantidad (se considera desperdicio del 3%)</v>
          </cell>
        </row>
        <row r="280">
          <cell r="H280">
            <v>0</v>
          </cell>
        </row>
        <row r="281">
          <cell r="H281">
            <v>0</v>
          </cell>
        </row>
        <row r="282">
          <cell r="H282" t="str">
            <v>Sub-total</v>
          </cell>
        </row>
        <row r="283">
          <cell r="H283">
            <v>0</v>
          </cell>
        </row>
        <row r="284">
          <cell r="H284" t="str">
            <v>Consumo</v>
          </cell>
        </row>
        <row r="285">
          <cell r="H285">
            <v>1</v>
          </cell>
        </row>
        <row r="286">
          <cell r="H286" t="str">
            <v>Sub-total</v>
          </cell>
        </row>
        <row r="287">
          <cell r="H287">
            <v>0</v>
          </cell>
        </row>
        <row r="288">
          <cell r="H288" t="str">
            <v>Consumo (HC)</v>
          </cell>
        </row>
        <row r="289">
          <cell r="H289">
            <v>1</v>
          </cell>
        </row>
        <row r="290">
          <cell r="H290">
            <v>1</v>
          </cell>
        </row>
        <row r="291">
          <cell r="H291">
            <v>0</v>
          </cell>
        </row>
        <row r="292">
          <cell r="H292">
            <v>0</v>
          </cell>
        </row>
        <row r="293">
          <cell r="H293">
            <v>0</v>
          </cell>
        </row>
        <row r="294">
          <cell r="H294">
            <v>0</v>
          </cell>
        </row>
        <row r="295">
          <cell r="H295" t="str">
            <v>Consumo (HM)</v>
          </cell>
        </row>
        <row r="296">
          <cell r="H296">
            <v>0.05</v>
          </cell>
        </row>
        <row r="297">
          <cell r="H297">
            <v>1</v>
          </cell>
        </row>
        <row r="298">
          <cell r="H298">
            <v>0</v>
          </cell>
        </row>
        <row r="299">
          <cell r="H299" t="str">
            <v>Sub-total</v>
          </cell>
        </row>
        <row r="300">
          <cell r="H300">
            <v>0</v>
          </cell>
        </row>
        <row r="301">
          <cell r="H301" t="str">
            <v>Cantidad (se considera desperdicio del 3%)</v>
          </cell>
        </row>
        <row r="302">
          <cell r="H302">
            <v>0</v>
          </cell>
        </row>
        <row r="303">
          <cell r="H303">
            <v>0</v>
          </cell>
        </row>
        <row r="304">
          <cell r="H304" t="str">
            <v>Sub-total</v>
          </cell>
        </row>
        <row r="305">
          <cell r="H305">
            <v>0</v>
          </cell>
        </row>
        <row r="306">
          <cell r="H306" t="str">
            <v>Consumo</v>
          </cell>
        </row>
        <row r="307">
          <cell r="H307">
            <v>1</v>
          </cell>
        </row>
        <row r="308">
          <cell r="H308" t="str">
            <v>Sub-total</v>
          </cell>
        </row>
        <row r="309">
          <cell r="H309">
            <v>0</v>
          </cell>
        </row>
        <row r="310">
          <cell r="H310" t="str">
            <v>Consumo (HC)</v>
          </cell>
        </row>
        <row r="311">
          <cell r="H311">
            <v>0</v>
          </cell>
        </row>
        <row r="312">
          <cell r="H312">
            <v>1.5</v>
          </cell>
        </row>
        <row r="313">
          <cell r="H313">
            <v>0</v>
          </cell>
        </row>
        <row r="314">
          <cell r="H314">
            <v>0</v>
          </cell>
        </row>
        <row r="315">
          <cell r="H315">
            <v>0</v>
          </cell>
        </row>
        <row r="316">
          <cell r="H316">
            <v>0</v>
          </cell>
        </row>
        <row r="317">
          <cell r="H317" t="str">
            <v>Consumo (HM)</v>
          </cell>
        </row>
        <row r="318">
          <cell r="H318">
            <v>0.05</v>
          </cell>
        </row>
        <row r="319">
          <cell r="H319">
            <v>0</v>
          </cell>
        </row>
        <row r="320">
          <cell r="H320">
            <v>0</v>
          </cell>
        </row>
        <row r="321">
          <cell r="H321" t="str">
            <v>Sub-total</v>
          </cell>
        </row>
        <row r="322">
          <cell r="H322">
            <v>0</v>
          </cell>
        </row>
        <row r="323">
          <cell r="H323" t="str">
            <v>Cantidad (se considera desperdicio del 3%)</v>
          </cell>
        </row>
        <row r="324">
          <cell r="H324">
            <v>0</v>
          </cell>
        </row>
        <row r="325">
          <cell r="H325">
            <v>0</v>
          </cell>
        </row>
        <row r="326">
          <cell r="H326" t="str">
            <v>Sub-total</v>
          </cell>
        </row>
        <row r="327">
          <cell r="H327">
            <v>0</v>
          </cell>
        </row>
        <row r="328">
          <cell r="H328" t="str">
            <v>Consumo</v>
          </cell>
        </row>
        <row r="329">
          <cell r="H329">
            <v>1.3</v>
          </cell>
        </row>
        <row r="330">
          <cell r="H330" t="str">
            <v>Sub-total</v>
          </cell>
        </row>
        <row r="331">
          <cell r="H331">
            <v>0</v>
          </cell>
        </row>
        <row r="332">
          <cell r="H332" t="str">
            <v>Consumo (HC)</v>
          </cell>
        </row>
        <row r="333">
          <cell r="H333">
            <v>0</v>
          </cell>
        </row>
        <row r="334">
          <cell r="H334">
            <v>0.12609269019278599</v>
          </cell>
        </row>
        <row r="335">
          <cell r="H335">
            <v>0</v>
          </cell>
        </row>
        <row r="336">
          <cell r="H336">
            <v>0</v>
          </cell>
        </row>
        <row r="337">
          <cell r="H337">
            <v>0</v>
          </cell>
        </row>
        <row r="338">
          <cell r="H338">
            <v>0</v>
          </cell>
        </row>
        <row r="339">
          <cell r="H339" t="str">
            <v>Consumo (HM)</v>
          </cell>
        </row>
        <row r="340">
          <cell r="H340">
            <v>0.05</v>
          </cell>
        </row>
        <row r="341">
          <cell r="H341">
            <v>0</v>
          </cell>
        </row>
        <row r="342">
          <cell r="H342">
            <v>0</v>
          </cell>
        </row>
        <row r="343">
          <cell r="H343" t="str">
            <v>Sub-total</v>
          </cell>
        </row>
        <row r="344">
          <cell r="H344">
            <v>0</v>
          </cell>
        </row>
        <row r="345">
          <cell r="H345" t="str">
            <v>Cantidad (se considera desperdicio del 3%)</v>
          </cell>
        </row>
        <row r="346">
          <cell r="H346">
            <v>0.73904999999999998</v>
          </cell>
        </row>
        <row r="347">
          <cell r="H347">
            <v>2.5819700000000001</v>
          </cell>
        </row>
        <row r="348">
          <cell r="H348">
            <v>0.86065999999999998</v>
          </cell>
        </row>
        <row r="349">
          <cell r="H349">
            <v>2.625</v>
          </cell>
        </row>
        <row r="350">
          <cell r="H350">
            <v>24</v>
          </cell>
        </row>
        <row r="351">
          <cell r="H351">
            <v>2</v>
          </cell>
        </row>
        <row r="352">
          <cell r="H352">
            <v>3</v>
          </cell>
        </row>
        <row r="353">
          <cell r="H353">
            <v>0.03</v>
          </cell>
        </row>
        <row r="354">
          <cell r="H354">
            <v>0.03</v>
          </cell>
        </row>
        <row r="355">
          <cell r="H355">
            <v>0.2</v>
          </cell>
        </row>
        <row r="356">
          <cell r="H356">
            <v>0.05</v>
          </cell>
        </row>
        <row r="357">
          <cell r="H357" t="str">
            <v>Sub-total</v>
          </cell>
        </row>
        <row r="358">
          <cell r="H358">
            <v>0</v>
          </cell>
        </row>
        <row r="359">
          <cell r="H359" t="str">
            <v>Consumo</v>
          </cell>
        </row>
        <row r="360">
          <cell r="H360">
            <v>0.5</v>
          </cell>
        </row>
        <row r="361">
          <cell r="H361" t="str">
            <v>Sub-total</v>
          </cell>
        </row>
        <row r="362">
          <cell r="H362">
            <v>0</v>
          </cell>
        </row>
        <row r="363">
          <cell r="H363" t="str">
            <v>Consumo (HC)</v>
          </cell>
        </row>
        <row r="364">
          <cell r="H364">
            <v>1.3976170214006742</v>
          </cell>
        </row>
        <row r="365">
          <cell r="H365">
            <v>1.5</v>
          </cell>
        </row>
        <row r="366">
          <cell r="H366">
            <v>0</v>
          </cell>
        </row>
        <row r="367">
          <cell r="H367">
            <v>0</v>
          </cell>
        </row>
        <row r="368">
          <cell r="H368">
            <v>0</v>
          </cell>
        </row>
        <row r="369">
          <cell r="H369">
            <v>0</v>
          </cell>
        </row>
        <row r="370">
          <cell r="H370" t="str">
            <v>Consumo (HM)</v>
          </cell>
        </row>
        <row r="371">
          <cell r="H371">
            <v>0.05</v>
          </cell>
        </row>
        <row r="372">
          <cell r="H372">
            <v>0</v>
          </cell>
        </row>
        <row r="373">
          <cell r="H373">
            <v>0</v>
          </cell>
        </row>
        <row r="374">
          <cell r="H374" t="str">
            <v>Sub-total</v>
          </cell>
        </row>
        <row r="375">
          <cell r="H375">
            <v>0</v>
          </cell>
        </row>
        <row r="376">
          <cell r="H376" t="str">
            <v>Cantidad (se considera desperdicio del 3%)</v>
          </cell>
        </row>
        <row r="377">
          <cell r="H377">
            <v>0.36952499999999999</v>
          </cell>
        </row>
        <row r="378">
          <cell r="H378">
            <v>1.290985</v>
          </cell>
        </row>
        <row r="379">
          <cell r="H379">
            <v>0.86065999999999998</v>
          </cell>
        </row>
        <row r="380">
          <cell r="H380">
            <v>2.625</v>
          </cell>
        </row>
        <row r="381">
          <cell r="H381">
            <v>24</v>
          </cell>
        </row>
        <row r="382">
          <cell r="H382">
            <v>2</v>
          </cell>
        </row>
        <row r="383">
          <cell r="H383">
            <v>3</v>
          </cell>
        </row>
        <row r="384">
          <cell r="H384">
            <v>0.03</v>
          </cell>
        </row>
        <row r="385">
          <cell r="H385">
            <v>0.03</v>
          </cell>
        </row>
        <row r="386">
          <cell r="H386">
            <v>0.2</v>
          </cell>
        </row>
        <row r="387">
          <cell r="H387">
            <v>0.05</v>
          </cell>
        </row>
        <row r="388">
          <cell r="H388" t="str">
            <v>Sub-total</v>
          </cell>
        </row>
        <row r="389">
          <cell r="H389">
            <v>0</v>
          </cell>
        </row>
        <row r="390">
          <cell r="H390" t="str">
            <v>Consumo</v>
          </cell>
        </row>
        <row r="391">
          <cell r="H391">
            <v>0.5</v>
          </cell>
        </row>
        <row r="392">
          <cell r="H392" t="str">
            <v>Sub-total</v>
          </cell>
        </row>
        <row r="393">
          <cell r="H393">
            <v>0</v>
          </cell>
        </row>
        <row r="394">
          <cell r="H394" t="str">
            <v>Consumo (HC)</v>
          </cell>
        </row>
        <row r="395">
          <cell r="H395">
            <v>1</v>
          </cell>
        </row>
        <row r="396">
          <cell r="H396">
            <v>1</v>
          </cell>
        </row>
        <row r="397">
          <cell r="H397">
            <v>0</v>
          </cell>
        </row>
        <row r="398">
          <cell r="H398">
            <v>0</v>
          </cell>
        </row>
        <row r="399">
          <cell r="H399">
            <v>0</v>
          </cell>
        </row>
        <row r="400">
          <cell r="H400">
            <v>0</v>
          </cell>
        </row>
        <row r="401">
          <cell r="H401" t="str">
            <v>Consumo (HM)</v>
          </cell>
        </row>
        <row r="402">
          <cell r="H402">
            <v>0.05</v>
          </cell>
        </row>
        <row r="403">
          <cell r="H403">
            <v>0</v>
          </cell>
        </row>
        <row r="404">
          <cell r="H404" t="str">
            <v>Sub-total</v>
          </cell>
        </row>
        <row r="405">
          <cell r="H405">
            <v>0</v>
          </cell>
        </row>
        <row r="406">
          <cell r="H406" t="str">
            <v>Cantidad (se considera desperdicio del 3%)</v>
          </cell>
        </row>
        <row r="407">
          <cell r="H407">
            <v>1.03</v>
          </cell>
        </row>
        <row r="408">
          <cell r="H408">
            <v>0</v>
          </cell>
        </row>
        <row r="409">
          <cell r="H409" t="str">
            <v>Sub-total</v>
          </cell>
        </row>
        <row r="410">
          <cell r="H410">
            <v>0</v>
          </cell>
        </row>
        <row r="411">
          <cell r="H411" t="str">
            <v>Consumo</v>
          </cell>
        </row>
        <row r="412">
          <cell r="H412">
            <v>0.15</v>
          </cell>
        </row>
        <row r="413">
          <cell r="H413" t="str">
            <v>Sub-total</v>
          </cell>
        </row>
        <row r="414">
          <cell r="H414">
            <v>0</v>
          </cell>
        </row>
        <row r="415">
          <cell r="H415" t="str">
            <v>Consumo (HC)</v>
          </cell>
        </row>
        <row r="416">
          <cell r="H416">
            <v>0.3</v>
          </cell>
        </row>
        <row r="417">
          <cell r="H417">
            <v>0.3</v>
          </cell>
        </row>
        <row r="418">
          <cell r="H418">
            <v>0</v>
          </cell>
        </row>
        <row r="419">
          <cell r="H419">
            <v>0</v>
          </cell>
        </row>
        <row r="420">
          <cell r="H420">
            <v>0</v>
          </cell>
        </row>
        <row r="421">
          <cell r="H421">
            <v>0</v>
          </cell>
        </row>
        <row r="422">
          <cell r="H422" t="str">
            <v>Consumo (HM)</v>
          </cell>
        </row>
        <row r="423">
          <cell r="H423">
            <v>0.05</v>
          </cell>
        </row>
        <row r="424">
          <cell r="H424">
            <v>0</v>
          </cell>
        </row>
        <row r="425">
          <cell r="H425" t="str">
            <v>Sub-total</v>
          </cell>
        </row>
        <row r="426">
          <cell r="H426">
            <v>0</v>
          </cell>
        </row>
        <row r="427">
          <cell r="H427" t="str">
            <v>Cantidad (se considera desperdicio del 3%)</v>
          </cell>
        </row>
        <row r="428">
          <cell r="H428">
            <v>0.36952000000000002</v>
          </cell>
        </row>
        <row r="429">
          <cell r="H429">
            <v>1.03</v>
          </cell>
        </row>
        <row r="430">
          <cell r="H430">
            <v>11</v>
          </cell>
        </row>
        <row r="431">
          <cell r="H431">
            <v>1.29098</v>
          </cell>
        </row>
        <row r="432">
          <cell r="H432">
            <v>2.5819700000000001</v>
          </cell>
        </row>
        <row r="433">
          <cell r="H433">
            <v>3.15</v>
          </cell>
        </row>
        <row r="434">
          <cell r="H434">
            <v>30</v>
          </cell>
        </row>
        <row r="435">
          <cell r="H435">
            <v>10</v>
          </cell>
        </row>
        <row r="436">
          <cell r="H436">
            <v>5.1869999999999999E-2</v>
          </cell>
        </row>
        <row r="437">
          <cell r="H437">
            <v>0.3</v>
          </cell>
        </row>
        <row r="438">
          <cell r="H438">
            <v>0.28999999999999998</v>
          </cell>
        </row>
        <row r="439">
          <cell r="H439">
            <v>0.2</v>
          </cell>
        </row>
        <row r="440">
          <cell r="H440">
            <v>0.05</v>
          </cell>
        </row>
        <row r="441">
          <cell r="H441" t="str">
            <v>Sub-total</v>
          </cell>
        </row>
        <row r="442">
          <cell r="H442">
            <v>0</v>
          </cell>
        </row>
        <row r="443">
          <cell r="H443" t="str">
            <v>Consumo</v>
          </cell>
        </row>
        <row r="444">
          <cell r="H444">
            <v>0.5</v>
          </cell>
        </row>
        <row r="445">
          <cell r="H445" t="str">
            <v>Sub-total</v>
          </cell>
        </row>
        <row r="446">
          <cell r="H446">
            <v>0</v>
          </cell>
        </row>
        <row r="447">
          <cell r="H447" t="str">
            <v>Consumo (HC)</v>
          </cell>
        </row>
        <row r="448">
          <cell r="H448">
            <v>1</v>
          </cell>
        </row>
        <row r="449">
          <cell r="H449">
            <v>1</v>
          </cell>
        </row>
        <row r="450">
          <cell r="H450">
            <v>0</v>
          </cell>
        </row>
        <row r="451">
          <cell r="H451">
            <v>0</v>
          </cell>
        </row>
        <row r="452">
          <cell r="H452">
            <v>0</v>
          </cell>
        </row>
        <row r="453">
          <cell r="H453">
            <v>0</v>
          </cell>
        </row>
        <row r="454">
          <cell r="H454" t="str">
            <v>Consumo (HM)</v>
          </cell>
        </row>
        <row r="455">
          <cell r="H455">
            <v>0.05</v>
          </cell>
        </row>
        <row r="456">
          <cell r="H456">
            <v>0</v>
          </cell>
        </row>
        <row r="457">
          <cell r="H457" t="str">
            <v>Sub-total</v>
          </cell>
        </row>
        <row r="458">
          <cell r="H458">
            <v>0</v>
          </cell>
        </row>
        <row r="459">
          <cell r="H459" t="str">
            <v>Cantidad (se considera desperdicio del 3%)</v>
          </cell>
        </row>
        <row r="460">
          <cell r="H460">
            <v>2.9561999999999999</v>
          </cell>
        </row>
        <row r="461">
          <cell r="H461">
            <v>5.1639400000000002</v>
          </cell>
        </row>
        <row r="462">
          <cell r="H462">
            <v>1.72132</v>
          </cell>
        </row>
        <row r="463">
          <cell r="H463">
            <v>5.25</v>
          </cell>
        </row>
        <row r="464">
          <cell r="H464">
            <v>48</v>
          </cell>
        </row>
        <row r="465">
          <cell r="H465">
            <v>4</v>
          </cell>
        </row>
        <row r="466">
          <cell r="H466">
            <v>6</v>
          </cell>
        </row>
        <row r="467">
          <cell r="H467">
            <v>0.10374</v>
          </cell>
        </row>
        <row r="468">
          <cell r="H468">
            <v>0.06</v>
          </cell>
        </row>
        <row r="469">
          <cell r="H469">
            <v>0.4</v>
          </cell>
        </row>
        <row r="470">
          <cell r="H470">
            <v>0.1</v>
          </cell>
        </row>
        <row r="471">
          <cell r="H471" t="str">
            <v>Sub-total</v>
          </cell>
        </row>
        <row r="472">
          <cell r="H472">
            <v>0</v>
          </cell>
        </row>
        <row r="473">
          <cell r="H473" t="str">
            <v>Consumo</v>
          </cell>
        </row>
        <row r="474">
          <cell r="H474">
            <v>0.5</v>
          </cell>
        </row>
        <row r="475">
          <cell r="H475" t="str">
            <v>Sub-total</v>
          </cell>
        </row>
        <row r="476">
          <cell r="H476">
            <v>0</v>
          </cell>
        </row>
        <row r="477">
          <cell r="H477" t="str">
            <v>Consumo (HC)</v>
          </cell>
        </row>
        <row r="478">
          <cell r="H478">
            <v>1.5</v>
          </cell>
        </row>
        <row r="479">
          <cell r="H479">
            <v>1.5</v>
          </cell>
        </row>
        <row r="480">
          <cell r="H480">
            <v>0</v>
          </cell>
        </row>
        <row r="481">
          <cell r="H481">
            <v>0</v>
          </cell>
        </row>
        <row r="482">
          <cell r="H482">
            <v>0</v>
          </cell>
        </row>
        <row r="483">
          <cell r="H483">
            <v>0</v>
          </cell>
        </row>
        <row r="484">
          <cell r="H484" t="str">
            <v>Consumo (HM)</v>
          </cell>
        </row>
        <row r="485">
          <cell r="H485">
            <v>0.05</v>
          </cell>
        </row>
        <row r="486">
          <cell r="H486">
            <v>0</v>
          </cell>
        </row>
        <row r="487">
          <cell r="H487">
            <v>0</v>
          </cell>
        </row>
        <row r="488">
          <cell r="H488" t="str">
            <v>Sub-total</v>
          </cell>
        </row>
        <row r="489">
          <cell r="H489">
            <v>0</v>
          </cell>
        </row>
        <row r="490">
          <cell r="H490" t="str">
            <v>Cantidad (se considera desperdicio del 3%)</v>
          </cell>
        </row>
        <row r="491">
          <cell r="H491">
            <v>0.36952499999999999</v>
          </cell>
        </row>
        <row r="492">
          <cell r="H492">
            <v>1.45</v>
          </cell>
        </row>
        <row r="493">
          <cell r="H493">
            <v>0.86065999999999998</v>
          </cell>
        </row>
        <row r="494">
          <cell r="H494">
            <v>1.34</v>
          </cell>
        </row>
        <row r="495">
          <cell r="H495">
            <v>6</v>
          </cell>
        </row>
        <row r="496">
          <cell r="H496">
            <v>2</v>
          </cell>
        </row>
        <row r="497">
          <cell r="H497">
            <v>3</v>
          </cell>
        </row>
        <row r="498">
          <cell r="H498">
            <v>0.03</v>
          </cell>
        </row>
        <row r="499">
          <cell r="H499">
            <v>0.03</v>
          </cell>
        </row>
        <row r="500">
          <cell r="H500">
            <v>0.2</v>
          </cell>
        </row>
        <row r="501">
          <cell r="H501">
            <v>0.05</v>
          </cell>
        </row>
        <row r="502">
          <cell r="H502" t="str">
            <v>Sub-total</v>
          </cell>
        </row>
        <row r="503">
          <cell r="H503">
            <v>0</v>
          </cell>
        </row>
        <row r="504">
          <cell r="H504" t="str">
            <v>Consumo</v>
          </cell>
        </row>
        <row r="505">
          <cell r="H505">
            <v>0.25</v>
          </cell>
        </row>
        <row r="506">
          <cell r="H506" t="str">
            <v>Sub-total</v>
          </cell>
        </row>
        <row r="507">
          <cell r="H507">
            <v>0</v>
          </cell>
        </row>
        <row r="508">
          <cell r="H508" t="str">
            <v>Consumo (HC)</v>
          </cell>
        </row>
        <row r="509">
          <cell r="H509">
            <v>0.5</v>
          </cell>
        </row>
        <row r="510">
          <cell r="H510">
            <v>0.5</v>
          </cell>
        </row>
        <row r="511">
          <cell r="H511">
            <v>0</v>
          </cell>
        </row>
        <row r="512">
          <cell r="H512">
            <v>0</v>
          </cell>
        </row>
        <row r="513">
          <cell r="H513">
            <v>0</v>
          </cell>
        </row>
        <row r="514">
          <cell r="H514">
            <v>0</v>
          </cell>
        </row>
        <row r="515">
          <cell r="H515" t="str">
            <v>Consumo (HM)</v>
          </cell>
        </row>
        <row r="516">
          <cell r="H516">
            <v>0.05</v>
          </cell>
        </row>
        <row r="517">
          <cell r="H517">
            <v>1</v>
          </cell>
        </row>
        <row r="518">
          <cell r="H518">
            <v>0</v>
          </cell>
        </row>
        <row r="519">
          <cell r="H519" t="str">
            <v>Sub-total</v>
          </cell>
        </row>
        <row r="520">
          <cell r="H520">
            <v>0</v>
          </cell>
        </row>
        <row r="521">
          <cell r="H521" t="str">
            <v>Cantidad (se considera desperdicio del 3%)</v>
          </cell>
        </row>
        <row r="522">
          <cell r="H522">
            <v>24.390239999999999</v>
          </cell>
        </row>
        <row r="523">
          <cell r="H523">
            <v>3.2399999999999998E-2</v>
          </cell>
        </row>
        <row r="524">
          <cell r="H524">
            <v>0</v>
          </cell>
        </row>
        <row r="525">
          <cell r="H525">
            <v>0</v>
          </cell>
        </row>
        <row r="526">
          <cell r="H526" t="str">
            <v>Sub-total</v>
          </cell>
        </row>
        <row r="527">
          <cell r="H527">
            <v>0</v>
          </cell>
        </row>
        <row r="528">
          <cell r="H528" t="str">
            <v>Consumo</v>
          </cell>
        </row>
        <row r="529">
          <cell r="H529">
            <v>0.15</v>
          </cell>
        </row>
        <row r="530">
          <cell r="H530" t="str">
            <v>Sub-total</v>
          </cell>
        </row>
        <row r="531">
          <cell r="H531">
            <v>0</v>
          </cell>
        </row>
        <row r="532">
          <cell r="H532" t="str">
            <v>Consumo (HC)</v>
          </cell>
        </row>
        <row r="533">
          <cell r="H533">
            <v>0.3</v>
          </cell>
        </row>
        <row r="534">
          <cell r="H534">
            <v>0.3</v>
          </cell>
        </row>
        <row r="535">
          <cell r="H535">
            <v>0</v>
          </cell>
        </row>
        <row r="536">
          <cell r="H536">
            <v>0</v>
          </cell>
        </row>
        <row r="537">
          <cell r="H537">
            <v>0</v>
          </cell>
        </row>
        <row r="538">
          <cell r="H538">
            <v>0</v>
          </cell>
        </row>
        <row r="539">
          <cell r="H539" t="str">
            <v>Consumo (HM)</v>
          </cell>
        </row>
        <row r="540">
          <cell r="H540">
            <v>0.05</v>
          </cell>
        </row>
        <row r="541">
          <cell r="H541">
            <v>1.8</v>
          </cell>
        </row>
        <row r="542">
          <cell r="H542" t="str">
            <v>Sub-total</v>
          </cell>
        </row>
        <row r="543">
          <cell r="H543">
            <v>0</v>
          </cell>
        </row>
        <row r="544">
          <cell r="H544" t="str">
            <v>Cantidad (se considera desperdicio del 3%)</v>
          </cell>
        </row>
        <row r="545">
          <cell r="H545">
            <v>1.3</v>
          </cell>
        </row>
        <row r="546">
          <cell r="H546">
            <v>0.11</v>
          </cell>
        </row>
        <row r="547">
          <cell r="H547">
            <v>5.5E-2</v>
          </cell>
        </row>
        <row r="548">
          <cell r="H548" t="str">
            <v>Sub-total</v>
          </cell>
        </row>
        <row r="549">
          <cell r="H549">
            <v>0</v>
          </cell>
        </row>
        <row r="550">
          <cell r="H550" t="str">
            <v>Consumo</v>
          </cell>
        </row>
        <row r="551">
          <cell r="H551">
            <v>0.25</v>
          </cell>
        </row>
        <row r="552">
          <cell r="H552" t="str">
            <v>Sub-total</v>
          </cell>
        </row>
        <row r="553">
          <cell r="H553">
            <v>0</v>
          </cell>
        </row>
        <row r="554">
          <cell r="H554" t="str">
            <v>Consumo (HC)</v>
          </cell>
        </row>
        <row r="555">
          <cell r="H555">
            <v>0.2</v>
          </cell>
        </row>
        <row r="556">
          <cell r="H556">
            <v>0</v>
          </cell>
        </row>
        <row r="557">
          <cell r="H557">
            <v>0</v>
          </cell>
        </row>
        <row r="558">
          <cell r="H558">
            <v>0</v>
          </cell>
        </row>
        <row r="559">
          <cell r="H559">
            <v>0</v>
          </cell>
        </row>
        <row r="560">
          <cell r="H560">
            <v>0</v>
          </cell>
        </row>
        <row r="561">
          <cell r="H561" t="str">
            <v>Consumo (HM)</v>
          </cell>
        </row>
        <row r="562">
          <cell r="H562">
            <v>0.05</v>
          </cell>
        </row>
        <row r="563">
          <cell r="H563">
            <v>1.4</v>
          </cell>
        </row>
        <row r="564">
          <cell r="H564" t="str">
            <v>Sub-total</v>
          </cell>
        </row>
        <row r="565">
          <cell r="H565">
            <v>0</v>
          </cell>
        </row>
        <row r="566">
          <cell r="H566" t="str">
            <v>Cantidad (se considera desperdicio del 3%)</v>
          </cell>
        </row>
        <row r="567">
          <cell r="H567">
            <v>0.05</v>
          </cell>
        </row>
        <row r="568">
          <cell r="H568">
            <v>1.2999999999999999E-2</v>
          </cell>
        </row>
        <row r="569">
          <cell r="H569">
            <v>1.2999999999999999E-2</v>
          </cell>
        </row>
        <row r="570">
          <cell r="H570">
            <v>1.2999999999999999E-2</v>
          </cell>
        </row>
        <row r="571">
          <cell r="H571">
            <v>0.25</v>
          </cell>
        </row>
        <row r="572">
          <cell r="H572">
            <v>0.05</v>
          </cell>
        </row>
        <row r="573">
          <cell r="H573">
            <v>4.0000000000000001E-3</v>
          </cell>
        </row>
        <row r="574">
          <cell r="H574" t="str">
            <v>Sub-total</v>
          </cell>
        </row>
        <row r="575">
          <cell r="H575">
            <v>0</v>
          </cell>
        </row>
        <row r="576">
          <cell r="H576" t="str">
            <v>Consumo</v>
          </cell>
        </row>
        <row r="577">
          <cell r="H577">
            <v>0.1</v>
          </cell>
        </row>
        <row r="578">
          <cell r="H578" t="str">
            <v>Sub-total</v>
          </cell>
        </row>
        <row r="579">
          <cell r="H579">
            <v>0</v>
          </cell>
        </row>
        <row r="580">
          <cell r="H580" t="str">
            <v>Consumo (HC)</v>
          </cell>
        </row>
        <row r="581">
          <cell r="H581">
            <v>0.2</v>
          </cell>
        </row>
        <row r="582">
          <cell r="H582">
            <v>0.2</v>
          </cell>
        </row>
        <row r="583">
          <cell r="H583">
            <v>0</v>
          </cell>
        </row>
        <row r="584">
          <cell r="H584">
            <v>0</v>
          </cell>
        </row>
        <row r="585">
          <cell r="H585">
            <v>0</v>
          </cell>
        </row>
        <row r="586">
          <cell r="H586">
            <v>0</v>
          </cell>
        </row>
        <row r="587">
          <cell r="H587" t="str">
            <v>Consumo (HM)</v>
          </cell>
        </row>
        <row r="588">
          <cell r="H588">
            <v>0.05</v>
          </cell>
        </row>
        <row r="589">
          <cell r="H589">
            <v>0</v>
          </cell>
        </row>
        <row r="590">
          <cell r="H590" t="str">
            <v>Sub-total</v>
          </cell>
        </row>
        <row r="591">
          <cell r="H591">
            <v>0</v>
          </cell>
        </row>
        <row r="592">
          <cell r="H592" t="str">
            <v>Cantidad (se considera desperdicio del 3%)</v>
          </cell>
        </row>
        <row r="593">
          <cell r="H593">
            <v>0.03</v>
          </cell>
        </row>
        <row r="594">
          <cell r="H594">
            <v>1.2999999999999999E-2</v>
          </cell>
        </row>
        <row r="595">
          <cell r="H595">
            <v>1.2999999999999999E-2</v>
          </cell>
        </row>
        <row r="596">
          <cell r="H596">
            <v>1.2999999999999999E-2</v>
          </cell>
        </row>
        <row r="597">
          <cell r="H597">
            <v>0.25</v>
          </cell>
        </row>
        <row r="598">
          <cell r="H598">
            <v>0.05</v>
          </cell>
        </row>
        <row r="599">
          <cell r="H599">
            <v>4.0000000000000001E-3</v>
          </cell>
        </row>
        <row r="600">
          <cell r="H600" t="str">
            <v>Sub-total</v>
          </cell>
        </row>
        <row r="601">
          <cell r="H601">
            <v>0</v>
          </cell>
        </row>
        <row r="602">
          <cell r="H602" t="str">
            <v>Consumo</v>
          </cell>
        </row>
        <row r="603">
          <cell r="H603">
            <v>0.05</v>
          </cell>
        </row>
        <row r="604">
          <cell r="H604" t="str">
            <v>Sub-total</v>
          </cell>
        </row>
        <row r="605">
          <cell r="H605">
            <v>0</v>
          </cell>
        </row>
        <row r="606">
          <cell r="H606" t="str">
            <v>Consumo (HC)</v>
          </cell>
        </row>
        <row r="607">
          <cell r="H607">
            <v>0.5</v>
          </cell>
        </row>
        <row r="608">
          <cell r="H608">
            <v>0</v>
          </cell>
        </row>
        <row r="609">
          <cell r="H609">
            <v>0</v>
          </cell>
        </row>
        <row r="610">
          <cell r="H610">
            <v>0</v>
          </cell>
        </row>
        <row r="611">
          <cell r="H611">
            <v>0</v>
          </cell>
        </row>
        <row r="612">
          <cell r="H612">
            <v>0</v>
          </cell>
        </row>
        <row r="613">
          <cell r="H613" t="str">
            <v>Consumo (HM)</v>
          </cell>
        </row>
        <row r="614">
          <cell r="H614">
            <v>0.05</v>
          </cell>
        </row>
        <row r="615">
          <cell r="H615">
            <v>0</v>
          </cell>
        </row>
        <row r="616">
          <cell r="H616" t="str">
            <v>Sub-total</v>
          </cell>
        </row>
        <row r="617">
          <cell r="H617">
            <v>0</v>
          </cell>
        </row>
        <row r="618">
          <cell r="H618" t="str">
            <v>Cantidad (se considera desperdicio del 3%)</v>
          </cell>
        </row>
        <row r="619">
          <cell r="H619">
            <v>9.2999999999999992E-3</v>
          </cell>
        </row>
        <row r="620">
          <cell r="H620">
            <v>0</v>
          </cell>
        </row>
        <row r="621">
          <cell r="H621">
            <v>0</v>
          </cell>
        </row>
        <row r="622">
          <cell r="H622">
            <v>0</v>
          </cell>
        </row>
        <row r="623">
          <cell r="H623">
            <v>0</v>
          </cell>
        </row>
        <row r="624">
          <cell r="H624">
            <v>0</v>
          </cell>
        </row>
        <row r="625">
          <cell r="H625" t="str">
            <v>Sub-total</v>
          </cell>
        </row>
        <row r="626">
          <cell r="H626">
            <v>0</v>
          </cell>
        </row>
        <row r="627">
          <cell r="H627" t="str">
            <v>Consumo</v>
          </cell>
        </row>
        <row r="628">
          <cell r="H628">
            <v>0.1</v>
          </cell>
        </row>
        <row r="629">
          <cell r="H629" t="str">
            <v>Sub-total</v>
          </cell>
        </row>
        <row r="630">
          <cell r="H630">
            <v>0</v>
          </cell>
        </row>
        <row r="631">
          <cell r="H631" t="str">
            <v>Consumo (HC)</v>
          </cell>
        </row>
        <row r="632">
          <cell r="H632">
            <v>1</v>
          </cell>
        </row>
        <row r="633">
          <cell r="H633">
            <v>1</v>
          </cell>
        </row>
        <row r="634">
          <cell r="H634">
            <v>0</v>
          </cell>
        </row>
        <row r="635">
          <cell r="H635">
            <v>0</v>
          </cell>
        </row>
        <row r="636">
          <cell r="H636">
            <v>0</v>
          </cell>
        </row>
        <row r="637">
          <cell r="H637">
            <v>0</v>
          </cell>
        </row>
        <row r="638">
          <cell r="H638" t="str">
            <v>Consumo (HM)</v>
          </cell>
        </row>
        <row r="639">
          <cell r="H639">
            <v>0.05</v>
          </cell>
        </row>
        <row r="640">
          <cell r="H640">
            <v>1</v>
          </cell>
        </row>
        <row r="641">
          <cell r="H641" t="str">
            <v>Sub-total</v>
          </cell>
        </row>
        <row r="642">
          <cell r="H642">
            <v>0</v>
          </cell>
        </row>
        <row r="643">
          <cell r="H643" t="str">
            <v>Cantidad (se considera desperdicio del 3%)</v>
          </cell>
        </row>
        <row r="644">
          <cell r="H644">
            <v>4.12</v>
          </cell>
        </row>
        <row r="645">
          <cell r="H645">
            <v>1.6</v>
          </cell>
        </row>
        <row r="646">
          <cell r="H646">
            <v>0.10300000000000001</v>
          </cell>
        </row>
        <row r="647">
          <cell r="H647">
            <v>0.41200000000000003</v>
          </cell>
        </row>
        <row r="648">
          <cell r="H648" t="str">
            <v>Sub-total</v>
          </cell>
        </row>
        <row r="649">
          <cell r="H649">
            <v>0</v>
          </cell>
        </row>
        <row r="650">
          <cell r="H650" t="str">
            <v>Consumo</v>
          </cell>
        </row>
        <row r="651">
          <cell r="H651">
            <v>1</v>
          </cell>
        </row>
        <row r="652">
          <cell r="H652" t="str">
            <v>Sub-total</v>
          </cell>
        </row>
        <row r="653">
          <cell r="H653">
            <v>0</v>
          </cell>
        </row>
        <row r="654">
          <cell r="H654" t="str">
            <v>Consumo (HC)</v>
          </cell>
        </row>
        <row r="655">
          <cell r="H655">
            <v>1.6234459680103985</v>
          </cell>
        </row>
        <row r="656">
          <cell r="H656">
            <v>1.55</v>
          </cell>
        </row>
        <row r="657">
          <cell r="H657">
            <v>0</v>
          </cell>
        </row>
        <row r="658">
          <cell r="H658">
            <v>0</v>
          </cell>
        </row>
      </sheetData>
      <sheetData sheetId="7">
        <row r="14">
          <cell r="C14" t="str">
            <v>Demolición manual de muros internos divisorios en ladrillo y/ó Bloque de concreto, revocado y/ó estucado, y/ó enchapado  hasta un espesor de 25 cm,  Incluye corte con pulidora, retiro de refuerzo y cualquier tipo instalaciones embebidas, o sobrepuestas en el muro, acarreo interno hasta el punto de acopio de escombros, además recuperación de los materiales aprovechables o su transporte hasta el sitio que lo indique la interventoría.</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GA"/>
      <sheetName val="APERTURA DE SOBRES"/>
      <sheetName val="3. REQUISITOS JURÍDICOS"/>
      <sheetName val="3.2.1 EXPERIENCIA GRAL"/>
      <sheetName val="3.3 CAP FINANCIERA"/>
      <sheetName val="3.4 REQUISITOS COMERCIALES"/>
      <sheetName val="10. EVALUACIÓN"/>
      <sheetName val="Cálculo Pt4"/>
      <sheetName val="Presupuesto Consolidado"/>
      <sheetName val="Analisis A.I.U."/>
    </sheetNames>
    <sheetDataSet>
      <sheetData sheetId="0"/>
      <sheetData sheetId="1"/>
      <sheetData sheetId="2"/>
      <sheetData sheetId="3">
        <row r="6">
          <cell r="I6">
            <v>440000000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Normal="100" zoomScaleSheetLayoutView="90" zoomScalePageLayoutView="90" workbookViewId="0">
      <selection activeCell="E9" sqref="E9"/>
    </sheetView>
  </sheetViews>
  <sheetFormatPr baseColWidth="10" defaultColWidth="11.42578125" defaultRowHeight="12.75"/>
  <cols>
    <col min="1" max="1" width="13.42578125" style="2" customWidth="1"/>
    <col min="2" max="2" width="80" style="1" bestFit="1" customWidth="1"/>
    <col min="3" max="16384" width="11.42578125" style="1"/>
  </cols>
  <sheetData>
    <row r="1" spans="1:2" ht="37.5" customHeight="1">
      <c r="A1" s="413" t="s">
        <v>7</v>
      </c>
      <c r="B1" s="414"/>
    </row>
    <row r="2" spans="1:2" ht="37.5" customHeight="1">
      <c r="A2" s="411" t="s">
        <v>175</v>
      </c>
      <c r="B2" s="412"/>
    </row>
    <row r="3" spans="1:2" ht="74.25" customHeight="1">
      <c r="A3" s="409" t="s">
        <v>176</v>
      </c>
      <c r="B3" s="410"/>
    </row>
    <row r="4" spans="1:2" ht="27" customHeight="1">
      <c r="A4" s="407" t="s">
        <v>30</v>
      </c>
      <c r="B4" s="408"/>
    </row>
    <row r="5" spans="1:2" s="2" customFormat="1" ht="15.75">
      <c r="A5" s="62"/>
      <c r="B5" s="62"/>
    </row>
    <row r="6" spans="1:2" ht="29.25" customHeight="1">
      <c r="A6" s="45" t="s">
        <v>32</v>
      </c>
      <c r="B6" s="46" t="s">
        <v>3</v>
      </c>
    </row>
    <row r="7" spans="1:2" ht="22.5" customHeight="1">
      <c r="A7" s="47" t="s">
        <v>4</v>
      </c>
      <c r="B7" s="48" t="s">
        <v>453</v>
      </c>
    </row>
    <row r="8" spans="1:2" ht="22.5" customHeight="1">
      <c r="A8" s="47" t="s">
        <v>5</v>
      </c>
      <c r="B8" s="48" t="s">
        <v>454</v>
      </c>
    </row>
    <row r="9" spans="1:2" ht="22.5" customHeight="1">
      <c r="A9" s="47" t="s">
        <v>6</v>
      </c>
      <c r="B9" s="48"/>
    </row>
    <row r="10" spans="1:2" ht="6" customHeight="1">
      <c r="A10" s="85"/>
      <c r="B10" s="86"/>
    </row>
    <row r="11" spans="1:2">
      <c r="A11" s="405" t="s">
        <v>127</v>
      </c>
      <c r="B11" s="406"/>
    </row>
    <row r="12" spans="1:2">
      <c r="A12" s="87"/>
      <c r="B12" s="88"/>
    </row>
    <row r="13" spans="1:2">
      <c r="A13" s="90" t="s">
        <v>108</v>
      </c>
      <c r="B13" s="89"/>
    </row>
    <row r="14" spans="1:2">
      <c r="A14" s="404"/>
      <c r="B14" s="404"/>
    </row>
    <row r="15" spans="1:2">
      <c r="A15" s="404"/>
      <c r="B15" s="404"/>
    </row>
  </sheetData>
  <sheetProtection algorithmName="SHA-512" hashValue="IV1o0I7S2n1CXpcgmwXdUSn9L2t2Ljtc9zWGxVEf4meT9xTZtkzCqWXt2arNP/3daxx0mZWSg+ATtdoZPYbadQ==" saltValue="KtVVE0V6je8bxuNTJnoE/A==" spinCount="100000" sheet="1" selectLockedCells="1" selectUnlockedCells="1"/>
  <mergeCells count="7">
    <mergeCell ref="A4:B4"/>
    <mergeCell ref="A3:B3"/>
    <mergeCell ref="A2:B2"/>
    <mergeCell ref="A1:B1"/>
    <mergeCell ref="A14:B14"/>
    <mergeCell ref="A15:B15"/>
    <mergeCell ref="A11:B11"/>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Q45"/>
  <sheetViews>
    <sheetView topLeftCell="H28" zoomScaleNormal="100" zoomScalePageLayoutView="120" workbookViewId="0">
      <selection activeCell="K28" sqref="K28"/>
    </sheetView>
  </sheetViews>
  <sheetFormatPr baseColWidth="10" defaultColWidth="11.42578125" defaultRowHeight="12.75"/>
  <cols>
    <col min="1" max="1" width="16.42578125" style="105" customWidth="1"/>
    <col min="2" max="2" width="44.42578125" style="105" customWidth="1"/>
    <col min="3" max="3" width="13.5703125" style="105" customWidth="1"/>
    <col min="4" max="7" width="8.7109375" style="105" customWidth="1"/>
    <col min="8" max="8" width="20.28515625" style="105" customWidth="1"/>
    <col min="9" max="9" width="3.28515625" style="105" customWidth="1"/>
    <col min="10" max="10" width="16.42578125" style="105" customWidth="1"/>
    <col min="11" max="11" width="44.42578125" style="105" customWidth="1"/>
    <col min="12" max="12" width="16.85546875" style="105" customWidth="1"/>
    <col min="13" max="13" width="12.85546875" style="105" customWidth="1"/>
    <col min="14" max="14" width="13.7109375" style="105" customWidth="1"/>
    <col min="15" max="16" width="11.42578125" style="105"/>
    <col min="17" max="17" width="20.28515625" style="105" customWidth="1"/>
    <col min="18" max="18" width="3.28515625" style="105" customWidth="1"/>
    <col min="19" max="16384" width="11.42578125" style="105"/>
  </cols>
  <sheetData>
    <row r="1" spans="1:17" ht="21" thickBot="1">
      <c r="A1" s="225" t="str">
        <f>IF(ENTREGA!A7="","",ENTREGA!A7)</f>
        <v>1</v>
      </c>
      <c r="B1" s="542" t="str">
        <f>IF(A1="","",VLOOKUP(A1,ENTREGA!$A$7:$B$11,2,FALSE))</f>
        <v>MAURO VELEZ GÓMEZ</v>
      </c>
      <c r="C1" s="542"/>
      <c r="D1" s="542"/>
      <c r="E1" s="542"/>
      <c r="F1" s="542"/>
      <c r="G1" s="542"/>
      <c r="H1" s="542"/>
      <c r="J1" s="225" t="str">
        <f>IF(ENTREGA!A8="","",ENTREGA!A8)</f>
        <v>2</v>
      </c>
      <c r="K1" s="542" t="str">
        <f>IF(J1="","",VLOOKUP(J1,ENTREGA!$A$7:$B$11,2,FALSE))</f>
        <v>LUIS ENRIQUE OYOLA QUINTERO</v>
      </c>
      <c r="L1" s="542"/>
      <c r="M1" s="542"/>
      <c r="N1" s="542"/>
      <c r="O1" s="542"/>
      <c r="P1" s="542"/>
      <c r="Q1" s="542"/>
    </row>
    <row r="2" spans="1:17" ht="86.25" customHeight="1" thickTop="1" thickBot="1">
      <c r="A2" s="559" t="s">
        <v>174</v>
      </c>
      <c r="B2" s="560"/>
      <c r="C2" s="561" t="s">
        <v>142</v>
      </c>
      <c r="D2" s="561"/>
      <c r="E2" s="561"/>
      <c r="F2" s="561"/>
      <c r="G2" s="561"/>
      <c r="H2" s="562"/>
      <c r="J2" s="559" t="s">
        <v>174</v>
      </c>
      <c r="K2" s="560"/>
      <c r="L2" s="566" t="s">
        <v>142</v>
      </c>
      <c r="M2" s="561"/>
      <c r="N2" s="561"/>
      <c r="O2" s="561"/>
      <c r="P2" s="561"/>
      <c r="Q2" s="562"/>
    </row>
    <row r="3" spans="1:17" ht="37.5" thickTop="1" thickBot="1">
      <c r="A3" s="21" t="s">
        <v>98</v>
      </c>
      <c r="B3" s="22" t="s">
        <v>99</v>
      </c>
      <c r="C3" s="23" t="s">
        <v>100</v>
      </c>
      <c r="D3" s="22" t="s">
        <v>101</v>
      </c>
      <c r="E3" s="23" t="s">
        <v>102</v>
      </c>
      <c r="F3" s="84" t="s">
        <v>103</v>
      </c>
      <c r="G3" s="84" t="s">
        <v>104</v>
      </c>
      <c r="H3" s="24" t="s">
        <v>37</v>
      </c>
      <c r="J3" s="21" t="s">
        <v>98</v>
      </c>
      <c r="K3" s="22" t="s">
        <v>99</v>
      </c>
      <c r="L3" s="23" t="s">
        <v>100</v>
      </c>
      <c r="M3" s="22" t="s">
        <v>101</v>
      </c>
      <c r="N3" s="23" t="s">
        <v>102</v>
      </c>
      <c r="O3" s="84" t="s">
        <v>103</v>
      </c>
      <c r="P3" s="84" t="s">
        <v>104</v>
      </c>
      <c r="Q3" s="24" t="s">
        <v>37</v>
      </c>
    </row>
    <row r="4" spans="1:17" ht="14.25" thickTop="1" thickBot="1">
      <c r="A4" s="25" t="s">
        <v>72</v>
      </c>
      <c r="B4" s="66" t="s">
        <v>73</v>
      </c>
      <c r="C4" s="67"/>
      <c r="D4" s="67"/>
      <c r="E4" s="67"/>
      <c r="F4" s="67"/>
      <c r="G4" s="68"/>
      <c r="H4" s="69"/>
      <c r="J4" s="25" t="s">
        <v>72</v>
      </c>
      <c r="K4" s="66" t="s">
        <v>73</v>
      </c>
      <c r="L4" s="67"/>
      <c r="M4" s="67"/>
      <c r="N4" s="67"/>
      <c r="O4" s="67"/>
      <c r="P4" s="68"/>
      <c r="Q4" s="69"/>
    </row>
    <row r="5" spans="1:17" ht="14.25" thickTop="1" thickBot="1">
      <c r="A5" s="70" t="s">
        <v>154</v>
      </c>
      <c r="B5" s="71" t="s">
        <v>155</v>
      </c>
      <c r="C5" s="195"/>
      <c r="D5" s="195"/>
      <c r="E5" s="195"/>
      <c r="F5" s="195"/>
      <c r="G5" s="196"/>
      <c r="H5" s="197"/>
      <c r="J5" s="70" t="s">
        <v>154</v>
      </c>
      <c r="K5" s="71" t="s">
        <v>155</v>
      </c>
      <c r="L5" s="195"/>
      <c r="M5" s="195"/>
      <c r="N5" s="195"/>
      <c r="O5" s="195"/>
      <c r="P5" s="196"/>
      <c r="Q5" s="197"/>
    </row>
    <row r="6" spans="1:17" s="29" customFormat="1" ht="48.75" thickTop="1">
      <c r="A6" s="106" t="s">
        <v>74</v>
      </c>
      <c r="B6" s="291" t="s">
        <v>439</v>
      </c>
      <c r="C6" s="215">
        <v>3000000</v>
      </c>
      <c r="D6" s="216">
        <v>1.6</v>
      </c>
      <c r="E6" s="292">
        <v>1</v>
      </c>
      <c r="F6" s="293">
        <v>4</v>
      </c>
      <c r="G6" s="294">
        <v>1</v>
      </c>
      <c r="H6" s="295">
        <f>ROUND((C6*D6*E6*F6*G6),0)</f>
        <v>19200000</v>
      </c>
      <c r="I6" s="321">
        <f>+IF(OR(C6=0,D6=0),1,0)</f>
        <v>0</v>
      </c>
      <c r="J6" s="106" t="s">
        <v>74</v>
      </c>
      <c r="K6" s="291" t="s">
        <v>439</v>
      </c>
      <c r="L6" s="215">
        <v>3500000</v>
      </c>
      <c r="M6" s="216">
        <v>1.75</v>
      </c>
      <c r="N6" s="292">
        <v>1</v>
      </c>
      <c r="O6" s="293">
        <v>4</v>
      </c>
      <c r="P6" s="294">
        <v>1</v>
      </c>
      <c r="Q6" s="295">
        <f>ROUND((L6*M6*N6*O6*P6),0)</f>
        <v>24500000</v>
      </c>
    </row>
    <row r="7" spans="1:17" s="29" customFormat="1" ht="13.5" thickBot="1">
      <c r="A7" s="106" t="s">
        <v>440</v>
      </c>
      <c r="B7" s="291" t="s">
        <v>441</v>
      </c>
      <c r="C7" s="215">
        <v>3500000</v>
      </c>
      <c r="D7" s="296"/>
      <c r="E7" s="292">
        <v>1</v>
      </c>
      <c r="F7" s="293">
        <v>4</v>
      </c>
      <c r="G7" s="294">
        <v>1</v>
      </c>
      <c r="H7" s="295">
        <f>+C7*E7*F7*G7</f>
        <v>14000000</v>
      </c>
      <c r="I7" s="321">
        <f>+IF(OR(C7=0),1,0)</f>
        <v>0</v>
      </c>
      <c r="J7" s="106" t="s">
        <v>440</v>
      </c>
      <c r="K7" s="291" t="s">
        <v>441</v>
      </c>
      <c r="L7" s="215">
        <v>1500000</v>
      </c>
      <c r="M7" s="296"/>
      <c r="N7" s="292">
        <v>1</v>
      </c>
      <c r="O7" s="293">
        <v>4</v>
      </c>
      <c r="P7" s="294">
        <v>1</v>
      </c>
      <c r="Q7" s="295">
        <f>+L7*N7*O7*P7</f>
        <v>6000000</v>
      </c>
    </row>
    <row r="8" spans="1:17" s="29" customFormat="1" ht="14.25" thickTop="1" thickBot="1">
      <c r="A8" s="70" t="s">
        <v>156</v>
      </c>
      <c r="B8" s="71" t="s">
        <v>157</v>
      </c>
      <c r="C8" s="72"/>
      <c r="D8" s="72"/>
      <c r="E8" s="72"/>
      <c r="F8" s="72"/>
      <c r="G8" s="73"/>
      <c r="H8" s="74"/>
      <c r="J8" s="70" t="s">
        <v>156</v>
      </c>
      <c r="K8" s="71" t="s">
        <v>157</v>
      </c>
      <c r="L8" s="72"/>
      <c r="M8" s="72"/>
      <c r="N8" s="72"/>
      <c r="O8" s="72"/>
      <c r="P8" s="73"/>
      <c r="Q8" s="74"/>
    </row>
    <row r="9" spans="1:17" s="29" customFormat="1" ht="36.75" thickTop="1">
      <c r="A9" s="106" t="s">
        <v>158</v>
      </c>
      <c r="B9" s="291" t="s">
        <v>442</v>
      </c>
      <c r="C9" s="215">
        <v>2000000</v>
      </c>
      <c r="D9" s="216">
        <v>1.6</v>
      </c>
      <c r="E9" s="292">
        <v>1</v>
      </c>
      <c r="F9" s="293">
        <v>4</v>
      </c>
      <c r="G9" s="294">
        <v>1</v>
      </c>
      <c r="H9" s="295">
        <f>ROUND((C9*D9*E9*F9*G9),0)</f>
        <v>12800000</v>
      </c>
      <c r="I9" s="321">
        <f>+IF(OR(C9=0,D9=0),1,0)</f>
        <v>0</v>
      </c>
      <c r="J9" s="106" t="s">
        <v>158</v>
      </c>
      <c r="K9" s="291" t="s">
        <v>442</v>
      </c>
      <c r="L9" s="215">
        <v>3500000</v>
      </c>
      <c r="M9" s="216">
        <v>1.75</v>
      </c>
      <c r="N9" s="292">
        <v>1</v>
      </c>
      <c r="O9" s="293">
        <v>4</v>
      </c>
      <c r="P9" s="294">
        <v>1</v>
      </c>
      <c r="Q9" s="295">
        <f>ROUND((L9*M9*N9*O9*P9),0)</f>
        <v>24500000</v>
      </c>
    </row>
    <row r="10" spans="1:17" s="29" customFormat="1" ht="13.5" thickBot="1">
      <c r="A10" s="106" t="s">
        <v>443</v>
      </c>
      <c r="B10" s="297" t="s">
        <v>444</v>
      </c>
      <c r="C10" s="215">
        <v>3500000</v>
      </c>
      <c r="D10" s="296"/>
      <c r="E10" s="292">
        <v>1</v>
      </c>
      <c r="F10" s="293">
        <v>4</v>
      </c>
      <c r="G10" s="294">
        <v>1</v>
      </c>
      <c r="H10" s="295">
        <f>+C10*E10*F10*G10</f>
        <v>14000000</v>
      </c>
      <c r="I10" s="321">
        <f>+IF(OR(C10=0),1,0)</f>
        <v>0</v>
      </c>
      <c r="J10" s="106" t="s">
        <v>443</v>
      </c>
      <c r="K10" s="297" t="s">
        <v>444</v>
      </c>
      <c r="L10" s="215">
        <v>1500000</v>
      </c>
      <c r="M10" s="296"/>
      <c r="N10" s="292">
        <v>1</v>
      </c>
      <c r="O10" s="293">
        <v>4</v>
      </c>
      <c r="P10" s="294">
        <v>1</v>
      </c>
      <c r="Q10" s="295">
        <f>+L10*N10*O10*P10</f>
        <v>6000000</v>
      </c>
    </row>
    <row r="11" spans="1:17" s="29" customFormat="1" ht="14.25" thickTop="1" thickBot="1">
      <c r="A11" s="70" t="s">
        <v>190</v>
      </c>
      <c r="B11" s="71" t="s">
        <v>445</v>
      </c>
      <c r="C11" s="72"/>
      <c r="D11" s="72"/>
      <c r="E11" s="72"/>
      <c r="F11" s="72"/>
      <c r="G11" s="73"/>
      <c r="H11" s="74"/>
      <c r="J11" s="70" t="s">
        <v>190</v>
      </c>
      <c r="K11" s="71" t="s">
        <v>445</v>
      </c>
      <c r="L11" s="72"/>
      <c r="M11" s="72"/>
      <c r="N11" s="72"/>
      <c r="O11" s="72"/>
      <c r="P11" s="73"/>
      <c r="Q11" s="74"/>
    </row>
    <row r="12" spans="1:17" s="29" customFormat="1" ht="36.75" thickTop="1">
      <c r="A12" s="106" t="s">
        <v>192</v>
      </c>
      <c r="B12" s="291" t="s">
        <v>446</v>
      </c>
      <c r="C12" s="215">
        <v>3000000</v>
      </c>
      <c r="D12" s="216">
        <v>1.6</v>
      </c>
      <c r="E12" s="292">
        <v>1</v>
      </c>
      <c r="F12" s="293">
        <v>4</v>
      </c>
      <c r="G12" s="294">
        <v>1</v>
      </c>
      <c r="H12" s="295">
        <f>ROUND((C12*D12*E12*F12*G12),0)</f>
        <v>19200000</v>
      </c>
      <c r="I12" s="321">
        <f>+IF(OR(C12=0,D12=0),1,0)</f>
        <v>0</v>
      </c>
      <c r="J12" s="106" t="s">
        <v>192</v>
      </c>
      <c r="K12" s="291" t="s">
        <v>446</v>
      </c>
      <c r="L12" s="215">
        <v>3500000</v>
      </c>
      <c r="M12" s="216">
        <v>1.75</v>
      </c>
      <c r="N12" s="292">
        <v>1</v>
      </c>
      <c r="O12" s="293">
        <v>4</v>
      </c>
      <c r="P12" s="294">
        <v>1</v>
      </c>
      <c r="Q12" s="295">
        <f>ROUND((L12*M12*N12*O12*P12),0)</f>
        <v>24500000</v>
      </c>
    </row>
    <row r="13" spans="1:17" s="29" customFormat="1" ht="13.5" thickBot="1">
      <c r="A13" s="298" t="s">
        <v>193</v>
      </c>
      <c r="B13" s="297" t="s">
        <v>447</v>
      </c>
      <c r="C13" s="215">
        <v>3500000</v>
      </c>
      <c r="D13" s="296"/>
      <c r="E13" s="292">
        <v>1</v>
      </c>
      <c r="F13" s="293">
        <v>4</v>
      </c>
      <c r="G13" s="294">
        <v>1</v>
      </c>
      <c r="H13" s="295">
        <f>+C13*E13*F13*G13</f>
        <v>14000000</v>
      </c>
      <c r="I13" s="321">
        <f>+IF(OR(C13=0),1,0)</f>
        <v>0</v>
      </c>
      <c r="J13" s="298" t="s">
        <v>193</v>
      </c>
      <c r="K13" s="297" t="s">
        <v>447</v>
      </c>
      <c r="L13" s="215">
        <v>1500000</v>
      </c>
      <c r="M13" s="296"/>
      <c r="N13" s="292">
        <v>1</v>
      </c>
      <c r="O13" s="293">
        <v>4</v>
      </c>
      <c r="P13" s="294">
        <v>1</v>
      </c>
      <c r="Q13" s="295">
        <f>+L13*N13*O13*P13</f>
        <v>6000000</v>
      </c>
    </row>
    <row r="14" spans="1:17" s="29" customFormat="1" ht="27" thickTop="1" thickBot="1">
      <c r="A14" s="25" t="s">
        <v>77</v>
      </c>
      <c r="B14" s="66" t="s">
        <v>78</v>
      </c>
      <c r="C14" s="75"/>
      <c r="D14" s="75"/>
      <c r="E14" s="75"/>
      <c r="F14" s="80"/>
      <c r="G14" s="81"/>
      <c r="H14" s="77"/>
      <c r="J14" s="25" t="s">
        <v>77</v>
      </c>
      <c r="K14" s="66" t="s">
        <v>78</v>
      </c>
      <c r="L14" s="75"/>
      <c r="M14" s="75"/>
      <c r="N14" s="75"/>
      <c r="O14" s="80"/>
      <c r="P14" s="81"/>
      <c r="Q14" s="77"/>
    </row>
    <row r="15" spans="1:17" s="29" customFormat="1" ht="14.25" thickTop="1" thickBot="1">
      <c r="A15" s="70" t="s">
        <v>64</v>
      </c>
      <c r="B15" s="71" t="s">
        <v>79</v>
      </c>
      <c r="C15" s="72"/>
      <c r="D15" s="72"/>
      <c r="E15" s="72"/>
      <c r="F15" s="78"/>
      <c r="G15" s="79"/>
      <c r="H15" s="74"/>
      <c r="J15" s="70" t="s">
        <v>64</v>
      </c>
      <c r="K15" s="71" t="s">
        <v>79</v>
      </c>
      <c r="L15" s="72"/>
      <c r="M15" s="72"/>
      <c r="N15" s="72"/>
      <c r="O15" s="78"/>
      <c r="P15" s="79"/>
      <c r="Q15" s="74"/>
    </row>
    <row r="16" spans="1:17" s="29" customFormat="1" ht="36.75" thickTop="1">
      <c r="A16" s="106" t="s">
        <v>80</v>
      </c>
      <c r="B16" s="291" t="s">
        <v>448</v>
      </c>
      <c r="C16" s="215">
        <v>2000000</v>
      </c>
      <c r="D16" s="216">
        <v>1.6</v>
      </c>
      <c r="E16" s="292">
        <v>1</v>
      </c>
      <c r="F16" s="293">
        <v>4</v>
      </c>
      <c r="G16" s="294">
        <v>1</v>
      </c>
      <c r="H16" s="295">
        <f>ROUND((C16*D16*E16*F16*G16),0)</f>
        <v>12800000</v>
      </c>
      <c r="I16" s="321">
        <f>+IF(OR(C16=0,D16=0),1,0)</f>
        <v>0</v>
      </c>
      <c r="J16" s="106" t="s">
        <v>80</v>
      </c>
      <c r="K16" s="291" t="s">
        <v>448</v>
      </c>
      <c r="L16" s="215">
        <v>2000000</v>
      </c>
      <c r="M16" s="216">
        <v>1.75</v>
      </c>
      <c r="N16" s="292">
        <v>1</v>
      </c>
      <c r="O16" s="293">
        <v>4</v>
      </c>
      <c r="P16" s="294">
        <v>1</v>
      </c>
      <c r="Q16" s="295">
        <f>ROUND((L16*M16*N16*O16*P16),0)</f>
        <v>14000000</v>
      </c>
    </row>
    <row r="17" spans="1:17" s="29" customFormat="1" ht="54.75" customHeight="1" thickBot="1">
      <c r="A17" s="298" t="s">
        <v>449</v>
      </c>
      <c r="B17" s="297" t="s">
        <v>450</v>
      </c>
      <c r="C17" s="215">
        <v>2250000</v>
      </c>
      <c r="D17" s="296"/>
      <c r="E17" s="292">
        <v>1</v>
      </c>
      <c r="F17" s="293">
        <v>4</v>
      </c>
      <c r="G17" s="294">
        <v>1</v>
      </c>
      <c r="H17" s="295">
        <f>+C17*E17*F17*G17</f>
        <v>9000000</v>
      </c>
      <c r="I17" s="321">
        <f>+IF(OR(C17=0),1,0)</f>
        <v>0</v>
      </c>
      <c r="J17" s="298" t="s">
        <v>449</v>
      </c>
      <c r="K17" s="297" t="s">
        <v>450</v>
      </c>
      <c r="L17" s="215">
        <v>1000000</v>
      </c>
      <c r="M17" s="296"/>
      <c r="N17" s="292">
        <v>1</v>
      </c>
      <c r="O17" s="293">
        <v>4</v>
      </c>
      <c r="P17" s="294">
        <v>1</v>
      </c>
      <c r="Q17" s="295">
        <f>+L17*N17*O17*P17</f>
        <v>4000000</v>
      </c>
    </row>
    <row r="18" spans="1:17" ht="14.25" thickTop="1" thickBot="1">
      <c r="A18" s="70" t="s">
        <v>339</v>
      </c>
      <c r="B18" s="71" t="s">
        <v>451</v>
      </c>
      <c r="C18" s="72"/>
      <c r="D18" s="72"/>
      <c r="E18" s="72"/>
      <c r="F18" s="72"/>
      <c r="G18" s="73"/>
      <c r="H18" s="74"/>
      <c r="J18" s="70" t="s">
        <v>339</v>
      </c>
      <c r="K18" s="71" t="s">
        <v>451</v>
      </c>
      <c r="L18" s="72"/>
      <c r="M18" s="72"/>
      <c r="N18" s="72"/>
      <c r="O18" s="72"/>
      <c r="P18" s="73"/>
      <c r="Q18" s="74"/>
    </row>
    <row r="19" spans="1:17" ht="37.5" thickTop="1" thickBot="1">
      <c r="A19" s="299" t="s">
        <v>341</v>
      </c>
      <c r="B19" s="300" t="s">
        <v>452</v>
      </c>
      <c r="C19" s="301">
        <v>2500000</v>
      </c>
      <c r="D19" s="302"/>
      <c r="E19" s="303">
        <v>1</v>
      </c>
      <c r="F19" s="304">
        <v>1</v>
      </c>
      <c r="G19" s="305">
        <v>1</v>
      </c>
      <c r="H19" s="306">
        <f>ROUND(C19*E19*F19,0)</f>
        <v>2500000</v>
      </c>
      <c r="I19" s="321">
        <f>+IF(OR(C19=0),1,0)</f>
        <v>0</v>
      </c>
      <c r="J19" s="299" t="s">
        <v>341</v>
      </c>
      <c r="K19" s="300" t="s">
        <v>452</v>
      </c>
      <c r="L19" s="301">
        <v>5000000</v>
      </c>
      <c r="M19" s="302"/>
      <c r="N19" s="303">
        <v>1</v>
      </c>
      <c r="O19" s="304">
        <v>1</v>
      </c>
      <c r="P19" s="305">
        <v>1</v>
      </c>
      <c r="Q19" s="306">
        <f>ROUND(L19*N19*O19,0)</f>
        <v>5000000</v>
      </c>
    </row>
    <row r="20" spans="1:17" s="29" customFormat="1" ht="14.25" thickTop="1" thickBot="1">
      <c r="A20" s="25" t="s">
        <v>81</v>
      </c>
      <c r="B20" s="66" t="s">
        <v>93</v>
      </c>
      <c r="C20" s="75"/>
      <c r="D20" s="75"/>
      <c r="E20" s="75"/>
      <c r="F20" s="75"/>
      <c r="G20" s="76"/>
      <c r="H20" s="77"/>
      <c r="J20" s="25" t="s">
        <v>81</v>
      </c>
      <c r="K20" s="66" t="s">
        <v>93</v>
      </c>
      <c r="L20" s="75"/>
      <c r="M20" s="75"/>
      <c r="N20" s="75"/>
      <c r="O20" s="75"/>
      <c r="P20" s="76"/>
      <c r="Q20" s="77"/>
    </row>
    <row r="21" spans="1:17" ht="14.25" thickTop="1" thickBot="1">
      <c r="A21" s="70" t="s">
        <v>65</v>
      </c>
      <c r="B21" s="71" t="s">
        <v>161</v>
      </c>
      <c r="C21" s="72"/>
      <c r="D21" s="72"/>
      <c r="E21" s="72"/>
      <c r="F21" s="78"/>
      <c r="G21" s="79"/>
      <c r="H21" s="74"/>
      <c r="J21" s="70" t="s">
        <v>65</v>
      </c>
      <c r="K21" s="71" t="s">
        <v>161</v>
      </c>
      <c r="L21" s="72"/>
      <c r="M21" s="72"/>
      <c r="N21" s="72"/>
      <c r="O21" s="78"/>
      <c r="P21" s="79"/>
      <c r="Q21" s="74"/>
    </row>
    <row r="22" spans="1:17" s="29" customFormat="1" ht="13.5" thickTop="1">
      <c r="A22" s="198" t="s">
        <v>162</v>
      </c>
      <c r="B22" s="307" t="s">
        <v>94</v>
      </c>
      <c r="C22" s="215">
        <v>1800000</v>
      </c>
      <c r="D22" s="220">
        <v>1.65</v>
      </c>
      <c r="E22" s="308">
        <v>0.2</v>
      </c>
      <c r="F22" s="218">
        <v>4</v>
      </c>
      <c r="G22" s="219">
        <v>1</v>
      </c>
      <c r="H22" s="217">
        <f t="shared" ref="H22:H24" si="0">ROUND((C22*D22*E22*F22*G22),0)</f>
        <v>2376000</v>
      </c>
      <c r="I22" s="321">
        <f>+IF(OR(C22=0,D22=0,E22=0),1,0)</f>
        <v>0</v>
      </c>
      <c r="J22" s="198" t="s">
        <v>162</v>
      </c>
      <c r="K22" s="307" t="s">
        <v>94</v>
      </c>
      <c r="L22" s="215">
        <v>1000000</v>
      </c>
      <c r="M22" s="220">
        <v>1.75</v>
      </c>
      <c r="N22" s="308">
        <v>1</v>
      </c>
      <c r="O22" s="218">
        <v>4</v>
      </c>
      <c r="P22" s="219">
        <v>1</v>
      </c>
      <c r="Q22" s="217">
        <f t="shared" ref="Q22:Q24" si="1">ROUND((L22*M22*N22*O22*P22),0)</f>
        <v>7000000</v>
      </c>
    </row>
    <row r="23" spans="1:17">
      <c r="A23" s="198" t="s">
        <v>163</v>
      </c>
      <c r="B23" s="307" t="s">
        <v>95</v>
      </c>
      <c r="C23" s="215">
        <v>1200000</v>
      </c>
      <c r="D23" s="220">
        <v>1.65</v>
      </c>
      <c r="E23" s="308">
        <v>0.2</v>
      </c>
      <c r="F23" s="218">
        <v>4</v>
      </c>
      <c r="G23" s="219">
        <v>1</v>
      </c>
      <c r="H23" s="217">
        <f t="shared" si="0"/>
        <v>1584000</v>
      </c>
      <c r="I23" s="321">
        <f>+IF(OR(C23=0,D23=0,E23=0),1,0)</f>
        <v>0</v>
      </c>
      <c r="J23" s="198" t="s">
        <v>163</v>
      </c>
      <c r="K23" s="307" t="s">
        <v>95</v>
      </c>
      <c r="L23" s="215">
        <v>900000</v>
      </c>
      <c r="M23" s="220">
        <v>1.75</v>
      </c>
      <c r="N23" s="308">
        <v>1</v>
      </c>
      <c r="O23" s="218">
        <v>4</v>
      </c>
      <c r="P23" s="219">
        <v>1</v>
      </c>
      <c r="Q23" s="217">
        <f t="shared" si="1"/>
        <v>6300000</v>
      </c>
    </row>
    <row r="24" spans="1:17" s="29" customFormat="1" ht="13.5" thickBot="1">
      <c r="A24" s="198" t="s">
        <v>164</v>
      </c>
      <c r="B24" s="307" t="s">
        <v>96</v>
      </c>
      <c r="C24" s="215">
        <v>900000</v>
      </c>
      <c r="D24" s="220">
        <v>1.7</v>
      </c>
      <c r="E24" s="308">
        <v>0.2</v>
      </c>
      <c r="F24" s="218">
        <v>4</v>
      </c>
      <c r="G24" s="219">
        <v>1</v>
      </c>
      <c r="H24" s="217">
        <f t="shared" si="0"/>
        <v>1224000</v>
      </c>
      <c r="I24" s="321">
        <f>+IF(OR(C24=0,D24=0,E24=0),1,0)</f>
        <v>0</v>
      </c>
      <c r="J24" s="198" t="s">
        <v>164</v>
      </c>
      <c r="K24" s="307" t="s">
        <v>96</v>
      </c>
      <c r="L24" s="215">
        <v>850000</v>
      </c>
      <c r="M24" s="220">
        <v>1.75</v>
      </c>
      <c r="N24" s="308">
        <v>1</v>
      </c>
      <c r="O24" s="218">
        <v>4</v>
      </c>
      <c r="P24" s="219">
        <v>1</v>
      </c>
      <c r="Q24" s="217">
        <f t="shared" si="1"/>
        <v>5950000</v>
      </c>
    </row>
    <row r="25" spans="1:17" s="29" customFormat="1" ht="14.25" thickTop="1" thickBot="1">
      <c r="A25" s="70" t="s">
        <v>66</v>
      </c>
      <c r="B25" s="71" t="s">
        <v>165</v>
      </c>
      <c r="C25" s="72"/>
      <c r="D25" s="72"/>
      <c r="E25" s="72"/>
      <c r="F25" s="78"/>
      <c r="G25" s="79"/>
      <c r="H25" s="74"/>
      <c r="J25" s="70" t="s">
        <v>66</v>
      </c>
      <c r="K25" s="71" t="s">
        <v>165</v>
      </c>
      <c r="L25" s="72"/>
      <c r="M25" s="72"/>
      <c r="N25" s="72"/>
      <c r="O25" s="78"/>
      <c r="P25" s="79"/>
      <c r="Q25" s="74"/>
    </row>
    <row r="26" spans="1:17" s="29" customFormat="1" ht="13.5" thickTop="1">
      <c r="A26" s="198" t="s">
        <v>166</v>
      </c>
      <c r="B26" s="309" t="s">
        <v>168</v>
      </c>
      <c r="C26" s="221">
        <v>100000</v>
      </c>
      <c r="D26" s="310"/>
      <c r="E26" s="311">
        <v>1</v>
      </c>
      <c r="F26" s="312">
        <v>4</v>
      </c>
      <c r="G26" s="312">
        <v>1</v>
      </c>
      <c r="H26" s="313">
        <f>ROUND((C26*E26*F26),0)</f>
        <v>400000</v>
      </c>
      <c r="I26" s="321">
        <f>+IF(OR(C26=0,E26=0),1,0)</f>
        <v>0</v>
      </c>
      <c r="J26" s="198" t="s">
        <v>166</v>
      </c>
      <c r="K26" s="309" t="s">
        <v>168</v>
      </c>
      <c r="L26" s="221">
        <v>400000</v>
      </c>
      <c r="M26" s="310"/>
      <c r="N26" s="311">
        <v>1</v>
      </c>
      <c r="O26" s="312">
        <v>4</v>
      </c>
      <c r="P26" s="312">
        <v>1</v>
      </c>
      <c r="Q26" s="313">
        <f>ROUND((L26*N26*O26),0)</f>
        <v>1600000</v>
      </c>
    </row>
    <row r="27" spans="1:17" s="29" customFormat="1">
      <c r="A27" s="198" t="s">
        <v>167</v>
      </c>
      <c r="B27" s="309" t="s">
        <v>170</v>
      </c>
      <c r="C27" s="221">
        <v>1125000</v>
      </c>
      <c r="D27" s="310"/>
      <c r="E27" s="311">
        <v>1</v>
      </c>
      <c r="F27" s="312">
        <v>4</v>
      </c>
      <c r="G27" s="312">
        <v>1</v>
      </c>
      <c r="H27" s="313">
        <f>+C27*E27*F27*G27</f>
        <v>4500000</v>
      </c>
      <c r="I27" s="321">
        <f>+IF(OR(C27=0,E27=0),1,0)</f>
        <v>0</v>
      </c>
      <c r="J27" s="198" t="s">
        <v>167</v>
      </c>
      <c r="K27" s="309" t="s">
        <v>170</v>
      </c>
      <c r="L27" s="221">
        <v>700000</v>
      </c>
      <c r="M27" s="310"/>
      <c r="N27" s="311">
        <v>1</v>
      </c>
      <c r="O27" s="312">
        <v>4</v>
      </c>
      <c r="P27" s="312">
        <v>1</v>
      </c>
      <c r="Q27" s="313">
        <f>+L27*N27*O27*P27</f>
        <v>2800000</v>
      </c>
    </row>
    <row r="28" spans="1:17" s="29" customFormat="1" ht="24.75" thickBot="1">
      <c r="A28" s="198" t="s">
        <v>171</v>
      </c>
      <c r="B28" s="309" t="s">
        <v>173</v>
      </c>
      <c r="C28" s="221">
        <v>500000</v>
      </c>
      <c r="D28" s="310"/>
      <c r="E28" s="314"/>
      <c r="F28" s="312"/>
      <c r="G28" s="312">
        <v>4</v>
      </c>
      <c r="H28" s="313">
        <f>+C28*G28</f>
        <v>2000000</v>
      </c>
      <c r="I28" s="321">
        <f>+IF(OR(C28=0),1,0)</f>
        <v>0</v>
      </c>
      <c r="J28" s="198" t="s">
        <v>171</v>
      </c>
      <c r="K28" s="309" t="s">
        <v>173</v>
      </c>
      <c r="L28" s="221">
        <v>1000000</v>
      </c>
      <c r="M28" s="310"/>
      <c r="N28" s="314"/>
      <c r="O28" s="312"/>
      <c r="P28" s="312">
        <v>4</v>
      </c>
      <c r="Q28" s="313">
        <f>+L28*P28</f>
        <v>4000000</v>
      </c>
    </row>
    <row r="29" spans="1:17" s="29" customFormat="1" ht="14.25" thickTop="1" thickBot="1">
      <c r="A29" s="315">
        <v>5</v>
      </c>
      <c r="B29" s="66" t="s">
        <v>82</v>
      </c>
      <c r="C29" s="75"/>
      <c r="D29" s="75"/>
      <c r="E29" s="75"/>
      <c r="F29" s="75"/>
      <c r="G29" s="76"/>
      <c r="H29" s="77"/>
      <c r="J29" s="315">
        <v>5</v>
      </c>
      <c r="K29" s="66" t="s">
        <v>82</v>
      </c>
      <c r="L29" s="75"/>
      <c r="M29" s="75"/>
      <c r="N29" s="75"/>
      <c r="O29" s="75"/>
      <c r="P29" s="76"/>
      <c r="Q29" s="77"/>
    </row>
    <row r="30" spans="1:17" s="29" customFormat="1" ht="14.25" thickTop="1" thickBot="1">
      <c r="A30" s="316">
        <v>5.0999999999999996</v>
      </c>
      <c r="B30" s="317" t="s">
        <v>97</v>
      </c>
      <c r="C30" s="221">
        <v>2978314</v>
      </c>
      <c r="D30" s="318"/>
      <c r="E30" s="319"/>
      <c r="F30" s="318"/>
      <c r="G30" s="320"/>
      <c r="H30" s="222">
        <f>+C30</f>
        <v>2978314</v>
      </c>
      <c r="I30" s="321">
        <f>+IF(OR(C30=0),1,0)</f>
        <v>0</v>
      </c>
      <c r="J30" s="316">
        <v>5.0999999999999996</v>
      </c>
      <c r="K30" s="317" t="s">
        <v>97</v>
      </c>
      <c r="L30" s="221">
        <v>4200000</v>
      </c>
      <c r="M30" s="318"/>
      <c r="N30" s="319"/>
      <c r="O30" s="318"/>
      <c r="P30" s="320"/>
      <c r="Q30" s="222">
        <f>+L30</f>
        <v>4200000</v>
      </c>
    </row>
    <row r="31" spans="1:17" ht="14.25" thickTop="1" thickBot="1">
      <c r="A31" s="27"/>
      <c r="B31" s="107" t="s">
        <v>143</v>
      </c>
      <c r="C31" s="108"/>
      <c r="D31" s="108"/>
      <c r="E31" s="108"/>
      <c r="F31" s="108"/>
      <c r="G31" s="109"/>
      <c r="H31" s="28">
        <f>SUM(H6:H30)</f>
        <v>132562314</v>
      </c>
      <c r="J31" s="27"/>
      <c r="K31" s="107" t="s">
        <v>143</v>
      </c>
      <c r="L31" s="108"/>
      <c r="M31" s="108"/>
      <c r="N31" s="108"/>
      <c r="O31" s="108"/>
      <c r="P31" s="109"/>
      <c r="Q31" s="28">
        <f>SUM(Q6:Q30)</f>
        <v>146350000</v>
      </c>
    </row>
    <row r="32" spans="1:17" ht="14.25" thickTop="1" thickBot="1">
      <c r="H32" s="29"/>
      <c r="Q32" s="29"/>
    </row>
    <row r="33" spans="1:17" ht="14.25" thickTop="1" thickBot="1">
      <c r="A33" s="30"/>
      <c r="B33" s="110" t="s">
        <v>144</v>
      </c>
      <c r="C33" s="111"/>
      <c r="D33" s="111"/>
      <c r="E33" s="111"/>
      <c r="F33" s="111"/>
      <c r="G33" s="112"/>
      <c r="H33" s="113">
        <f>+'Presupuesto Consolidado'!F159</f>
        <v>663475045.52695942</v>
      </c>
      <c r="J33" s="30"/>
      <c r="K33" s="110" t="s">
        <v>144</v>
      </c>
      <c r="L33" s="111"/>
      <c r="M33" s="111"/>
      <c r="N33" s="111"/>
      <c r="O33" s="111"/>
      <c r="P33" s="112"/>
      <c r="Q33" s="113">
        <f>+'Presupuesto Consolidado'!M159</f>
        <v>642120193.44239998</v>
      </c>
    </row>
    <row r="34" spans="1:17" s="29" customFormat="1" ht="13.5" thickTop="1">
      <c r="A34" s="26"/>
      <c r="B34" s="96" t="s">
        <v>83</v>
      </c>
      <c r="C34" s="31"/>
      <c r="D34" s="32"/>
      <c r="E34" s="33"/>
      <c r="F34" s="95">
        <f>ROUND(H31/H33,4)</f>
        <v>0.19980000000000001</v>
      </c>
      <c r="G34" s="82" t="s">
        <v>145</v>
      </c>
      <c r="H34" s="114">
        <f>ROUND(H33*F34,0)</f>
        <v>132562314</v>
      </c>
      <c r="J34" s="26"/>
      <c r="K34" s="96" t="s">
        <v>83</v>
      </c>
      <c r="L34" s="31"/>
      <c r="M34" s="32"/>
      <c r="N34" s="33"/>
      <c r="O34" s="95">
        <f>ROUND(Q31/Q33,4)</f>
        <v>0.22789999999999999</v>
      </c>
      <c r="P34" s="82" t="s">
        <v>145</v>
      </c>
      <c r="Q34" s="114">
        <f>ROUND(Q33*O34,0)</f>
        <v>146339192</v>
      </c>
    </row>
    <row r="35" spans="1:17" s="29" customFormat="1">
      <c r="A35" s="106"/>
      <c r="B35" s="115" t="s">
        <v>84</v>
      </c>
      <c r="C35" s="116"/>
      <c r="D35" s="117"/>
      <c r="E35" s="118"/>
      <c r="F35" s="223">
        <v>0.01</v>
      </c>
      <c r="G35" s="119" t="s">
        <v>146</v>
      </c>
      <c r="H35" s="120">
        <f>ROUND(H33*F35,0)</f>
        <v>6634750</v>
      </c>
      <c r="I35" s="321">
        <f>+IF(OR(F35=0),1,0)</f>
        <v>0</v>
      </c>
      <c r="J35" s="106"/>
      <c r="K35" s="115" t="s">
        <v>84</v>
      </c>
      <c r="L35" s="116"/>
      <c r="M35" s="117"/>
      <c r="N35" s="118"/>
      <c r="O35" s="223">
        <v>0.01</v>
      </c>
      <c r="P35" s="119" t="s">
        <v>146</v>
      </c>
      <c r="Q35" s="120">
        <f>ROUND(Q33*O35,0)</f>
        <v>6421202</v>
      </c>
    </row>
    <row r="36" spans="1:17" s="29" customFormat="1">
      <c r="A36" s="26"/>
      <c r="B36" s="96" t="s">
        <v>85</v>
      </c>
      <c r="C36" s="31"/>
      <c r="D36" s="32"/>
      <c r="E36" s="33"/>
      <c r="F36" s="223">
        <v>0.03</v>
      </c>
      <c r="G36" s="82" t="s">
        <v>147</v>
      </c>
      <c r="H36" s="114">
        <f>ROUND(H33*F36,0)</f>
        <v>19904251</v>
      </c>
      <c r="I36" s="321">
        <f>+IF(OR(F36=0),1,0)</f>
        <v>0</v>
      </c>
      <c r="J36" s="26"/>
      <c r="K36" s="96" t="s">
        <v>85</v>
      </c>
      <c r="L36" s="31"/>
      <c r="M36" s="32"/>
      <c r="N36" s="33"/>
      <c r="O36" s="223">
        <v>0.08</v>
      </c>
      <c r="P36" s="82" t="s">
        <v>147</v>
      </c>
      <c r="Q36" s="114">
        <f>ROUND(Q33*O36,0)</f>
        <v>51369615</v>
      </c>
    </row>
    <row r="37" spans="1:17" s="29" customFormat="1">
      <c r="A37" s="106"/>
      <c r="B37" s="115" t="s">
        <v>475</v>
      </c>
      <c r="C37" s="116"/>
      <c r="D37" s="117"/>
      <c r="E37" s="118"/>
      <c r="F37" s="223">
        <v>0.19</v>
      </c>
      <c r="G37" s="119"/>
      <c r="H37" s="120">
        <f>+H36*F37</f>
        <v>3781807.69</v>
      </c>
      <c r="I37" s="321"/>
      <c r="J37" s="106"/>
      <c r="K37" s="115"/>
      <c r="L37" s="116"/>
      <c r="M37" s="117"/>
      <c r="N37" s="118"/>
      <c r="O37" s="223">
        <v>0.19</v>
      </c>
      <c r="P37" s="119"/>
      <c r="Q37" s="120">
        <f>+Q36*O37</f>
        <v>9760226.8499999996</v>
      </c>
    </row>
    <row r="38" spans="1:17" s="29" customFormat="1" ht="13.5" thickBot="1">
      <c r="A38" s="26"/>
      <c r="B38" s="361" t="s">
        <v>148</v>
      </c>
      <c r="C38" s="362"/>
      <c r="D38" s="363"/>
      <c r="E38" s="364"/>
      <c r="F38" s="364"/>
      <c r="G38" s="365"/>
      <c r="H38" s="366">
        <f>+H34+H35+H36+H37</f>
        <v>162883122.69</v>
      </c>
      <c r="I38" s="321"/>
      <c r="J38" s="26"/>
      <c r="K38" s="361" t="s">
        <v>148</v>
      </c>
      <c r="L38" s="362"/>
      <c r="M38" s="363"/>
      <c r="N38" s="364"/>
      <c r="O38" s="364"/>
      <c r="P38" s="365"/>
      <c r="Q38" s="366">
        <f>+Q34+Q35+Q36+Q37</f>
        <v>213890235.84999999</v>
      </c>
    </row>
    <row r="39" spans="1:17" ht="14.25" customHeight="1" thickTop="1" thickBot="1">
      <c r="A39" s="563" t="s">
        <v>86</v>
      </c>
      <c r="B39" s="564"/>
      <c r="C39" s="564"/>
      <c r="D39" s="564"/>
      <c r="E39" s="565"/>
      <c r="F39" s="94">
        <f>+F34+F35+F36</f>
        <v>0.23980000000000001</v>
      </c>
      <c r="G39" s="83"/>
      <c r="H39" s="324">
        <f>+H33+H34+H35+H36+H37</f>
        <v>826358168.21695948</v>
      </c>
      <c r="J39" s="563" t="s">
        <v>86</v>
      </c>
      <c r="K39" s="564"/>
      <c r="L39" s="564"/>
      <c r="M39" s="564"/>
      <c r="N39" s="565"/>
      <c r="O39" s="94">
        <f>+O34+O35+O36</f>
        <v>0.31790000000000002</v>
      </c>
      <c r="P39" s="83"/>
      <c r="Q39" s="324">
        <f>+Q33+Q34+Q35+Q36+Q37</f>
        <v>856010429.2924</v>
      </c>
    </row>
    <row r="40" spans="1:17" ht="13.5" thickTop="1"/>
    <row r="41" spans="1:17" ht="15.75">
      <c r="G41" s="322" t="s">
        <v>455</v>
      </c>
      <c r="H41" s="323" t="str">
        <f>+IF(H39&gt;'3.2.1 EXPERIENCIA GRAL'!$F$6,"NO HABILITADO","OK")</f>
        <v>OK</v>
      </c>
      <c r="P41" s="322" t="s">
        <v>455</v>
      </c>
      <c r="Q41" s="323" t="str">
        <f>+IF(Q39&gt;'3.2.1 EXPERIENCIA GRAL'!$F$6,"NO HABILITADO","OK")</f>
        <v>NO HABILITADO</v>
      </c>
    </row>
    <row r="42" spans="1:17" ht="15.75">
      <c r="G42" s="322" t="s">
        <v>456</v>
      </c>
      <c r="H42" s="323" t="str">
        <f>+IF(SUM(I6:I36)&lt;&gt;0,"NO HABILITADO","OK")</f>
        <v>OK</v>
      </c>
      <c r="P42" s="322" t="s">
        <v>456</v>
      </c>
      <c r="Q42" s="323" t="str">
        <f>+IF(SUM(R6:R36)&lt;&gt;0,"NO HABILITADO","OK")</f>
        <v>OK</v>
      </c>
    </row>
    <row r="44" spans="1:17" ht="25.5">
      <c r="A44" s="558" t="s">
        <v>435</v>
      </c>
      <c r="B44" s="558"/>
      <c r="C44" s="558"/>
      <c r="D44" s="558"/>
      <c r="E44" s="558"/>
      <c r="F44" s="558"/>
      <c r="G44" s="558"/>
      <c r="H44" s="558"/>
      <c r="J44" s="558" t="s">
        <v>435</v>
      </c>
      <c r="K44" s="558"/>
      <c r="L44" s="558"/>
      <c r="M44" s="558"/>
      <c r="N44" s="558"/>
      <c r="O44" s="558"/>
      <c r="P44" s="558"/>
      <c r="Q44" s="558"/>
    </row>
    <row r="45" spans="1:17" ht="25.5">
      <c r="A45" s="558" t="s">
        <v>438</v>
      </c>
      <c r="B45" s="558"/>
      <c r="C45" s="558"/>
      <c r="D45" s="558"/>
      <c r="E45" s="558"/>
      <c r="F45" s="558"/>
      <c r="G45" s="558"/>
      <c r="H45" s="558"/>
      <c r="J45" s="558" t="s">
        <v>438</v>
      </c>
      <c r="K45" s="558"/>
      <c r="L45" s="558"/>
      <c r="M45" s="558"/>
      <c r="N45" s="558"/>
      <c r="O45" s="558"/>
      <c r="P45" s="558"/>
      <c r="Q45" s="558"/>
    </row>
  </sheetData>
  <sheetProtection algorithmName="SHA-512" hashValue="snb6xZWiD6cWcKlIbpULdOz0f/PgfNc+p9WEtX01NThdXpMy9/zhbuzjMjashvqJY2sy282CI8c3Rx4v1UtG/w==" saltValue="+DINQzYVostYwdNeLNrZEA==" spinCount="100000" sheet="1" objects="1" scenarios="1"/>
  <mergeCells count="12">
    <mergeCell ref="K1:Q1"/>
    <mergeCell ref="B1:H1"/>
    <mergeCell ref="A44:H44"/>
    <mergeCell ref="A45:H45"/>
    <mergeCell ref="J44:Q44"/>
    <mergeCell ref="J45:Q45"/>
    <mergeCell ref="A2:B2"/>
    <mergeCell ref="C2:H2"/>
    <mergeCell ref="A39:E39"/>
    <mergeCell ref="J2:K2"/>
    <mergeCell ref="L2:Q2"/>
    <mergeCell ref="J39:N39"/>
  </mergeCells>
  <pageMargins left="0.70866141732283472" right="0.70866141732283472" top="0.74803149606299213" bottom="0.74803149606299213" header="0.31496062992125984" footer="0.31496062992125984"/>
  <pageSetup paperSize="9" scale="9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8" zoomScale="90" zoomScaleNormal="90" workbookViewId="0">
      <selection activeCell="E17" sqref="E17"/>
    </sheetView>
  </sheetViews>
  <sheetFormatPr baseColWidth="10" defaultColWidth="11.42578125" defaultRowHeight="14.25"/>
  <cols>
    <col min="1" max="1" width="11.5703125" style="10" customWidth="1"/>
    <col min="2" max="2" width="16.5703125" style="10" customWidth="1"/>
    <col min="3" max="3" width="13.42578125" style="10" customWidth="1"/>
    <col min="4" max="4" width="34.140625" style="10" customWidth="1"/>
    <col min="5" max="5" width="18.140625" style="10" customWidth="1"/>
    <col min="6" max="6" width="28.5703125" style="10" customWidth="1"/>
    <col min="7" max="7" width="24.28515625" style="10" customWidth="1"/>
    <col min="8" max="8" width="16.42578125" style="10" customWidth="1"/>
    <col min="9" max="9" width="32.140625" style="10" bestFit="1" customWidth="1"/>
    <col min="10" max="16384" width="11.42578125" style="10"/>
  </cols>
  <sheetData>
    <row r="1" spans="1:9" ht="34.5" customHeight="1">
      <c r="A1" s="422"/>
      <c r="B1" s="415" t="s">
        <v>7</v>
      </c>
      <c r="C1" s="415"/>
      <c r="D1" s="415"/>
      <c r="E1" s="415"/>
      <c r="F1" s="415"/>
      <c r="G1" s="415"/>
      <c r="H1" s="415"/>
      <c r="I1" s="416"/>
    </row>
    <row r="2" spans="1:9" ht="32.25" customHeight="1">
      <c r="A2" s="423"/>
      <c r="B2" s="417" t="str">
        <f>+ENTREGA!A2</f>
        <v>Invitación Pública N° VA-210-2018</v>
      </c>
      <c r="C2" s="417"/>
      <c r="D2" s="417"/>
      <c r="E2" s="417"/>
      <c r="F2" s="417"/>
      <c r="G2" s="417"/>
      <c r="H2" s="417"/>
      <c r="I2" s="418"/>
    </row>
    <row r="3" spans="1:9" ht="57" customHeight="1">
      <c r="A3" s="423"/>
      <c r="B3" s="419" t="str">
        <f>+ENTREGA!A3</f>
        <v>OBJETO: "Ejecución de obras eléctricas, civiles e hidrosanitarias requeridas para el cambio de alimentadores eléctricos primarios en media tensión de las subestaciones eléctricas de los bloques 5 y 8"</v>
      </c>
      <c r="C3" s="419"/>
      <c r="D3" s="419"/>
      <c r="E3" s="419"/>
      <c r="F3" s="419"/>
      <c r="G3" s="419"/>
      <c r="H3" s="419"/>
      <c r="I3" s="420"/>
    </row>
    <row r="4" spans="1:9" ht="18" customHeight="1">
      <c r="A4" s="427" t="s">
        <v>88</v>
      </c>
      <c r="B4" s="428"/>
      <c r="C4" s="428"/>
      <c r="D4" s="428"/>
      <c r="E4" s="428"/>
      <c r="F4" s="428"/>
      <c r="G4" s="428"/>
      <c r="H4" s="428"/>
      <c r="I4" s="429"/>
    </row>
    <row r="5" spans="1:9" ht="33" customHeight="1">
      <c r="A5" s="424" t="s">
        <v>476</v>
      </c>
      <c r="B5" s="425"/>
      <c r="C5" s="426"/>
      <c r="D5" s="49"/>
      <c r="E5" s="50"/>
      <c r="F5" s="50"/>
      <c r="G5" s="50"/>
      <c r="H5" s="50"/>
      <c r="I5" s="51"/>
    </row>
    <row r="6" spans="1:9" ht="45">
      <c r="A6" s="43" t="s">
        <v>47</v>
      </c>
      <c r="B6" s="43" t="s">
        <v>48</v>
      </c>
      <c r="C6" s="44" t="s">
        <v>49</v>
      </c>
      <c r="D6" s="43" t="s">
        <v>39</v>
      </c>
      <c r="E6" s="44" t="s">
        <v>50</v>
      </c>
      <c r="F6" s="44" t="s">
        <v>51</v>
      </c>
      <c r="G6" s="44" t="s">
        <v>52</v>
      </c>
      <c r="H6" s="44" t="s">
        <v>53</v>
      </c>
      <c r="I6" s="44" t="s">
        <v>18</v>
      </c>
    </row>
    <row r="7" spans="1:9" ht="42" customHeight="1">
      <c r="A7" s="39" t="str">
        <f>+ENTREGA!A7</f>
        <v>1</v>
      </c>
      <c r="B7" s="40">
        <v>2018023506</v>
      </c>
      <c r="C7" s="41">
        <v>0.37751157407407404</v>
      </c>
      <c r="D7" s="52" t="str">
        <f>IF(ENTREGA!B7="","",ENTREGA!B7)</f>
        <v>MAURO VELEZ GÓMEZ</v>
      </c>
      <c r="E7" s="52" t="s">
        <v>477</v>
      </c>
      <c r="F7" s="42" t="s">
        <v>478</v>
      </c>
      <c r="G7" s="52">
        <v>74</v>
      </c>
      <c r="H7" s="91">
        <v>826358168</v>
      </c>
      <c r="I7" s="42" t="s">
        <v>479</v>
      </c>
    </row>
    <row r="8" spans="1:9" ht="42" customHeight="1">
      <c r="A8" s="35" t="str">
        <f>+ENTREGA!A8</f>
        <v>2</v>
      </c>
      <c r="B8" s="35">
        <v>2018023507</v>
      </c>
      <c r="C8" s="36">
        <v>0.40129629629629626</v>
      </c>
      <c r="D8" s="52" t="str">
        <f>IF(ENTREGA!B8="","",ENTREGA!B8)</f>
        <v>LUIS ENRIQUE OYOLA QUINTERO</v>
      </c>
      <c r="E8" s="92" t="s">
        <v>480</v>
      </c>
      <c r="F8" s="42" t="s">
        <v>478</v>
      </c>
      <c r="G8" s="38">
        <v>121</v>
      </c>
      <c r="H8" s="93">
        <v>856021238</v>
      </c>
      <c r="I8" s="42" t="s">
        <v>479</v>
      </c>
    </row>
    <row r="9" spans="1:9" ht="42" customHeight="1">
      <c r="A9" s="35" t="str">
        <f>+ENTREGA!A9</f>
        <v>3</v>
      </c>
      <c r="B9" s="35"/>
      <c r="C9" s="36"/>
      <c r="D9" s="52" t="str">
        <f>IF(ENTREGA!B9="","",ENTREGA!B9)</f>
        <v/>
      </c>
      <c r="E9" s="38"/>
      <c r="F9" s="37"/>
      <c r="G9" s="38"/>
      <c r="H9" s="93"/>
      <c r="I9" s="42"/>
    </row>
    <row r="11" spans="1:9" ht="34.5" customHeight="1">
      <c r="A11" s="421" t="s">
        <v>532</v>
      </c>
      <c r="B11" s="421"/>
      <c r="C11" s="421"/>
      <c r="D11" s="403"/>
      <c r="E11" s="403"/>
      <c r="F11" s="403"/>
      <c r="G11" s="403"/>
      <c r="H11" s="403"/>
      <c r="I11" s="403"/>
    </row>
  </sheetData>
  <sheetProtection algorithmName="SHA-512" hashValue="y6b0roJ+DpHjZ0GTtOyFqnSEzMWXXOFoVOOmNLoJLtkNAmn8ef7+fK9C9mw7ZgM4pF1owGP7z+Tvp/iALzT3yQ==" saltValue="tT2Z+KWL5TTDkjp7XwQTUA==" spinCount="100000" sheet="1" objects="1" scenarios="1" formatCells="0" formatColumns="0" formatRows="0" insertColumns="0" insertRows="0" insertHyperlinks="0" deleteColumns="0" deleteRows="0"/>
  <mergeCells count="7">
    <mergeCell ref="B1:I1"/>
    <mergeCell ref="B2:I2"/>
    <mergeCell ref="B3:I3"/>
    <mergeCell ref="A11:I11"/>
    <mergeCell ref="A1:A3"/>
    <mergeCell ref="A5:C5"/>
    <mergeCell ref="A4:I4"/>
  </mergeCells>
  <printOptions horizontalCentered="1"/>
  <pageMargins left="0.59055118110236227" right="0.39370078740157483" top="0.59055118110236227" bottom="0.39370078740157483" header="0.31496062992125984" footer="0.31496062992125984"/>
  <pageSetup scale="6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topLeftCell="A7" zoomScale="70" zoomScaleNormal="25" zoomScaleSheetLayoutView="70" workbookViewId="0">
      <selection activeCell="K8" sqref="K8"/>
    </sheetView>
  </sheetViews>
  <sheetFormatPr baseColWidth="10" defaultColWidth="11.42578125" defaultRowHeight="14.25"/>
  <cols>
    <col min="1" max="1" width="10.5703125" style="61" customWidth="1"/>
    <col min="2" max="2" width="60.28515625" style="8" customWidth="1"/>
    <col min="3" max="4" width="66.5703125" style="8" customWidth="1"/>
    <col min="5" max="16384" width="11.42578125" style="9"/>
  </cols>
  <sheetData>
    <row r="1" spans="1:4" ht="15.75">
      <c r="A1" s="58"/>
      <c r="B1" s="7"/>
      <c r="C1" s="7"/>
      <c r="D1" s="7"/>
    </row>
    <row r="2" spans="1:4" s="56" customFormat="1" ht="15">
      <c r="A2" s="53"/>
      <c r="B2" s="54" t="s">
        <v>39</v>
      </c>
      <c r="C2" s="55" t="str">
        <f>+ENTREGA!B7</f>
        <v>MAURO VELEZ GÓMEZ</v>
      </c>
      <c r="D2" s="55" t="str">
        <f>+ENTREGA!B8</f>
        <v>LUIS ENRIQUE OYOLA QUINTERO</v>
      </c>
    </row>
    <row r="3" spans="1:4" s="56" customFormat="1" ht="20.25" customHeight="1">
      <c r="A3" s="53"/>
      <c r="B3" s="54" t="s">
        <v>60</v>
      </c>
      <c r="C3" s="55" t="str">
        <f>+'APERTURA DE SOBRES'!E7</f>
        <v>71,338,676</v>
      </c>
      <c r="D3" s="57" t="str">
        <f>+'APERTURA DE SOBRES'!E8</f>
        <v>73,077,245</v>
      </c>
    </row>
    <row r="4" spans="1:4" ht="34.5" customHeight="1">
      <c r="A4" s="59"/>
      <c r="B4" s="12" t="s">
        <v>61</v>
      </c>
      <c r="C4" s="13"/>
      <c r="D4" s="13"/>
    </row>
    <row r="5" spans="1:4" ht="33" customHeight="1">
      <c r="A5" s="60" t="s">
        <v>17</v>
      </c>
      <c r="B5" s="14" t="s">
        <v>41</v>
      </c>
      <c r="C5" s="15"/>
      <c r="D5" s="15"/>
    </row>
    <row r="6" spans="1:4" ht="51">
      <c r="A6" s="398">
        <v>1</v>
      </c>
      <c r="B6" s="369" t="s">
        <v>128</v>
      </c>
      <c r="C6" s="370" t="s">
        <v>499</v>
      </c>
      <c r="D6" s="371" t="s">
        <v>500</v>
      </c>
    </row>
    <row r="7" spans="1:4" ht="153">
      <c r="A7" s="398">
        <v>2</v>
      </c>
      <c r="B7" s="372" t="s">
        <v>129</v>
      </c>
      <c r="C7" s="373" t="s">
        <v>501</v>
      </c>
      <c r="D7" s="373" t="s">
        <v>502</v>
      </c>
    </row>
    <row r="8" spans="1:4" ht="76.5">
      <c r="A8" s="398">
        <v>3</v>
      </c>
      <c r="B8" s="369" t="s">
        <v>130</v>
      </c>
      <c r="C8" s="374" t="s">
        <v>503</v>
      </c>
      <c r="D8" s="375" t="s">
        <v>504</v>
      </c>
    </row>
    <row r="9" spans="1:4" ht="38.25">
      <c r="A9" s="398">
        <v>4</v>
      </c>
      <c r="B9" s="369" t="s">
        <v>42</v>
      </c>
      <c r="C9" s="374" t="s">
        <v>505</v>
      </c>
      <c r="D9" s="375" t="s">
        <v>506</v>
      </c>
    </row>
    <row r="10" spans="1:4" ht="38.25">
      <c r="A10" s="398">
        <v>5</v>
      </c>
      <c r="B10" s="369" t="s">
        <v>19</v>
      </c>
      <c r="C10" s="376" t="s">
        <v>507</v>
      </c>
      <c r="D10" s="375" t="s">
        <v>508</v>
      </c>
    </row>
    <row r="11" spans="1:4" ht="25.5">
      <c r="A11" s="398">
        <v>6</v>
      </c>
      <c r="B11" s="372" t="s">
        <v>20</v>
      </c>
      <c r="C11" s="376" t="s">
        <v>509</v>
      </c>
      <c r="D11" s="375" t="s">
        <v>510</v>
      </c>
    </row>
    <row r="12" spans="1:4" ht="38.25">
      <c r="A12" s="398">
        <v>7</v>
      </c>
      <c r="B12" s="372" t="s">
        <v>511</v>
      </c>
      <c r="C12" s="376" t="s">
        <v>512</v>
      </c>
      <c r="D12" s="376" t="s">
        <v>513</v>
      </c>
    </row>
    <row r="13" spans="1:4" ht="51">
      <c r="A13" s="398">
        <v>8</v>
      </c>
      <c r="B13" s="372" t="s">
        <v>514</v>
      </c>
      <c r="C13" s="377" t="s">
        <v>515</v>
      </c>
      <c r="D13" s="377" t="s">
        <v>516</v>
      </c>
    </row>
    <row r="14" spans="1:4" ht="127.5">
      <c r="A14" s="398">
        <v>9</v>
      </c>
      <c r="B14" s="372" t="s">
        <v>517</v>
      </c>
      <c r="C14" s="370" t="s">
        <v>518</v>
      </c>
      <c r="D14" s="370" t="s">
        <v>519</v>
      </c>
    </row>
    <row r="15" spans="1:4">
      <c r="A15" s="398">
        <v>10</v>
      </c>
      <c r="B15" s="372" t="s">
        <v>109</v>
      </c>
      <c r="C15" s="370" t="s">
        <v>520</v>
      </c>
      <c r="D15" s="370" t="s">
        <v>521</v>
      </c>
    </row>
    <row r="16" spans="1:4">
      <c r="A16" s="398">
        <v>11</v>
      </c>
      <c r="B16" s="372" t="s">
        <v>54</v>
      </c>
      <c r="C16" s="370" t="s">
        <v>522</v>
      </c>
      <c r="D16" s="371" t="s">
        <v>523</v>
      </c>
    </row>
    <row r="17" spans="1:4" ht="97.5" customHeight="1">
      <c r="A17" s="398">
        <v>12</v>
      </c>
      <c r="B17" s="372" t="s">
        <v>110</v>
      </c>
      <c r="C17" s="370" t="s">
        <v>524</v>
      </c>
      <c r="D17" s="378" t="s">
        <v>525</v>
      </c>
    </row>
    <row r="18" spans="1:4">
      <c r="A18" s="398">
        <v>13</v>
      </c>
      <c r="B18" s="372" t="s">
        <v>56</v>
      </c>
      <c r="C18" s="379" t="s">
        <v>526</v>
      </c>
      <c r="D18" s="379" t="s">
        <v>527</v>
      </c>
    </row>
    <row r="19" spans="1:4">
      <c r="A19" s="398">
        <v>14</v>
      </c>
      <c r="B19" s="372" t="s">
        <v>59</v>
      </c>
      <c r="C19" s="370" t="s">
        <v>528</v>
      </c>
      <c r="D19" s="370" t="s">
        <v>529</v>
      </c>
    </row>
    <row r="20" spans="1:4">
      <c r="A20" s="399"/>
      <c r="B20" s="380"/>
      <c r="C20" s="380"/>
      <c r="D20" s="381"/>
    </row>
    <row r="21" spans="1:4" s="65" customFormat="1" ht="15.75">
      <c r="A21" s="400" t="s">
        <v>17</v>
      </c>
      <c r="B21" s="382" t="s">
        <v>43</v>
      </c>
      <c r="C21" s="383"/>
      <c r="D21" s="122"/>
    </row>
    <row r="22" spans="1:4" ht="63.75">
      <c r="A22" s="401">
        <v>1</v>
      </c>
      <c r="B22" s="384" t="s">
        <v>131</v>
      </c>
      <c r="C22" s="385"/>
      <c r="D22" s="386"/>
    </row>
    <row r="23" spans="1:4" ht="38.25">
      <c r="A23" s="401">
        <v>2</v>
      </c>
      <c r="B23" s="387" t="s">
        <v>132</v>
      </c>
      <c r="C23" s="385"/>
      <c r="D23" s="386"/>
    </row>
    <row r="24" spans="1:4" ht="63.75">
      <c r="A24" s="401">
        <v>3</v>
      </c>
      <c r="B24" s="387" t="s">
        <v>133</v>
      </c>
      <c r="C24" s="383"/>
      <c r="D24" s="386"/>
    </row>
    <row r="25" spans="1:4" ht="51">
      <c r="A25" s="401">
        <v>4</v>
      </c>
      <c r="B25" s="388" t="s">
        <v>134</v>
      </c>
      <c r="C25" s="389"/>
      <c r="D25" s="386"/>
    </row>
    <row r="26" spans="1:4" ht="51">
      <c r="A26" s="401">
        <v>5</v>
      </c>
      <c r="B26" s="388" t="s">
        <v>135</v>
      </c>
      <c r="C26" s="385"/>
      <c r="D26" s="386"/>
    </row>
    <row r="27" spans="1:4" ht="51">
      <c r="A27" s="401">
        <v>6</v>
      </c>
      <c r="B27" s="388" t="s">
        <v>111</v>
      </c>
      <c r="C27" s="385"/>
      <c r="D27" s="390"/>
    </row>
    <row r="28" spans="1:4" ht="102">
      <c r="A28" s="401">
        <v>7</v>
      </c>
      <c r="B28" s="388" t="s">
        <v>136</v>
      </c>
      <c r="C28" s="385"/>
      <c r="D28" s="391"/>
    </row>
    <row r="29" spans="1:4" ht="187.5" customHeight="1">
      <c r="A29" s="401">
        <v>8</v>
      </c>
      <c r="B29" s="388" t="s">
        <v>137</v>
      </c>
      <c r="C29" s="385"/>
      <c r="D29" s="392"/>
    </row>
    <row r="30" spans="1:4" ht="116.25" customHeight="1">
      <c r="A30" s="402">
        <v>9</v>
      </c>
      <c r="B30" s="388" t="s">
        <v>109</v>
      </c>
      <c r="C30" s="393"/>
      <c r="D30" s="394"/>
    </row>
    <row r="31" spans="1:4">
      <c r="A31" s="402">
        <v>10</v>
      </c>
      <c r="B31" s="388" t="s">
        <v>54</v>
      </c>
      <c r="C31" s="393"/>
      <c r="D31" s="395"/>
    </row>
    <row r="32" spans="1:4">
      <c r="A32" s="402">
        <v>11</v>
      </c>
      <c r="B32" s="388" t="s">
        <v>55</v>
      </c>
      <c r="C32" s="393"/>
      <c r="D32" s="395"/>
    </row>
    <row r="33" spans="1:4">
      <c r="A33" s="402">
        <v>12</v>
      </c>
      <c r="B33" s="388" t="s">
        <v>56</v>
      </c>
      <c r="C33" s="393"/>
      <c r="D33" s="396"/>
    </row>
    <row r="34" spans="1:4">
      <c r="A34" s="402">
        <v>13</v>
      </c>
      <c r="B34" s="388" t="s">
        <v>59</v>
      </c>
      <c r="C34" s="385"/>
      <c r="D34" s="397"/>
    </row>
    <row r="35" spans="1:4">
      <c r="D35" s="123"/>
    </row>
  </sheetData>
  <sheetProtection algorithmName="SHA-512" hashValue="Pk2RX4dstAH1n/X1pYoiH+7aLC6LdoyDMg0ef8e664ca8aBuUw1y8De1bAKoz6LRJU21MLAyaDxhOsSkCyZDMg==" saltValue="h0v4t/DA70TfufeZ1FQNwg==" spinCount="100000" sheet="1" objects="1" scenarios="1"/>
  <printOptions horizontalCentered="1"/>
  <pageMargins left="0.39370078740157483" right="0.19685039370078741" top="0.39370078740157483" bottom="0.39370078740157483" header="0.31496062992125984" footer="0.31496062992125984"/>
  <pageSetup scale="56" orientation="portrait" horizontalDpi="300" verticalDpi="300"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22" zoomScale="70" zoomScaleNormal="70" zoomScaleSheetLayoutView="25" workbookViewId="0">
      <selection activeCell="G33" sqref="G33"/>
    </sheetView>
  </sheetViews>
  <sheetFormatPr baseColWidth="10" defaultColWidth="11.42578125" defaultRowHeight="15"/>
  <cols>
    <col min="1" max="1" width="20.28515625" style="182" customWidth="1"/>
    <col min="2" max="2" width="6.85546875" style="182" bestFit="1" customWidth="1"/>
    <col min="3" max="4" width="27.85546875" style="155" customWidth="1"/>
    <col min="5" max="5" width="22.5703125" style="183" customWidth="1"/>
    <col min="6" max="6" width="35.7109375" style="184" customWidth="1"/>
    <col min="7" max="7" width="16.7109375" style="184" customWidth="1"/>
    <col min="8" max="9" width="16.7109375" style="155" customWidth="1"/>
    <col min="10" max="10" width="18.42578125" style="155" bestFit="1" customWidth="1"/>
    <col min="11" max="11" width="32.42578125" style="155" customWidth="1"/>
    <col min="12" max="12" width="16.28515625" style="155" bestFit="1" customWidth="1"/>
    <col min="13" max="13" width="27.28515625" style="155" bestFit="1" customWidth="1"/>
    <col min="14" max="16384" width="11.42578125" style="155"/>
  </cols>
  <sheetData>
    <row r="1" spans="1:15" ht="29.25" customHeight="1">
      <c r="A1" s="432" t="s">
        <v>469</v>
      </c>
      <c r="B1" s="432"/>
      <c r="C1" s="432"/>
      <c r="D1" s="432"/>
      <c r="E1" s="432"/>
      <c r="F1" s="432"/>
      <c r="G1" s="432"/>
      <c r="H1" s="432"/>
      <c r="I1" s="432"/>
      <c r="J1" s="432"/>
      <c r="K1" s="432"/>
    </row>
    <row r="2" spans="1:15" s="159" customFormat="1" ht="12.75" customHeight="1">
      <c r="A2" s="163"/>
      <c r="B2" s="163"/>
      <c r="C2" s="164"/>
      <c r="D2" s="164"/>
      <c r="E2" s="164"/>
      <c r="F2" s="164"/>
      <c r="G2" s="164"/>
      <c r="H2" s="164"/>
      <c r="I2" s="155"/>
      <c r="J2" s="155"/>
      <c r="K2" s="155"/>
      <c r="L2" s="155"/>
      <c r="M2" s="155"/>
      <c r="N2" s="155"/>
    </row>
    <row r="3" spans="1:15" s="159" customFormat="1" ht="63" customHeight="1">
      <c r="A3" s="433" t="s">
        <v>468</v>
      </c>
      <c r="B3" s="433"/>
      <c r="C3" s="433"/>
      <c r="D3" s="433"/>
      <c r="E3" s="433"/>
      <c r="F3" s="433"/>
      <c r="G3" s="433"/>
      <c r="H3" s="433"/>
      <c r="I3" s="433"/>
      <c r="J3" s="433"/>
      <c r="K3" s="433"/>
      <c r="L3" s="155"/>
      <c r="M3" s="155"/>
      <c r="N3" s="155"/>
    </row>
    <row r="4" spans="1:15" s="159" customFormat="1" ht="12.75" customHeight="1">
      <c r="A4" s="436"/>
      <c r="B4" s="436"/>
      <c r="C4" s="436"/>
      <c r="D4" s="436"/>
      <c r="E4" s="436"/>
      <c r="F4" s="436"/>
      <c r="G4" s="436"/>
      <c r="H4" s="436"/>
      <c r="I4" s="436"/>
      <c r="J4" s="155"/>
      <c r="K4" s="155"/>
      <c r="L4" s="155"/>
      <c r="M4" s="155"/>
      <c r="N4" s="155"/>
      <c r="O4" s="155"/>
    </row>
    <row r="5" spans="1:15" s="159" customFormat="1" ht="31.5">
      <c r="A5" s="441" t="s">
        <v>466</v>
      </c>
      <c r="B5" s="442"/>
      <c r="C5" s="355" t="s">
        <v>467</v>
      </c>
      <c r="E5" s="437" t="s">
        <v>44</v>
      </c>
      <c r="F5" s="165" t="s">
        <v>0</v>
      </c>
      <c r="G5" s="438" t="s">
        <v>1</v>
      </c>
      <c r="H5" s="438"/>
      <c r="J5" s="155"/>
      <c r="K5" s="155"/>
      <c r="L5" s="155"/>
      <c r="M5" s="155"/>
      <c r="N5" s="155"/>
    </row>
    <row r="6" spans="1:15" s="159" customFormat="1" ht="48" customHeight="1">
      <c r="A6" s="443">
        <v>781242</v>
      </c>
      <c r="B6" s="444"/>
      <c r="C6" s="356">
        <v>3</v>
      </c>
      <c r="E6" s="437"/>
      <c r="F6" s="357">
        <v>836143257</v>
      </c>
      <c r="G6" s="440">
        <f>+ROUND(F6/$A$6,0)</f>
        <v>1070</v>
      </c>
      <c r="H6" s="440"/>
      <c r="I6" s="166"/>
      <c r="J6" s="155"/>
      <c r="K6" s="155"/>
      <c r="L6" s="155"/>
      <c r="M6" s="155"/>
      <c r="N6" s="155"/>
    </row>
    <row r="7" spans="1:15" s="159" customFormat="1" ht="12.75" customHeight="1">
      <c r="A7" s="167"/>
      <c r="B7" s="167"/>
      <c r="C7" s="168"/>
      <c r="D7" s="169"/>
      <c r="E7" s="170"/>
      <c r="F7" s="155"/>
      <c r="G7" s="155"/>
      <c r="H7" s="155"/>
      <c r="I7" s="171"/>
      <c r="J7" s="155"/>
      <c r="K7" s="155"/>
      <c r="L7" s="155"/>
      <c r="M7" s="155"/>
      <c r="N7" s="155"/>
    </row>
    <row r="8" spans="1:15" s="159" customFormat="1" ht="18.75">
      <c r="A8" s="439" t="s">
        <v>21</v>
      </c>
      <c r="B8" s="439"/>
      <c r="C8" s="431" t="s">
        <v>45</v>
      </c>
      <c r="D8" s="431"/>
      <c r="E8" s="431"/>
      <c r="F8" s="431"/>
      <c r="G8" s="431"/>
      <c r="H8" s="431"/>
      <c r="I8" s="431"/>
      <c r="J8" s="431"/>
      <c r="K8" s="431"/>
      <c r="L8" s="155"/>
      <c r="M8" s="155"/>
      <c r="N8" s="155"/>
    </row>
    <row r="9" spans="1:15" s="159" customFormat="1" ht="70.5" customHeight="1">
      <c r="A9" s="439"/>
      <c r="B9" s="439"/>
      <c r="C9" s="172" t="s">
        <v>22</v>
      </c>
      <c r="D9" s="172" t="s">
        <v>23</v>
      </c>
      <c r="E9" s="172" t="s">
        <v>24</v>
      </c>
      <c r="F9" s="172" t="s">
        <v>25</v>
      </c>
      <c r="G9" s="172" t="s">
        <v>26</v>
      </c>
      <c r="H9" s="172" t="s">
        <v>27</v>
      </c>
      <c r="I9" s="172" t="s">
        <v>28</v>
      </c>
      <c r="J9" s="172" t="s">
        <v>149</v>
      </c>
      <c r="K9" s="351" t="s">
        <v>18</v>
      </c>
      <c r="L9" s="155"/>
      <c r="M9" s="155"/>
      <c r="N9" s="155"/>
    </row>
    <row r="10" spans="1:15" s="178" customFormat="1" ht="36" customHeight="1">
      <c r="A10" s="435" t="str">
        <f>ENTREGA!B7</f>
        <v>MAURO VELEZ GÓMEZ</v>
      </c>
      <c r="B10" s="173">
        <v>1</v>
      </c>
      <c r="C10" s="174">
        <v>1</v>
      </c>
      <c r="D10" s="174">
        <v>11</v>
      </c>
      <c r="E10" s="174" t="s">
        <v>493</v>
      </c>
      <c r="F10" s="174" t="s">
        <v>494</v>
      </c>
      <c r="G10" s="175">
        <v>13355.29</v>
      </c>
      <c r="H10" s="174" t="s">
        <v>488</v>
      </c>
      <c r="I10" s="176">
        <v>0.9</v>
      </c>
      <c r="J10" s="177" t="s">
        <v>495</v>
      </c>
      <c r="K10" s="367"/>
    </row>
    <row r="11" spans="1:15" s="178" customFormat="1" ht="36" customHeight="1">
      <c r="A11" s="435"/>
      <c r="B11" s="173">
        <v>2</v>
      </c>
      <c r="C11" s="174">
        <v>33</v>
      </c>
      <c r="D11" s="174">
        <v>58</v>
      </c>
      <c r="E11" s="174">
        <v>4600001526</v>
      </c>
      <c r="F11" s="174" t="s">
        <v>496</v>
      </c>
      <c r="G11" s="175"/>
      <c r="H11" s="174" t="s">
        <v>119</v>
      </c>
      <c r="I11" s="176">
        <v>1</v>
      </c>
      <c r="J11" s="177" t="s">
        <v>497</v>
      </c>
      <c r="K11" s="368" t="s">
        <v>498</v>
      </c>
    </row>
    <row r="12" spans="1:15" s="178" customFormat="1" ht="36" customHeight="1">
      <c r="A12" s="435"/>
      <c r="B12" s="173">
        <v>3</v>
      </c>
      <c r="C12" s="174"/>
      <c r="D12" s="174"/>
      <c r="E12" s="174"/>
      <c r="F12" s="174"/>
      <c r="G12" s="175"/>
      <c r="H12" s="174"/>
      <c r="I12" s="176"/>
      <c r="J12" s="177"/>
      <c r="K12" s="367"/>
    </row>
    <row r="13" spans="1:15" s="178" customFormat="1" ht="36" customHeight="1">
      <c r="A13" s="435"/>
      <c r="B13" s="173">
        <v>4</v>
      </c>
      <c r="C13" s="174"/>
      <c r="D13" s="174"/>
      <c r="E13" s="174"/>
      <c r="F13" s="174"/>
      <c r="G13" s="175"/>
      <c r="H13" s="174"/>
      <c r="I13" s="176"/>
      <c r="J13" s="177"/>
      <c r="K13" s="367"/>
    </row>
    <row r="14" spans="1:15" s="178" customFormat="1" ht="36" customHeight="1">
      <c r="A14" s="435"/>
      <c r="B14" s="173">
        <v>5</v>
      </c>
      <c r="C14" s="174"/>
      <c r="D14" s="174"/>
      <c r="E14" s="174"/>
      <c r="F14" s="174"/>
      <c r="G14" s="175"/>
      <c r="H14" s="174"/>
      <c r="I14" s="176"/>
      <c r="J14" s="177"/>
      <c r="K14" s="367"/>
    </row>
    <row r="15" spans="1:15" s="178" customFormat="1" ht="15.75" customHeight="1">
      <c r="A15" s="435"/>
      <c r="B15" s="179"/>
      <c r="C15" s="434" t="s">
        <v>29</v>
      </c>
      <c r="D15" s="434"/>
      <c r="E15" s="434"/>
      <c r="F15" s="434"/>
      <c r="G15" s="180">
        <f>+SUM(G10*I10,G11*I11,G12*I12,G13*I13,G14*I14)</f>
        <v>12019.761</v>
      </c>
      <c r="H15" s="430" t="str">
        <f>+IF(G16&gt;$C$6,"CUMPLE","NO CUMPLE")</f>
        <v>CUMPLE</v>
      </c>
      <c r="I15" s="430"/>
      <c r="J15" s="430"/>
      <c r="K15" s="430"/>
    </row>
    <row r="16" spans="1:15" s="178" customFormat="1" ht="15.75" customHeight="1">
      <c r="A16" s="435"/>
      <c r="B16" s="179"/>
      <c r="C16" s="434" t="s">
        <v>31</v>
      </c>
      <c r="D16" s="434"/>
      <c r="E16" s="434"/>
      <c r="F16" s="434"/>
      <c r="G16" s="181">
        <f>+G15/$G$6</f>
        <v>11.233421495327104</v>
      </c>
      <c r="H16" s="430"/>
      <c r="I16" s="430"/>
      <c r="J16" s="430"/>
      <c r="K16" s="430"/>
    </row>
    <row r="17" spans="1:14" ht="15.75">
      <c r="A17" s="167"/>
      <c r="B17" s="167"/>
      <c r="C17" s="167"/>
      <c r="D17" s="167"/>
      <c r="E17" s="167"/>
      <c r="F17" s="167"/>
      <c r="G17" s="167"/>
      <c r="H17" s="167"/>
      <c r="I17" s="167"/>
    </row>
    <row r="18" spans="1:14" s="159" customFormat="1" ht="18.75">
      <c r="A18" s="439" t="s">
        <v>21</v>
      </c>
      <c r="B18" s="439"/>
      <c r="C18" s="431" t="s">
        <v>45</v>
      </c>
      <c r="D18" s="431"/>
      <c r="E18" s="431"/>
      <c r="F18" s="431"/>
      <c r="G18" s="431"/>
      <c r="H18" s="431"/>
      <c r="I18" s="431"/>
      <c r="J18" s="431"/>
      <c r="K18" s="431"/>
      <c r="L18" s="155"/>
      <c r="M18" s="155"/>
      <c r="N18" s="155"/>
    </row>
    <row r="19" spans="1:14" s="159" customFormat="1" ht="70.5" customHeight="1">
      <c r="A19" s="439"/>
      <c r="B19" s="439"/>
      <c r="C19" s="172" t="s">
        <v>22</v>
      </c>
      <c r="D19" s="172" t="s">
        <v>23</v>
      </c>
      <c r="E19" s="172" t="s">
        <v>24</v>
      </c>
      <c r="F19" s="172" t="s">
        <v>25</v>
      </c>
      <c r="G19" s="172" t="s">
        <v>26</v>
      </c>
      <c r="H19" s="172" t="s">
        <v>27</v>
      </c>
      <c r="I19" s="172" t="s">
        <v>28</v>
      </c>
      <c r="J19" s="172" t="s">
        <v>149</v>
      </c>
      <c r="K19" s="351" t="s">
        <v>18</v>
      </c>
      <c r="L19" s="155"/>
      <c r="M19" s="155"/>
      <c r="N19" s="155"/>
    </row>
    <row r="20" spans="1:14" s="178" customFormat="1" ht="36" customHeight="1">
      <c r="A20" s="435" t="str">
        <f>ENTREGA!B8</f>
        <v>LUIS ENRIQUE OYOLA QUINTERO</v>
      </c>
      <c r="B20" s="202">
        <v>1</v>
      </c>
      <c r="C20" s="174">
        <v>4</v>
      </c>
      <c r="D20" s="174">
        <v>11</v>
      </c>
      <c r="E20" s="174" t="s">
        <v>481</v>
      </c>
      <c r="F20" s="174" t="s">
        <v>482</v>
      </c>
      <c r="G20" s="175">
        <v>483.84</v>
      </c>
      <c r="H20" s="174" t="s">
        <v>119</v>
      </c>
      <c r="I20" s="176">
        <v>1</v>
      </c>
      <c r="J20" s="177" t="s">
        <v>483</v>
      </c>
      <c r="K20" s="367"/>
    </row>
    <row r="21" spans="1:14" s="178" customFormat="1" ht="36" customHeight="1">
      <c r="A21" s="435"/>
      <c r="B21" s="202">
        <v>2</v>
      </c>
      <c r="C21" s="174">
        <v>5</v>
      </c>
      <c r="D21" s="174">
        <v>13</v>
      </c>
      <c r="E21" s="174" t="s">
        <v>484</v>
      </c>
      <c r="F21" s="174" t="s">
        <v>485</v>
      </c>
      <c r="G21" s="175">
        <v>917.86</v>
      </c>
      <c r="H21" s="174" t="s">
        <v>119</v>
      </c>
      <c r="I21" s="176">
        <v>1</v>
      </c>
      <c r="J21" s="177" t="s">
        <v>483</v>
      </c>
      <c r="K21" s="367"/>
    </row>
    <row r="22" spans="1:14" s="178" customFormat="1" ht="36" customHeight="1">
      <c r="A22" s="435"/>
      <c r="B22" s="202">
        <v>3</v>
      </c>
      <c r="C22" s="174">
        <v>28</v>
      </c>
      <c r="D22" s="174">
        <v>35</v>
      </c>
      <c r="E22" s="174" t="s">
        <v>486</v>
      </c>
      <c r="F22" s="174" t="s">
        <v>487</v>
      </c>
      <c r="G22" s="175">
        <v>10932.17</v>
      </c>
      <c r="H22" s="174" t="s">
        <v>488</v>
      </c>
      <c r="I22" s="176">
        <v>0.1</v>
      </c>
      <c r="J22" s="177" t="s">
        <v>483</v>
      </c>
      <c r="K22" s="367"/>
    </row>
    <row r="23" spans="1:14" s="178" customFormat="1" ht="36" customHeight="1">
      <c r="A23" s="435"/>
      <c r="B23" s="202">
        <v>4</v>
      </c>
      <c r="C23" s="174">
        <v>29</v>
      </c>
      <c r="D23" s="174">
        <v>36</v>
      </c>
      <c r="E23" s="174" t="s">
        <v>489</v>
      </c>
      <c r="F23" s="174" t="s">
        <v>490</v>
      </c>
      <c r="G23" s="175">
        <v>786.37</v>
      </c>
      <c r="H23" s="174" t="s">
        <v>119</v>
      </c>
      <c r="I23" s="176">
        <v>1</v>
      </c>
      <c r="J23" s="177" t="s">
        <v>483</v>
      </c>
      <c r="K23" s="367"/>
    </row>
    <row r="24" spans="1:14" s="178" customFormat="1" ht="36" customHeight="1">
      <c r="A24" s="435"/>
      <c r="B24" s="202">
        <v>5</v>
      </c>
      <c r="C24" s="174">
        <v>31</v>
      </c>
      <c r="D24" s="174">
        <v>39</v>
      </c>
      <c r="E24" s="174" t="s">
        <v>491</v>
      </c>
      <c r="F24" s="174" t="s">
        <v>492</v>
      </c>
      <c r="G24" s="175">
        <v>696.94</v>
      </c>
      <c r="H24" s="174" t="s">
        <v>488</v>
      </c>
      <c r="I24" s="176">
        <v>0.5</v>
      </c>
      <c r="J24" s="177" t="s">
        <v>483</v>
      </c>
      <c r="K24" s="367"/>
    </row>
    <row r="25" spans="1:14" s="178" customFormat="1" ht="15.75" customHeight="1">
      <c r="A25" s="435"/>
      <c r="B25" s="179"/>
      <c r="C25" s="434" t="s">
        <v>29</v>
      </c>
      <c r="D25" s="434"/>
      <c r="E25" s="434"/>
      <c r="F25" s="434"/>
      <c r="G25" s="203">
        <f>+SUM(G20*I20,G21*I21,G22*I22,G23*I23,G24*I24)</f>
        <v>3629.7570000000005</v>
      </c>
      <c r="H25" s="430" t="str">
        <f>+IF(G26&gt;$C$6,"CUMPLE","NO CUMPLE")</f>
        <v>CUMPLE</v>
      </c>
      <c r="I25" s="430"/>
      <c r="J25" s="430"/>
      <c r="K25" s="430"/>
    </row>
    <row r="26" spans="1:14" s="178" customFormat="1" ht="15.75" customHeight="1">
      <c r="A26" s="435"/>
      <c r="B26" s="179"/>
      <c r="C26" s="434" t="s">
        <v>31</v>
      </c>
      <c r="D26" s="434"/>
      <c r="E26" s="434"/>
      <c r="F26" s="434"/>
      <c r="G26" s="181">
        <f>+G25/$G$6</f>
        <v>3.3922962616822434</v>
      </c>
      <c r="H26" s="430"/>
      <c r="I26" s="430"/>
      <c r="J26" s="430"/>
      <c r="K26" s="430"/>
    </row>
    <row r="27" spans="1:14" ht="15.75">
      <c r="A27" s="167"/>
      <c r="B27" s="167"/>
      <c r="C27" s="167"/>
      <c r="D27" s="167"/>
      <c r="E27" s="167"/>
      <c r="F27" s="167"/>
      <c r="G27" s="167"/>
      <c r="H27" s="167"/>
      <c r="I27" s="167"/>
    </row>
  </sheetData>
  <sheetProtection algorithmName="SHA-512" hashValue="kEihmqWBnWOvMPEJmpmHcqNIEO3FF+lhCf2wkbjJkginVms9zxuVCKhtlscAcc/QvaaXE80igdAFLbqb0kK7mw==" saltValue="V2GPWKQr5ozcGPibgE8qJQ==" spinCount="100000" sheet="1" objects="1" scenarios="1"/>
  <mergeCells count="20">
    <mergeCell ref="A18:B19"/>
    <mergeCell ref="C25:F25"/>
    <mergeCell ref="A20:A26"/>
    <mergeCell ref="C26:F26"/>
    <mergeCell ref="A1:K1"/>
    <mergeCell ref="A3:K3"/>
    <mergeCell ref="C15:F15"/>
    <mergeCell ref="A10:A16"/>
    <mergeCell ref="A4:I4"/>
    <mergeCell ref="E5:E6"/>
    <mergeCell ref="C16:F16"/>
    <mergeCell ref="G5:H5"/>
    <mergeCell ref="A8:B9"/>
    <mergeCell ref="G6:H6"/>
    <mergeCell ref="A5:B5"/>
    <mergeCell ref="A6:B6"/>
    <mergeCell ref="C8:K8"/>
    <mergeCell ref="H15:K16"/>
    <mergeCell ref="H25:K26"/>
    <mergeCell ref="C18:K18"/>
  </mergeCells>
  <conditionalFormatting sqref="H15">
    <cfRule type="cellIs" dxfId="4" priority="122" stopIfTrue="1" operator="equal">
      <formula>"no cumple"</formula>
    </cfRule>
  </conditionalFormatting>
  <conditionalFormatting sqref="H25">
    <cfRule type="cellIs" dxfId="3" priority="20" stopIfTrue="1" operator="equal">
      <formula>"no cumple"</formula>
    </cfRule>
  </conditionalFormatting>
  <printOptions horizontalCentered="1"/>
  <pageMargins left="0.59055118110236227" right="0.39370078740157483" top="0.59055118110236227" bottom="0.39370078740157483" header="0.31496062992125984" footer="0.31496062992125984"/>
  <pageSetup scale="68" orientation="landscape" horizontalDpi="300" verticalDpi="30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85" zoomScaleNormal="85" zoomScaleSheetLayoutView="70" workbookViewId="0">
      <selection activeCell="B17" sqref="B17"/>
    </sheetView>
  </sheetViews>
  <sheetFormatPr baseColWidth="10" defaultColWidth="11.42578125" defaultRowHeight="15"/>
  <cols>
    <col min="1" max="1" width="8.140625" style="155" customWidth="1"/>
    <col min="2" max="2" width="42.28515625" style="155" customWidth="1"/>
    <col min="3" max="4" width="19" style="162" customWidth="1"/>
    <col min="5" max="5" width="14" style="162" customWidth="1"/>
    <col min="6" max="6" width="13.28515625" style="162" customWidth="1"/>
    <col min="7" max="8" width="19" style="155" customWidth="1"/>
    <col min="9" max="9" width="10.7109375" style="162" customWidth="1"/>
    <col min="10" max="10" width="13.28515625" style="162" customWidth="1"/>
    <col min="11" max="12" width="19" style="162" customWidth="1"/>
    <col min="13" max="13" width="16.42578125" style="162" bestFit="1" customWidth="1"/>
    <col min="14" max="14" width="13.28515625" style="162" customWidth="1"/>
    <col min="15" max="16384" width="11.42578125" style="155"/>
  </cols>
  <sheetData>
    <row r="1" spans="1:14" ht="18" customHeight="1">
      <c r="A1" s="445" t="s">
        <v>87</v>
      </c>
      <c r="B1" s="446"/>
      <c r="C1" s="446"/>
      <c r="D1" s="446"/>
      <c r="E1" s="446"/>
      <c r="F1" s="446"/>
      <c r="G1" s="446"/>
      <c r="H1" s="446"/>
      <c r="I1" s="446"/>
      <c r="J1" s="446"/>
      <c r="K1" s="446"/>
      <c r="L1" s="446"/>
      <c r="M1" s="446"/>
      <c r="N1" s="446"/>
    </row>
    <row r="2" spans="1:14" s="157" customFormat="1" ht="15.75" customHeight="1">
      <c r="A2" s="156"/>
      <c r="B2" s="156"/>
      <c r="C2" s="156"/>
      <c r="D2" s="156"/>
      <c r="E2" s="156"/>
      <c r="F2" s="156"/>
      <c r="G2" s="156"/>
      <c r="H2" s="156"/>
      <c r="I2" s="156"/>
      <c r="J2" s="156"/>
      <c r="K2" s="156"/>
      <c r="L2" s="156"/>
      <c r="M2" s="156"/>
      <c r="N2" s="156"/>
    </row>
    <row r="3" spans="1:14" ht="15.75" customHeight="1">
      <c r="A3" s="449" t="s">
        <v>32</v>
      </c>
      <c r="B3" s="449" t="s">
        <v>16</v>
      </c>
      <c r="C3" s="450" t="s">
        <v>10</v>
      </c>
      <c r="D3" s="450"/>
      <c r="E3" s="450"/>
      <c r="F3" s="450"/>
      <c r="G3" s="447" t="s">
        <v>11</v>
      </c>
      <c r="H3" s="447"/>
      <c r="I3" s="447"/>
      <c r="J3" s="447"/>
      <c r="K3" s="448" t="s">
        <v>15</v>
      </c>
      <c r="L3" s="448"/>
      <c r="M3" s="448"/>
      <c r="N3" s="448"/>
    </row>
    <row r="4" spans="1:14" ht="35.25" customHeight="1">
      <c r="A4" s="449"/>
      <c r="B4" s="449"/>
      <c r="C4" s="158" t="s">
        <v>14</v>
      </c>
      <c r="D4" s="451" t="s">
        <v>462</v>
      </c>
      <c r="E4" s="452"/>
      <c r="F4" s="342">
        <v>1.5</v>
      </c>
      <c r="G4" s="347" t="s">
        <v>58</v>
      </c>
      <c r="H4" s="453" t="s">
        <v>464</v>
      </c>
      <c r="I4" s="454"/>
      <c r="J4" s="348">
        <v>0.6</v>
      </c>
      <c r="K4" s="352" t="s">
        <v>92</v>
      </c>
      <c r="L4" s="455" t="s">
        <v>465</v>
      </c>
      <c r="M4" s="456"/>
      <c r="N4" s="353">
        <v>1.5</v>
      </c>
    </row>
    <row r="5" spans="1:14" s="159" customFormat="1" ht="27.75" customHeight="1">
      <c r="A5" s="449"/>
      <c r="B5" s="449"/>
      <c r="C5" s="158" t="s">
        <v>8</v>
      </c>
      <c r="D5" s="343" t="s">
        <v>9</v>
      </c>
      <c r="E5" s="343" t="s">
        <v>2</v>
      </c>
      <c r="F5" s="343" t="s">
        <v>463</v>
      </c>
      <c r="G5" s="347" t="s">
        <v>12</v>
      </c>
      <c r="H5" s="347" t="s">
        <v>13</v>
      </c>
      <c r="I5" s="347" t="s">
        <v>2</v>
      </c>
      <c r="J5" s="347" t="s">
        <v>463</v>
      </c>
      <c r="K5" s="354" t="s">
        <v>8</v>
      </c>
      <c r="L5" s="354" t="s">
        <v>9</v>
      </c>
      <c r="M5" s="354" t="s">
        <v>2</v>
      </c>
      <c r="N5" s="354" t="s">
        <v>463</v>
      </c>
    </row>
    <row r="6" spans="1:14" s="159" customFormat="1" ht="25.5" customHeight="1">
      <c r="A6" s="160" t="s">
        <v>4</v>
      </c>
      <c r="B6" s="161" t="str">
        <f>IF(ENTREGA!B7="","",ENTREGA!B7)</f>
        <v>MAURO VELEZ GÓMEZ</v>
      </c>
      <c r="C6" s="344">
        <v>13843475019</v>
      </c>
      <c r="D6" s="344">
        <v>1418102009</v>
      </c>
      <c r="E6" s="345">
        <f>IF(B6="","",IF(D6="",0,C6/D6))</f>
        <v>9.7619740548579959</v>
      </c>
      <c r="F6" s="346" t="str">
        <f>IF(B6="","",IF(E6="","NO CUMPLE",IF(E6&gt;=$F$4,"CUMPLE","NO CUMPLE")))</f>
        <v>CUMPLE</v>
      </c>
      <c r="G6" s="349">
        <v>4158864308</v>
      </c>
      <c r="H6" s="349">
        <v>13880475019</v>
      </c>
      <c r="I6" s="350">
        <f>IF(B6="","",IF(H6="","",G6/H6))</f>
        <v>0.2996197394042513</v>
      </c>
      <c r="J6" s="346" t="str">
        <f t="shared" ref="J6:J8" si="0">IF(B6="","",IF(I6&lt;=$J$4,"CUMPLE","NO CUMPLE"))</f>
        <v>CUMPLE</v>
      </c>
      <c r="K6" s="345">
        <f t="shared" ref="K6:K8" si="1">IF(B6="","",C6)</f>
        <v>13843475019</v>
      </c>
      <c r="L6" s="345">
        <f t="shared" ref="L6:L8" si="2">IF(B6="","",D6)</f>
        <v>1418102009</v>
      </c>
      <c r="M6" s="345">
        <f>IF(B6="","",IF(K6="","",K6-L6))</f>
        <v>12425373010</v>
      </c>
      <c r="N6" s="346" t="str">
        <f>IF(B6="","",IF(M6="","NO CUMPLE",IF(M6&gt;$N$4*'[5]3.2.1 EXPERIENCIA GRAL'!$I$6,"CUMPLE","NO CUMPLE")))</f>
        <v>CUMPLE</v>
      </c>
    </row>
    <row r="7" spans="1:14" s="159" customFormat="1" ht="25.5" customHeight="1">
      <c r="A7" s="160" t="s">
        <v>5</v>
      </c>
      <c r="B7" s="161" t="str">
        <f>IF(ENTREGA!B8="","",ENTREGA!B8)</f>
        <v>LUIS ENRIQUE OYOLA QUINTERO</v>
      </c>
      <c r="C7" s="344">
        <v>1446185055</v>
      </c>
      <c r="D7" s="344">
        <v>104081714</v>
      </c>
      <c r="E7" s="345">
        <f t="shared" ref="E7:E8" si="3">IF(B7="","",IF(D7="",0,C7/D7))</f>
        <v>13.894708296214262</v>
      </c>
      <c r="F7" s="346" t="str">
        <f t="shared" ref="F7:F8" si="4">IF(B7="","",IF(E7="","NO CUMPLE",IF(E7&gt;=$F$4,"CUMPLE","NO CUMPLE")))</f>
        <v>CUMPLE</v>
      </c>
      <c r="G7" s="349">
        <v>189285274</v>
      </c>
      <c r="H7" s="349">
        <v>2007052055</v>
      </c>
      <c r="I7" s="350">
        <f t="shared" ref="I7:I8" si="5">IF(B7="","",IF(H7="","",G7/H7))</f>
        <v>9.4310097004434698E-2</v>
      </c>
      <c r="J7" s="346" t="str">
        <f t="shared" si="0"/>
        <v>CUMPLE</v>
      </c>
      <c r="K7" s="345">
        <f t="shared" si="1"/>
        <v>1446185055</v>
      </c>
      <c r="L7" s="345">
        <f t="shared" si="2"/>
        <v>104081714</v>
      </c>
      <c r="M7" s="345">
        <f t="shared" ref="M7:M8" si="6">IF(B7="","",IF(K7="","",K7-L7))</f>
        <v>1342103341</v>
      </c>
      <c r="N7" s="346" t="str">
        <f>IF(B7="","",IF(M7="","NO CUMPLE",IF(M7&gt;$N$4*'[5]3.2.1 EXPERIENCIA GRAL'!$I$6,"CUMPLE","NO CUMPLE")))</f>
        <v>CUMPLE</v>
      </c>
    </row>
    <row r="8" spans="1:14" s="159" customFormat="1" ht="25.5" customHeight="1">
      <c r="A8" s="160" t="s">
        <v>6</v>
      </c>
      <c r="B8" s="161" t="str">
        <f>IF(ENTREGA!B9="","",ENTREGA!B9)</f>
        <v/>
      </c>
      <c r="C8" s="344"/>
      <c r="D8" s="344"/>
      <c r="E8" s="345" t="str">
        <f t="shared" si="3"/>
        <v/>
      </c>
      <c r="F8" s="346" t="str">
        <f t="shared" si="4"/>
        <v/>
      </c>
      <c r="G8" s="349"/>
      <c r="H8" s="349"/>
      <c r="I8" s="350" t="str">
        <f t="shared" si="5"/>
        <v/>
      </c>
      <c r="J8" s="346" t="str">
        <f t="shared" si="0"/>
        <v/>
      </c>
      <c r="K8" s="345" t="str">
        <f t="shared" si="1"/>
        <v/>
      </c>
      <c r="L8" s="345" t="str">
        <f t="shared" si="2"/>
        <v/>
      </c>
      <c r="M8" s="345" t="str">
        <f t="shared" si="6"/>
        <v/>
      </c>
      <c r="N8" s="346" t="str">
        <f>IF(B8="","",IF(M8="","NO CUMPLE",IF(M8&gt;$N$4*'[5]3.2.1 EXPERIENCIA GRAL'!$I$6,"CUMPLE","NO CUMPLE")))</f>
        <v/>
      </c>
    </row>
  </sheetData>
  <sheetProtection algorithmName="SHA-512" hashValue="NddHHCuauK7dQiAYv3BQYILP4d6ltN9QZEdPO3+ofBSMOw7OKuqMUtGmQ9NmbU58LeiZ91LDNmO+feMgVmNzOA==" saltValue="VsmmHun34ft2waTS7m1njA==" spinCount="100000" sheet="1" selectLockedCells="1" selectUnlockedCells="1"/>
  <mergeCells count="9">
    <mergeCell ref="A1:N1"/>
    <mergeCell ref="G3:J3"/>
    <mergeCell ref="K3:N3"/>
    <mergeCell ref="A3:A5"/>
    <mergeCell ref="B3:B5"/>
    <mergeCell ref="C3:F3"/>
    <mergeCell ref="D4:E4"/>
    <mergeCell ref="H4:I4"/>
    <mergeCell ref="L4:M4"/>
  </mergeCells>
  <conditionalFormatting sqref="F6:F8">
    <cfRule type="cellIs" dxfId="2" priority="3" operator="equal">
      <formula>"NO CUMPLE"</formula>
    </cfRule>
  </conditionalFormatting>
  <conditionalFormatting sqref="J6:J8">
    <cfRule type="cellIs" dxfId="1" priority="2" operator="equal">
      <formula>"NO CUMPLE"</formula>
    </cfRule>
  </conditionalFormatting>
  <conditionalFormatting sqref="N6:N8">
    <cfRule type="cellIs" dxfId="0" priority="1" operator="equal">
      <formula>"NO CUMPLE"</formula>
    </cfRule>
  </conditionalFormatting>
  <printOptions horizontalCentered="1"/>
  <pageMargins left="0.59055118110236227" right="0.39370078740157483" top="0.39370078740157483" bottom="0.19685039370078741" header="0.31496062992125984" footer="0.31496062992125984"/>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zoomScaleSheetLayoutView="85" workbookViewId="0">
      <selection activeCell="D27" sqref="D27"/>
    </sheetView>
  </sheetViews>
  <sheetFormatPr baseColWidth="10" defaultColWidth="11.42578125" defaultRowHeight="12.75"/>
  <cols>
    <col min="1" max="1" width="8" style="3" customWidth="1"/>
    <col min="2" max="2" width="41" style="3" customWidth="1"/>
    <col min="3" max="5" width="42.28515625" style="3" customWidth="1"/>
    <col min="6" max="16384" width="11.42578125" style="3"/>
  </cols>
  <sheetData>
    <row r="1" spans="1:5" ht="28.5" customHeight="1">
      <c r="A1" s="457" t="s">
        <v>40</v>
      </c>
      <c r="B1" s="458"/>
      <c r="C1" s="458"/>
      <c r="D1" s="458"/>
      <c r="E1" s="458"/>
    </row>
    <row r="3" spans="1:5" ht="51">
      <c r="A3" s="5"/>
      <c r="B3" s="6" t="s">
        <v>39</v>
      </c>
      <c r="C3" s="4" t="s">
        <v>57</v>
      </c>
      <c r="D3" s="4" t="s">
        <v>471</v>
      </c>
      <c r="E3" s="4" t="s">
        <v>472</v>
      </c>
    </row>
    <row r="4" spans="1:5" ht="38.25" customHeight="1">
      <c r="A4" s="63" t="s">
        <v>4</v>
      </c>
      <c r="B4" s="64" t="str">
        <f>IF(ENTREGA!B7="","",ENTREGA!B7)</f>
        <v>MAURO VELEZ GÓMEZ</v>
      </c>
      <c r="C4" s="11" t="s">
        <v>473</v>
      </c>
      <c r="D4" s="11" t="s">
        <v>473</v>
      </c>
      <c r="E4" s="11" t="s">
        <v>473</v>
      </c>
    </row>
    <row r="5" spans="1:5" ht="38.25" customHeight="1">
      <c r="A5" s="63" t="s">
        <v>5</v>
      </c>
      <c r="B5" s="64" t="str">
        <f>IF(ENTREGA!B8="","",ENTREGA!B8)</f>
        <v>LUIS ENRIQUE OYOLA QUINTERO</v>
      </c>
      <c r="C5" s="11" t="s">
        <v>473</v>
      </c>
      <c r="D5" s="11" t="s">
        <v>473</v>
      </c>
      <c r="E5" s="11" t="s">
        <v>473</v>
      </c>
    </row>
    <row r="6" spans="1:5" ht="38.25" customHeight="1">
      <c r="A6" s="63" t="s">
        <v>6</v>
      </c>
      <c r="B6" s="64" t="str">
        <f>IF(ENTREGA!B9="","",ENTREGA!B9)</f>
        <v/>
      </c>
      <c r="C6" s="11"/>
      <c r="D6" s="11"/>
      <c r="E6" s="34"/>
    </row>
  </sheetData>
  <sheetProtection algorithmName="SHA-512" hashValue="qymwms8G54NX2pZW+4b/mSMQj6GRj4wzZlAQUNBQEoEG0oQayJ1XBOcGMHkVG2IflVvmVelCVCKNEyshxrgEfQ==" saltValue="pz93Ki2wKNGUAeOLvjKIyw==" spinCount="100000" sheet="1" objects="1" scenarios="1"/>
  <mergeCells count="1">
    <mergeCell ref="A1:E1"/>
  </mergeCells>
  <printOptions horizontalCentered="1"/>
  <pageMargins left="0.39370078740157483" right="0.39370078740157483" top="0.59055118110236227" bottom="0.39370078740157483" header="0.31496062992125984" footer="0.31496062992125984"/>
  <pageSetup scale="7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workbookViewId="0">
      <selection activeCell="I16" sqref="I16"/>
    </sheetView>
  </sheetViews>
  <sheetFormatPr baseColWidth="10" defaultColWidth="11.42578125" defaultRowHeight="15"/>
  <cols>
    <col min="1" max="1" width="6.140625" style="124" customWidth="1"/>
    <col min="2" max="3" width="12.7109375" style="124" customWidth="1"/>
    <col min="4" max="4" width="11.140625" style="124" customWidth="1"/>
    <col min="5" max="5" width="10" style="124" customWidth="1"/>
    <col min="6" max="6" width="16.140625" style="124" customWidth="1"/>
    <col min="7" max="11" width="11.42578125" style="124" customWidth="1"/>
    <col min="12" max="13" width="9.42578125" style="124" customWidth="1"/>
    <col min="14" max="14" width="18.85546875" style="124" customWidth="1"/>
    <col min="15" max="15" width="11.7109375" style="124" customWidth="1"/>
    <col min="16" max="17" width="11.42578125" style="124"/>
    <col min="18" max="18" width="13.7109375" style="124" bestFit="1" customWidth="1"/>
    <col min="19" max="16384" width="11.42578125" style="124"/>
  </cols>
  <sheetData>
    <row r="1" spans="1:18" ht="49.5" customHeight="1">
      <c r="A1" s="466" t="str">
        <f>+ENTREGA!A1</f>
        <v>UNIVERSIDAD DE ANTIOQUIA</v>
      </c>
      <c r="B1" s="467"/>
      <c r="C1" s="467"/>
      <c r="D1" s="467"/>
      <c r="E1" s="467"/>
      <c r="F1" s="467"/>
      <c r="G1" s="467"/>
      <c r="H1" s="467"/>
      <c r="I1" s="467"/>
      <c r="J1" s="467"/>
      <c r="K1" s="467"/>
      <c r="L1" s="467"/>
      <c r="M1" s="467"/>
      <c r="N1" s="467"/>
      <c r="O1" s="468"/>
    </row>
    <row r="2" spans="1:18" ht="34.5" customHeight="1">
      <c r="A2" s="469" t="str">
        <f>+ENTREGA!A2</f>
        <v>Invitación Pública N° VA-210-2018</v>
      </c>
      <c r="B2" s="470"/>
      <c r="C2" s="470"/>
      <c r="D2" s="470"/>
      <c r="E2" s="470"/>
      <c r="F2" s="470"/>
      <c r="G2" s="470"/>
      <c r="H2" s="470"/>
      <c r="I2" s="470"/>
      <c r="J2" s="470"/>
      <c r="K2" s="470"/>
      <c r="L2" s="470"/>
      <c r="M2" s="470"/>
      <c r="N2" s="470"/>
      <c r="O2" s="471"/>
    </row>
    <row r="3" spans="1:18" ht="47.25" customHeight="1">
      <c r="A3" s="472" t="str">
        <f>+ENTREGA!A3</f>
        <v>OBJETO: "Ejecución de obras eléctricas, civiles e hidrosanitarias requeridas para el cambio de alimentadores eléctricos primarios en media tensión de las subestaciones eléctricas de los bloques 5 y 8"</v>
      </c>
      <c r="B3" s="473"/>
      <c r="C3" s="473"/>
      <c r="D3" s="473"/>
      <c r="E3" s="473"/>
      <c r="F3" s="473"/>
      <c r="G3" s="473"/>
      <c r="H3" s="473"/>
      <c r="I3" s="473"/>
      <c r="J3" s="473"/>
      <c r="K3" s="473"/>
      <c r="L3" s="473"/>
      <c r="M3" s="473"/>
      <c r="N3" s="473"/>
      <c r="O3" s="474"/>
    </row>
    <row r="4" spans="1:18" ht="26.25" customHeight="1">
      <c r="A4" s="475" t="s">
        <v>177</v>
      </c>
      <c r="B4" s="476"/>
      <c r="C4" s="476"/>
      <c r="D4" s="476"/>
      <c r="E4" s="476"/>
      <c r="F4" s="476"/>
      <c r="G4" s="476"/>
      <c r="H4" s="476"/>
      <c r="I4" s="476"/>
      <c r="J4" s="476"/>
      <c r="K4" s="476"/>
      <c r="L4" s="476"/>
      <c r="M4" s="476"/>
      <c r="N4" s="476"/>
      <c r="O4" s="477"/>
    </row>
    <row r="5" spans="1:18" ht="15.75" thickBot="1"/>
    <row r="6" spans="1:18" ht="15" customHeight="1">
      <c r="A6" s="481" t="s">
        <v>457</v>
      </c>
      <c r="B6" s="482"/>
      <c r="C6" s="483"/>
      <c r="D6" s="486" t="s">
        <v>34</v>
      </c>
      <c r="E6" s="487"/>
      <c r="F6" s="325">
        <v>3174.11</v>
      </c>
      <c r="G6" s="495" t="s">
        <v>91</v>
      </c>
      <c r="H6" s="496"/>
      <c r="I6" s="496"/>
      <c r="J6" s="496"/>
      <c r="K6" s="497"/>
      <c r="N6" s="135" t="s">
        <v>33</v>
      </c>
      <c r="O6" s="136">
        <f>+'3.2.1 EXPERIENCIA GRAL'!F6</f>
        <v>836143257</v>
      </c>
    </row>
    <row r="7" spans="1:18" ht="21.75" customHeight="1" thickBot="1">
      <c r="A7" s="327">
        <v>1</v>
      </c>
      <c r="B7" s="489" t="s">
        <v>458</v>
      </c>
      <c r="C7" s="490"/>
      <c r="D7" s="484" t="s">
        <v>89</v>
      </c>
      <c r="E7" s="485"/>
      <c r="F7" s="326">
        <v>43439</v>
      </c>
      <c r="G7" s="341">
        <f>IF(($F$6-TRUNC($F$6))&lt;=0.33,1,IF(($F$6-TRUNC($F$6))&lt;=0.66,2,IF(($F$6-TRUNC($F$6))&lt;=0.99,3,0)))</f>
        <v>1</v>
      </c>
      <c r="H7" s="464" t="str">
        <f>IF(G7=3,VLOOKUP(G7,$A$7:$B$9,2,FALSE),IF(G7=2,VLOOKUP(G7,$A$7:$B$9,2,FALSE),IF(G7=1,VLOOKUP(G7,$A$7:$B$9,2,FALSE),"NINGUNO")))</f>
        <v>Media aritmética</v>
      </c>
      <c r="I7" s="465"/>
      <c r="J7" s="339">
        <f>IF($H$7="Menor valor",ROUND(MIN(F13:F15),4),IF($H$7="Media aritmética alta",ROUND((MAX(F13:F15)+ROUND(SUM(F13:F15)/O7,2))/2,2),ROUND(SUM(F13:F15)/O7,2)))</f>
        <v>826358169</v>
      </c>
      <c r="K7" s="340">
        <f>IF($H$7="Menor valor",ROUND(MIN(G13:G15),4),IF($H$7="Media aritmética alta",ROUND((MAX(G13:G15)+ROUND(SUM(G13:G15)/O7,4))/2,4),ROUND(SUM(G13:G15)/O7,4)))</f>
        <v>0.23980000000000001</v>
      </c>
      <c r="N7" s="137" t="s">
        <v>461</v>
      </c>
      <c r="O7" s="138">
        <f>COUNT(F13:F15)</f>
        <v>1</v>
      </c>
    </row>
    <row r="8" spans="1:18" ht="21">
      <c r="A8" s="328">
        <v>2</v>
      </c>
      <c r="B8" s="491" t="s">
        <v>459</v>
      </c>
      <c r="C8" s="492"/>
      <c r="D8" s="330"/>
      <c r="E8" s="330"/>
      <c r="F8" s="331"/>
      <c r="G8" s="332"/>
      <c r="H8" s="333"/>
      <c r="I8" s="333"/>
      <c r="J8" s="334"/>
      <c r="K8" s="335"/>
      <c r="L8" s="336"/>
      <c r="M8" s="336"/>
      <c r="N8" s="337"/>
      <c r="O8" s="338"/>
    </row>
    <row r="9" spans="1:18" ht="21.75" thickBot="1">
      <c r="A9" s="329">
        <v>3</v>
      </c>
      <c r="B9" s="493" t="s">
        <v>460</v>
      </c>
      <c r="C9" s="494"/>
      <c r="D9" s="330"/>
      <c r="E9" s="330"/>
      <c r="F9" s="331"/>
      <c r="G9" s="332"/>
      <c r="H9" s="333"/>
      <c r="I9" s="333"/>
      <c r="J9" s="334"/>
      <c r="K9" s="335"/>
      <c r="L9" s="336"/>
      <c r="M9" s="336"/>
      <c r="N9" s="337"/>
      <c r="O9" s="338"/>
    </row>
    <row r="10" spans="1:18" ht="21" customHeight="1">
      <c r="D10" s="134"/>
      <c r="H10" s="488" t="s">
        <v>470</v>
      </c>
      <c r="I10" s="488"/>
      <c r="J10" s="488"/>
      <c r="K10" s="488"/>
      <c r="L10" s="359" t="s">
        <v>2</v>
      </c>
      <c r="M10" s="134"/>
    </row>
    <row r="11" spans="1:18" ht="15" customHeight="1">
      <c r="A11" s="139"/>
      <c r="B11" s="134"/>
      <c r="C11" s="139"/>
      <c r="D11" s="134"/>
      <c r="E11" s="140" t="s">
        <v>125</v>
      </c>
      <c r="F11" s="134"/>
      <c r="G11" s="134"/>
      <c r="H11" s="360">
        <v>100</v>
      </c>
      <c r="I11" s="360">
        <v>100</v>
      </c>
      <c r="J11" s="360">
        <v>100</v>
      </c>
      <c r="K11" s="360">
        <v>100</v>
      </c>
      <c r="L11" s="359">
        <f>+SUM(H11:K11)</f>
        <v>400</v>
      </c>
      <c r="M11" s="134"/>
    </row>
    <row r="12" spans="1:18" ht="34.5">
      <c r="A12" s="141" t="s">
        <v>36</v>
      </c>
      <c r="B12" s="478" t="s">
        <v>38</v>
      </c>
      <c r="C12" s="479"/>
      <c r="D12" s="480"/>
      <c r="E12" s="142" t="s">
        <v>126</v>
      </c>
      <c r="F12" s="141" t="s">
        <v>37</v>
      </c>
      <c r="G12" s="143" t="s">
        <v>116</v>
      </c>
      <c r="H12" s="143" t="s">
        <v>90</v>
      </c>
      <c r="I12" s="143" t="s">
        <v>113</v>
      </c>
      <c r="J12" s="143" t="s">
        <v>114</v>
      </c>
      <c r="K12" s="143" t="s">
        <v>115</v>
      </c>
      <c r="L12" s="143" t="s">
        <v>112</v>
      </c>
      <c r="M12" s="143" t="s">
        <v>35</v>
      </c>
      <c r="N12" s="463" t="s">
        <v>46</v>
      </c>
      <c r="O12" s="463"/>
    </row>
    <row r="13" spans="1:18" s="152" customFormat="1" ht="53.25" customHeight="1">
      <c r="A13" s="144">
        <v>1</v>
      </c>
      <c r="B13" s="459" t="str">
        <f>IF(ENTREGA!B7="","",ENTREGA!B7)</f>
        <v>MAURO VELEZ GÓMEZ</v>
      </c>
      <c r="C13" s="460"/>
      <c r="D13" s="461"/>
      <c r="E13" s="145" t="s">
        <v>530</v>
      </c>
      <c r="F13" s="146">
        <f>IF(E13="H",ROUND('Presupuesto Consolidado'!F164,0),"")</f>
        <v>826358169</v>
      </c>
      <c r="G13" s="147">
        <f>IF(E13="H",ROUND('Presupuesto Consolidado'!E164,4),"")</f>
        <v>0.23980000000000001</v>
      </c>
      <c r="H13" s="148">
        <f>IF(F13="","",IF($H$7="Menor valor",ROUND(($H$11*$J$7)/$F13,2),ROUND(IF($F13&lt;=$J$7,$H$11*(1-(($J$7-$F13)/$J$7)),$H$11*60%*(1-2*((ABS($J$7-$F13))/$J$7))),2)))</f>
        <v>100</v>
      </c>
      <c r="I13" s="148">
        <f>IF(G13="","",IF($H$7="Menor valor",ROUND(($I$11*$K$7)/$G13,2),ROUND(IF($G13&lt;=$K$7,$I$11*(1-(($K$7-$G13)/$K$7)),$I$11*60%*(1-2*((ABS($K$7-$G13))/$K$7))),2)))</f>
        <v>100</v>
      </c>
      <c r="J13" s="149">
        <f>+IF(F13="","",'Cálculo Pt3 y Pt4'!C139)</f>
        <v>100</v>
      </c>
      <c r="K13" s="149">
        <f>+IF(F13="","",'Cálculo Pt3 y Pt4'!C140)</f>
        <v>100</v>
      </c>
      <c r="L13" s="150">
        <f t="shared" ref="L13:L15" si="0">+SUM(H13:K13)</f>
        <v>400</v>
      </c>
      <c r="M13" s="151"/>
      <c r="N13" s="462"/>
      <c r="O13" s="462"/>
      <c r="Q13" s="153"/>
      <c r="R13" s="154"/>
    </row>
    <row r="14" spans="1:18" s="152" customFormat="1" ht="53.25" customHeight="1">
      <c r="A14" s="144">
        <v>2</v>
      </c>
      <c r="B14" s="459" t="str">
        <f>IF(ENTREGA!B8="","",ENTREGA!B8)</f>
        <v>LUIS ENRIQUE OYOLA QUINTERO</v>
      </c>
      <c r="C14" s="460"/>
      <c r="D14" s="461"/>
      <c r="E14" s="145" t="s">
        <v>474</v>
      </c>
      <c r="F14" s="146" t="str">
        <f>IF(E14="H",ROUND('Presupuesto Consolidado'!M164,0),"")</f>
        <v/>
      </c>
      <c r="G14" s="147" t="str">
        <f>IF(E14="H",ROUND('Presupuesto Consolidado'!L164,4),"")</f>
        <v/>
      </c>
      <c r="H14" s="148" t="str">
        <f>IF(F14="","",IF($H$7="Menor valor",ROUND(($H$11*$J$7)/$F14,2),ROUND(IF($F14&lt;=$J$7,$H$11*(1-(($J$7-$F14)/$J$7)),$H$11*60%*(1-2*((ABS($J$7-$F14))/$J$7))),2)))</f>
        <v/>
      </c>
      <c r="I14" s="148" t="str">
        <f t="shared" ref="I14:I15" si="1">IF(G14="","",IF($H$7="Menor valor",ROUND(($I$11*$K$7)/$G14,2),ROUND(IF($G14&lt;=$K$7,$I$11*(1-(($K$7-$G14)/$K$7)),$I$11*60%*(1-2*((ABS($K$7-$G14))/$K$7))),2)))</f>
        <v/>
      </c>
      <c r="J14" s="149" t="str">
        <f>+IF(F14="","",'Cálculo Pt3 y Pt4'!E139)</f>
        <v/>
      </c>
      <c r="K14" s="149" t="str">
        <f>+IF(F14="","",'Cálculo Pt3 y Pt4'!E140)</f>
        <v/>
      </c>
      <c r="L14" s="150">
        <f t="shared" si="0"/>
        <v>0</v>
      </c>
      <c r="M14" s="151"/>
      <c r="N14" s="462" t="s">
        <v>531</v>
      </c>
      <c r="O14" s="462"/>
    </row>
    <row r="15" spans="1:18" s="152" customFormat="1" ht="53.25" customHeight="1">
      <c r="A15" s="144">
        <v>3</v>
      </c>
      <c r="B15" s="459" t="str">
        <f>IF(ENTREGA!B9="","",ENTREGA!B9)</f>
        <v/>
      </c>
      <c r="C15" s="460"/>
      <c r="D15" s="461"/>
      <c r="E15" s="145"/>
      <c r="F15" s="146" t="str">
        <f>IF(E15="H",ROUND('Presupuesto Consolidado'!#REF!,0),"")</f>
        <v/>
      </c>
      <c r="G15" s="147" t="str">
        <f>IF(E15="H",ROUND('Presupuesto Consolidado'!#REF!,4),"")</f>
        <v/>
      </c>
      <c r="H15" s="148" t="str">
        <f t="shared" ref="H15" si="2">IF(F15="","",IF($H$7="Menor valor",ROUND(($H$11*$J$7)/$F15,2),ROUND(IF($F15&lt;=$J$7,$H$11*(1-(($J$7-$F15)/$J$7)),$H$11*60%*(1-2*((ABS($J$7-$F15))/$J$7))),2)))</f>
        <v/>
      </c>
      <c r="I15" s="148" t="str">
        <f t="shared" si="1"/>
        <v/>
      </c>
      <c r="J15" s="149" t="str">
        <f>+IF(F15="","",'Cálculo Pt3 y Pt4'!G139)</f>
        <v/>
      </c>
      <c r="K15" s="149" t="str">
        <f>+IF(F15="","",'Cálculo Pt3 y Pt4'!G140)</f>
        <v/>
      </c>
      <c r="L15" s="150">
        <f t="shared" si="0"/>
        <v>0</v>
      </c>
      <c r="M15" s="151"/>
      <c r="N15" s="462"/>
      <c r="O15" s="462"/>
    </row>
  </sheetData>
  <sheetProtection algorithmName="SHA-512" hashValue="4sLU0sGUkH5YRZ3VFfrGMbb38NHVUZUI5jTvq3YN7G8E8Q3aYLORKNcM/cFHZXPwDdAh3wkRshWUWz1rZxXUHA==" saltValue="MkcvI+5XIbGuss6/AemFEg==" spinCount="100000" sheet="1" formatCells="0" formatColumns="0" formatRows="0" insertColumns="0" insertRows="0" insertHyperlinks="0" deleteColumns="0" deleteRows="0" autoFilter="0" pivotTables="0"/>
  <mergeCells count="21">
    <mergeCell ref="H10:K10"/>
    <mergeCell ref="B7:C7"/>
    <mergeCell ref="B8:C8"/>
    <mergeCell ref="B9:C9"/>
    <mergeCell ref="G6:K6"/>
    <mergeCell ref="H7:I7"/>
    <mergeCell ref="A1:O1"/>
    <mergeCell ref="A2:O2"/>
    <mergeCell ref="A3:O3"/>
    <mergeCell ref="A4:O4"/>
    <mergeCell ref="B14:D14"/>
    <mergeCell ref="B15:D15"/>
    <mergeCell ref="B12:D12"/>
    <mergeCell ref="A6:C6"/>
    <mergeCell ref="D7:E7"/>
    <mergeCell ref="D6:E6"/>
    <mergeCell ref="B13:D13"/>
    <mergeCell ref="N12:O12"/>
    <mergeCell ref="N13:O13"/>
    <mergeCell ref="N14:O14"/>
    <mergeCell ref="N15:O15"/>
  </mergeCells>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
  <sheetViews>
    <sheetView topLeftCell="A73" zoomScale="85" zoomScaleNormal="85" workbookViewId="0">
      <selection activeCell="A8" sqref="A8"/>
    </sheetView>
  </sheetViews>
  <sheetFormatPr baseColWidth="10" defaultRowHeight="12.75"/>
  <cols>
    <col min="1" max="1" width="6.140625" style="125" customWidth="1"/>
    <col min="2" max="2" width="18.140625" style="125" customWidth="1"/>
    <col min="3" max="3" width="14.85546875" style="125" customWidth="1"/>
    <col min="4" max="4" width="6.140625" style="125" customWidth="1"/>
    <col min="5" max="5" width="14.85546875" style="125" customWidth="1"/>
    <col min="6" max="6" width="6.140625" style="125" customWidth="1"/>
    <col min="7" max="7" width="14.85546875" style="125" customWidth="1"/>
    <col min="8" max="8" width="6.140625" style="125" customWidth="1"/>
    <col min="9" max="9" width="14.85546875" style="125" customWidth="1"/>
    <col min="10" max="10" width="6.140625" style="125" customWidth="1"/>
    <col min="11" max="11" width="14.85546875" style="125" customWidth="1"/>
    <col min="12" max="12" width="6.140625" style="125" customWidth="1"/>
    <col min="13" max="13" width="14.85546875" style="125" customWidth="1"/>
    <col min="14" max="14" width="6.140625" style="125" customWidth="1"/>
    <col min="15" max="15" width="14.85546875" style="125" customWidth="1"/>
    <col min="16" max="16" width="6.140625" style="125" customWidth="1"/>
    <col min="17" max="17" width="14.85546875" style="125" customWidth="1"/>
    <col min="18" max="18" width="5.5703125" style="125" customWidth="1"/>
    <col min="19" max="19" width="14.85546875" style="125" customWidth="1"/>
    <col min="20" max="20" width="5.5703125" style="125" customWidth="1"/>
    <col min="21" max="21" width="14.85546875" style="125" customWidth="1"/>
    <col min="22" max="22" width="6.140625" style="125" customWidth="1"/>
    <col min="23" max="23" width="14.85546875" style="125" customWidth="1"/>
    <col min="24" max="24" width="5.5703125" style="125" customWidth="1"/>
    <col min="25" max="25" width="14.85546875" style="125" customWidth="1"/>
    <col min="26" max="26" width="6.140625" style="125" customWidth="1"/>
    <col min="27" max="27" width="2" style="125" bestFit="1" customWidth="1"/>
    <col min="28" max="16384" width="11.42578125" style="125"/>
  </cols>
  <sheetData>
    <row r="1" spans="1:28" s="124" customFormat="1" ht="19.5" customHeight="1">
      <c r="A1" s="475" t="s">
        <v>121</v>
      </c>
      <c r="B1" s="476"/>
      <c r="C1" s="476"/>
      <c r="D1" s="476"/>
      <c r="E1" s="476"/>
      <c r="F1" s="476"/>
      <c r="G1" s="476"/>
      <c r="H1" s="476"/>
      <c r="I1" s="476"/>
      <c r="J1" s="476"/>
      <c r="K1" s="476"/>
      <c r="L1" s="476"/>
      <c r="M1" s="476"/>
      <c r="N1" s="476"/>
      <c r="O1" s="476"/>
      <c r="P1" s="476"/>
      <c r="Q1" s="476"/>
      <c r="R1" s="476"/>
      <c r="S1" s="476"/>
      <c r="T1" s="476"/>
      <c r="U1" s="476"/>
      <c r="V1" s="476"/>
      <c r="W1" s="476"/>
      <c r="X1" s="476"/>
      <c r="Y1" s="476"/>
      <c r="Z1" s="476"/>
    </row>
    <row r="3" spans="1:28" ht="30" customHeight="1">
      <c r="A3" s="502" t="s">
        <v>117</v>
      </c>
      <c r="B3" s="502"/>
      <c r="E3" s="504" t="s">
        <v>122</v>
      </c>
      <c r="F3" s="504"/>
      <c r="G3" s="504" t="s">
        <v>123</v>
      </c>
      <c r="H3" s="504"/>
    </row>
    <row r="4" spans="1:28" ht="15">
      <c r="A4" s="505">
        <f>+SUM(AA8:AA136)</f>
        <v>128</v>
      </c>
      <c r="B4" s="505"/>
      <c r="E4" s="505">
        <f>+'10. EVALUACIÓN'!$J$11</f>
        <v>100</v>
      </c>
      <c r="F4" s="505"/>
      <c r="G4" s="505">
        <f>+'10. EVALUACIÓN'!$K$11</f>
        <v>100</v>
      </c>
      <c r="H4" s="505"/>
    </row>
    <row r="5" spans="1:28">
      <c r="A5" s="126"/>
      <c r="B5" s="126"/>
    </row>
    <row r="6" spans="1:28" s="128" customFormat="1" ht="21" customHeight="1">
      <c r="A6" s="506" t="s">
        <v>21</v>
      </c>
      <c r="B6" s="127" t="s">
        <v>124</v>
      </c>
      <c r="C6" s="503" t="str">
        <f>+ENTREGA!A7</f>
        <v>1</v>
      </c>
      <c r="D6" s="503"/>
      <c r="E6" s="503" t="str">
        <f>+ENTREGA!A8</f>
        <v>2</v>
      </c>
      <c r="F6" s="503"/>
      <c r="G6" s="503" t="str">
        <f>+ENTREGA!A9</f>
        <v>3</v>
      </c>
      <c r="H6" s="503"/>
      <c r="I6" s="503" t="e">
        <f>+ENTREGA!#REF!</f>
        <v>#REF!</v>
      </c>
      <c r="J6" s="503"/>
      <c r="K6" s="503" t="e">
        <f>+ENTREGA!#REF!</f>
        <v>#REF!</v>
      </c>
      <c r="L6" s="503"/>
      <c r="M6" s="503" t="e">
        <f>+ENTREGA!#REF!</f>
        <v>#REF!</v>
      </c>
      <c r="N6" s="503"/>
      <c r="O6" s="503" t="e">
        <f>+ENTREGA!#REF!</f>
        <v>#REF!</v>
      </c>
      <c r="P6" s="503"/>
      <c r="Q6" s="503" t="e">
        <f>+ENTREGA!#REF!</f>
        <v>#REF!</v>
      </c>
      <c r="R6" s="503"/>
      <c r="S6" s="503" t="e">
        <f>+ENTREGA!#REF!</f>
        <v>#REF!</v>
      </c>
      <c r="T6" s="503"/>
      <c r="U6" s="503" t="e">
        <f>+ENTREGA!#REF!</f>
        <v>#REF!</v>
      </c>
      <c r="V6" s="503"/>
      <c r="W6" s="503" t="e">
        <f>+ENTREGA!#REF!</f>
        <v>#REF!</v>
      </c>
      <c r="X6" s="503"/>
      <c r="Y6" s="503" t="e">
        <f>+ENTREGA!#REF!</f>
        <v>#REF!</v>
      </c>
      <c r="Z6" s="503"/>
    </row>
    <row r="7" spans="1:28" s="129" customFormat="1" ht="35.25" customHeight="1">
      <c r="A7" s="506"/>
      <c r="B7" s="199" t="str">
        <f>+'10. EVALUACIÓN'!H7</f>
        <v>Media aritmética</v>
      </c>
      <c r="C7" s="500" t="str">
        <f>IF('10. EVALUACIÓN'!E13="H","Habilitado","No habilitado")</f>
        <v>Habilitado</v>
      </c>
      <c r="D7" s="501"/>
      <c r="E7" s="500" t="str">
        <f>+IF('10. EVALUACIÓN'!E14="H","Habilitado","No habilitado")</f>
        <v>No habilitado</v>
      </c>
      <c r="F7" s="501"/>
      <c r="G7" s="500" t="str">
        <f>+IF('10. EVALUACIÓN'!E15="H","Habilitado","No habilitado")</f>
        <v>No habilitado</v>
      </c>
      <c r="H7" s="501"/>
      <c r="I7" s="500" t="e">
        <f>+IF('10. EVALUACIÓN'!#REF!="H","Habilitado","No habilitado")</f>
        <v>#REF!</v>
      </c>
      <c r="J7" s="501"/>
      <c r="K7" s="500" t="e">
        <f>+IF('10. EVALUACIÓN'!#REF!="H","Habilitado","No habilitado")</f>
        <v>#REF!</v>
      </c>
      <c r="L7" s="501"/>
      <c r="M7" s="500" t="e">
        <f>+IF('10. EVALUACIÓN'!#REF!="H","Habilitado","No habilitado")</f>
        <v>#REF!</v>
      </c>
      <c r="N7" s="501"/>
      <c r="O7" s="500" t="e">
        <f>+IF('10. EVALUACIÓN'!#REF!="H","Habilitado","No habilitado")</f>
        <v>#REF!</v>
      </c>
      <c r="P7" s="501"/>
      <c r="Q7" s="500" t="e">
        <f>+IF('10. EVALUACIÓN'!#REF!="H","Habilitado","No habilitado")</f>
        <v>#REF!</v>
      </c>
      <c r="R7" s="501"/>
      <c r="S7" s="500" t="e">
        <f>+IF('10. EVALUACIÓN'!#REF!="H","Habilitado","No habilitado")</f>
        <v>#REF!</v>
      </c>
      <c r="T7" s="501"/>
      <c r="U7" s="500" t="e">
        <f>+IF('10. EVALUACIÓN'!#REF!="H","Habilitado","No habilitado")</f>
        <v>#REF!</v>
      </c>
      <c r="V7" s="501"/>
      <c r="W7" s="500" t="e">
        <f>+IF('10. EVALUACIÓN'!#REF!="H","Habilitado","No habilitado")</f>
        <v>#REF!</v>
      </c>
      <c r="X7" s="501"/>
      <c r="Y7" s="500" t="e">
        <f>+IF('10. EVALUACIÓN'!#REF!="H","Habilitado","No habilitado")</f>
        <v>#REF!</v>
      </c>
      <c r="Z7" s="501"/>
    </row>
    <row r="8" spans="1:28" s="129" customFormat="1" ht="21" customHeight="1">
      <c r="A8" s="127" t="str">
        <f>+'Presupuesto Consolidado'!A12</f>
        <v>1.1.1</v>
      </c>
      <c r="B8" s="130">
        <f t="shared" ref="B8:B39" si="0">IF($B$7="Menor valor"=3,MIN(C8,E8,G8,I8,K8,M8,O8,Q8,S8,U8,W8,Y8),IF($B$7="Media aritmética alta",(MAX(C8,E8,G8,I8,K8,M8,O8,Q8,S8,U8,W8,Y8)+AVERAGE(C8,E8,G8,I8,K8,M8,O8,Q8,S8,U8,W8,Y8))/2,AVERAGE(C8,E8,G8,I8,K8,M8,O8,Q8,S8,U8,W8,Y8)))</f>
        <v>25000</v>
      </c>
      <c r="C8" s="131">
        <f>IF($C$7="Habilitado",ROUND('Presupuesto Consolidado'!E12,2),"")</f>
        <v>25000</v>
      </c>
      <c r="D8" s="132">
        <f>IF(C8="","",IF($B$7="Menor valor",($E$4/$A$4)*($B8/C8),IF(C8&lt;=$B8,($E$4/$A$4)*(1-(($B8-C8)/$B8)),($E$4*60%/$A$4)*(1-2*((ABS($B8-C8))/$B8)))))</f>
        <v>0.78125</v>
      </c>
      <c r="E8" s="131" t="str">
        <f>IF($E$7="Habilitado",ROUND('Presupuesto Consolidado'!L12,2),"")</f>
        <v/>
      </c>
      <c r="F8" s="132" t="str">
        <f>IF(E8="","",IF($B$7="Menor valor",($E$4/$A$4)*($B8/E8),IF(E8&lt;=$B8,($E$4/$A$4)*(1-(($B8-E8)/$B8)),($E$4*60%/$A$4)*(1-2*((ABS($B8-E8))/$B8)))))</f>
        <v/>
      </c>
      <c r="G8" s="131"/>
      <c r="H8" s="132" t="str">
        <f>IF(G8="","",IF($B$7="Menor valor",($E$4/$A$4)*($B8/G8),IF(G8&lt;=$B8,($E$4/$A$4)*(1-(($B8-G8)/$B8)),($E$4*60%/$A$4)*(1-2*((ABS($B8-G8))/$B8)))))</f>
        <v/>
      </c>
      <c r="I8" s="131"/>
      <c r="J8" s="132" t="str">
        <f>IF(I8="","",IF($B$7="Menor valor",($E$4/$A$4)*($B8/I8),IF(I8&lt;=$B8,($E$4/$A$4)*(1-(($B8-I8)/$B8)),($E$4*60%/$A$4)*(1-2*((ABS($B8-I8))/$B8)))))</f>
        <v/>
      </c>
      <c r="K8" s="131"/>
      <c r="L8" s="132" t="str">
        <f>IF(K8="","",IF($B$7="Menor valor",($E$4/$A$4)*($B8/K8),IF(K8&lt;=$B8,($E$4/$A$4)*(1-(($B8-K8)/$B8)),($E$4*60%/$A$4)*(1-2*((ABS($B8-K8))/$B8)))))</f>
        <v/>
      </c>
      <c r="M8" s="131"/>
      <c r="N8" s="132" t="str">
        <f>IF(M8="","",IF($B$7="Menor valor",($E$4/$A$4)*($B8/M8),IF(M8&lt;=$B8,($E$4/$A$4)*(1-(($B8-M8)/$B8)),($E$4*60%/$A$4)*(1-2*((ABS($B8-M8))/$B8)))))</f>
        <v/>
      </c>
      <c r="O8" s="131"/>
      <c r="P8" s="132" t="str">
        <f>IF(O8="","",IF($B$7="Menor valor",($E$4/$A$4)*($B8/O8),IF(O8&lt;=$B8,($E$4/$A$4)*(1-(($B8-O8)/$B8)),($E$4*60%/$A$4)*(1-2*((ABS($B8-O8))/$B8)))))</f>
        <v/>
      </c>
      <c r="Q8" s="131"/>
      <c r="R8" s="132" t="str">
        <f>IF(Q8="","",IF($B$7="Menor valor",($E$4/$A$4)*($B8/Q8),IF(Q8&lt;=$B8,($E$4/$A$4)*(1-(($B8-Q8)/$B8)),($E$4*60%/$A$4)*(1-2*((ABS($B8-Q8))/$B8)))))</f>
        <v/>
      </c>
      <c r="S8" s="131"/>
      <c r="T8" s="132" t="str">
        <f>IF(S8="","",IF($B$7="Menor valor",($E$4/$A$4)*($B8/S8),IF(S8&lt;=$B8,($E$4/$A$4)*(1-(($B8-S8)/$B8)),($E$4*60%/$A$4)*(1-2*((ABS($B8-S8))/$B8)))))</f>
        <v/>
      </c>
      <c r="U8" s="131"/>
      <c r="V8" s="132" t="str">
        <f>IF(U8="","",IF($B$7="Menor valor",($E$4/$A$4)*($B8/U8),IF(U8&lt;=$B8,($E$4/$A$4)*(1-(($B8-U8)/$B8)),($E$4*60%/$A$4)*(1-2*((ABS($B8-U8))/$B8)))))</f>
        <v/>
      </c>
      <c r="W8" s="131"/>
      <c r="X8" s="132" t="str">
        <f>IF(W8="","",IF($B$7="Menor valor",($E$4/$A$4)*($B8/W8),IF(W8&lt;=$B8,($E$4/$A$4)*(1-(($B8-W8)/$B8)),($E$4*60%/$A$4)*(1-2*((ABS($B8-W8))/$B8)))))</f>
        <v/>
      </c>
      <c r="Y8" s="131"/>
      <c r="Z8" s="132" t="str">
        <f>IF(Y8="","",IF($B$7="Menor valor",($E$4/$A$4)*($B8/Y8),IF(Y8&lt;=$B8,($E$4/$A$4)*(1-(($B8-Y8)/$B8)),($E$4*60%/$A$4)*(1-2*((ABS($B8-Y8))/$B8)))))</f>
        <v/>
      </c>
      <c r="AA8" s="129">
        <v>1</v>
      </c>
      <c r="AB8" s="200"/>
    </row>
    <row r="9" spans="1:28" s="129" customFormat="1" ht="21" customHeight="1">
      <c r="A9" s="204" t="str">
        <f>+'Presupuesto Consolidado'!A13</f>
        <v>1.1.2</v>
      </c>
      <c r="B9" s="130">
        <f t="shared" si="0"/>
        <v>75000</v>
      </c>
      <c r="C9" s="131">
        <f>IF($C$7="Habilitado",ROUND('Presupuesto Consolidado'!E13,2),"")</f>
        <v>75000</v>
      </c>
      <c r="D9" s="132">
        <f t="shared" ref="D9:F72" si="1">IF(C9="","",IF($B$7="Menor valor",($E$4/$A$4)*($B9/C9),IF(C9&lt;=$B9,($E$4/$A$4)*(1-(($B9-C9)/$B9)),($E$4*60%/$A$4)*(1-2*((ABS($B9-C9))/$B9)))))</f>
        <v>0.78125</v>
      </c>
      <c r="E9" s="131" t="str">
        <f>IF($E$7="Habilitado",ROUND('Presupuesto Consolidado'!L13,2),"")</f>
        <v/>
      </c>
      <c r="F9" s="132" t="str">
        <f t="shared" si="1"/>
        <v/>
      </c>
      <c r="G9" s="131"/>
      <c r="H9" s="132" t="str">
        <f t="shared" ref="H9" si="2">IF(G9="","",IF($B$7="Menor valor",($E$4/$A$4)*($B9/G9),IF(G9&lt;=$B9,($E$4/$A$4)*(1-(($B9-G9)/$B9)),($E$4*60%/$A$4)*(1-2*((ABS($B9-G9))/$B9)))))</f>
        <v/>
      </c>
      <c r="I9" s="131"/>
      <c r="J9" s="132" t="str">
        <f t="shared" ref="J9" si="3">IF(I9="","",IF($B$7="Menor valor",($E$4/$A$4)*($B9/I9),IF(I9&lt;=$B9,($E$4/$A$4)*(1-(($B9-I9)/$B9)),($E$4*60%/$A$4)*(1-2*((ABS($B9-I9))/$B9)))))</f>
        <v/>
      </c>
      <c r="K9" s="131"/>
      <c r="L9" s="132" t="str">
        <f t="shared" ref="L9" si="4">IF(K9="","",IF($B$7="Menor valor",($E$4/$A$4)*($B9/K9),IF(K9&lt;=$B9,($E$4/$A$4)*(1-(($B9-K9)/$B9)),($E$4*60%/$A$4)*(1-2*((ABS($B9-K9))/$B9)))))</f>
        <v/>
      </c>
      <c r="M9" s="131"/>
      <c r="N9" s="132" t="str">
        <f t="shared" ref="N9" si="5">IF(M9="","",IF($B$7="Menor valor",($E$4/$A$4)*($B9/M9),IF(M9&lt;=$B9,($E$4/$A$4)*(1-(($B9-M9)/$B9)),($E$4*60%/$A$4)*(1-2*((ABS($B9-M9))/$B9)))))</f>
        <v/>
      </c>
      <c r="O9" s="131"/>
      <c r="P9" s="132" t="str">
        <f t="shared" ref="P9" si="6">IF(O9="","",IF($B$7="Menor valor",($E$4/$A$4)*($B9/O9),IF(O9&lt;=$B9,($E$4/$A$4)*(1-(($B9-O9)/$B9)),($E$4*60%/$A$4)*(1-2*((ABS($B9-O9))/$B9)))))</f>
        <v/>
      </c>
      <c r="Q9" s="131"/>
      <c r="R9" s="132" t="str">
        <f t="shared" ref="R9" si="7">IF(Q9="","",IF($B$7="Menor valor",($E$4/$A$4)*($B9/Q9),IF(Q9&lt;=$B9,($E$4/$A$4)*(1-(($B9-Q9)/$B9)),($E$4*60%/$A$4)*(1-2*((ABS($B9-Q9))/$B9)))))</f>
        <v/>
      </c>
      <c r="S9" s="131"/>
      <c r="T9" s="132" t="str">
        <f t="shared" ref="T9" si="8">IF(S9="","",IF($B$7="Menor valor",($E$4/$A$4)*($B9/S9),IF(S9&lt;=$B9,($E$4/$A$4)*(1-(($B9-S9)/$B9)),($E$4*60%/$A$4)*(1-2*((ABS($B9-S9))/$B9)))))</f>
        <v/>
      </c>
      <c r="U9" s="131"/>
      <c r="V9" s="132" t="str">
        <f t="shared" ref="V9" si="9">IF(U9="","",IF($B$7="Menor valor",($E$4/$A$4)*($B9/U9),IF(U9&lt;=$B9,($E$4/$A$4)*(1-(($B9-U9)/$B9)),($E$4*60%/$A$4)*(1-2*((ABS($B9-U9))/$B9)))))</f>
        <v/>
      </c>
      <c r="W9" s="131"/>
      <c r="X9" s="132" t="str">
        <f t="shared" ref="X9" si="10">IF(W9="","",IF($B$7="Menor valor",($E$4/$A$4)*($B9/W9),IF(W9&lt;=$B9,($E$4/$A$4)*(1-(($B9-W9)/$B9)),($E$4*60%/$A$4)*(1-2*((ABS($B9-W9))/$B9)))))</f>
        <v/>
      </c>
      <c r="Y9" s="131"/>
      <c r="Z9" s="132" t="str">
        <f t="shared" ref="Z9" si="11">IF(Y9="","",IF($B$7="Menor valor",($E$4/$A$4)*($B9/Y9),IF(Y9&lt;=$B9,($E$4/$A$4)*(1-(($B9-Y9)/$B9)),($E$4*60%/$A$4)*(1-2*((ABS($B9-Y9))/$B9)))))</f>
        <v/>
      </c>
      <c r="AA9" s="129">
        <v>1</v>
      </c>
      <c r="AB9" s="201"/>
    </row>
    <row r="10" spans="1:28" s="129" customFormat="1" ht="21" customHeight="1">
      <c r="A10" s="204" t="str">
        <f>+'Presupuesto Consolidado'!A14</f>
        <v>1.1.3</v>
      </c>
      <c r="B10" s="130">
        <f t="shared" si="0"/>
        <v>80000</v>
      </c>
      <c r="C10" s="131">
        <f>IF($C$7="Habilitado",ROUND('Presupuesto Consolidado'!E14,2),"")</f>
        <v>80000</v>
      </c>
      <c r="D10" s="132">
        <f t="shared" si="1"/>
        <v>0.78125</v>
      </c>
      <c r="E10" s="131" t="str">
        <f>IF($E$7="Habilitado",ROUND('Presupuesto Consolidado'!L14,2),"")</f>
        <v/>
      </c>
      <c r="F10" s="132" t="str">
        <f t="shared" si="1"/>
        <v/>
      </c>
      <c r="G10" s="131"/>
      <c r="H10" s="132" t="str">
        <f t="shared" ref="H10" si="12">IF(G10="","",IF($B$7="Menor valor",($E$4/$A$4)*($B10/G10),IF(G10&lt;=$B10,($E$4/$A$4)*(1-(($B10-G10)/$B10)),($E$4*60%/$A$4)*(1-2*((ABS($B10-G10))/$B10)))))</f>
        <v/>
      </c>
      <c r="I10" s="131"/>
      <c r="J10" s="132" t="str">
        <f t="shared" ref="J10" si="13">IF(I10="","",IF($B$7="Menor valor",($E$4/$A$4)*($B10/I10),IF(I10&lt;=$B10,($E$4/$A$4)*(1-(($B10-I10)/$B10)),($E$4*60%/$A$4)*(1-2*((ABS($B10-I10))/$B10)))))</f>
        <v/>
      </c>
      <c r="K10" s="131"/>
      <c r="L10" s="132" t="str">
        <f t="shared" ref="L10" si="14">IF(K10="","",IF($B$7="Menor valor",($E$4/$A$4)*($B10/K10),IF(K10&lt;=$B10,($E$4/$A$4)*(1-(($B10-K10)/$B10)),($E$4*60%/$A$4)*(1-2*((ABS($B10-K10))/$B10)))))</f>
        <v/>
      </c>
      <c r="M10" s="131"/>
      <c r="N10" s="132" t="str">
        <f t="shared" ref="N10" si="15">IF(M10="","",IF($B$7="Menor valor",($E$4/$A$4)*($B10/M10),IF(M10&lt;=$B10,($E$4/$A$4)*(1-(($B10-M10)/$B10)),($E$4*60%/$A$4)*(1-2*((ABS($B10-M10))/$B10)))))</f>
        <v/>
      </c>
      <c r="O10" s="131"/>
      <c r="P10" s="132" t="str">
        <f t="shared" ref="P10" si="16">IF(O10="","",IF($B$7="Menor valor",($E$4/$A$4)*($B10/O10),IF(O10&lt;=$B10,($E$4/$A$4)*(1-(($B10-O10)/$B10)),($E$4*60%/$A$4)*(1-2*((ABS($B10-O10))/$B10)))))</f>
        <v/>
      </c>
      <c r="Q10" s="131"/>
      <c r="R10" s="132" t="str">
        <f t="shared" ref="R10" si="17">IF(Q10="","",IF($B$7="Menor valor",($E$4/$A$4)*($B10/Q10),IF(Q10&lt;=$B10,($E$4/$A$4)*(1-(($B10-Q10)/$B10)),($E$4*60%/$A$4)*(1-2*((ABS($B10-Q10))/$B10)))))</f>
        <v/>
      </c>
      <c r="S10" s="131"/>
      <c r="T10" s="132" t="str">
        <f t="shared" ref="T10" si="18">IF(S10="","",IF($B$7="Menor valor",($E$4/$A$4)*($B10/S10),IF(S10&lt;=$B10,($E$4/$A$4)*(1-(($B10-S10)/$B10)),($E$4*60%/$A$4)*(1-2*((ABS($B10-S10))/$B10)))))</f>
        <v/>
      </c>
      <c r="U10" s="131"/>
      <c r="V10" s="132" t="str">
        <f t="shared" ref="V10" si="19">IF(U10="","",IF($B$7="Menor valor",($E$4/$A$4)*($B10/U10),IF(U10&lt;=$B10,($E$4/$A$4)*(1-(($B10-U10)/$B10)),($E$4*60%/$A$4)*(1-2*((ABS($B10-U10))/$B10)))))</f>
        <v/>
      </c>
      <c r="W10" s="131"/>
      <c r="X10" s="132" t="str">
        <f t="shared" ref="X10" si="20">IF(W10="","",IF($B$7="Menor valor",($E$4/$A$4)*($B10/W10),IF(W10&lt;=$B10,($E$4/$A$4)*(1-(($B10-W10)/$B10)),($E$4*60%/$A$4)*(1-2*((ABS($B10-W10))/$B10)))))</f>
        <v/>
      </c>
      <c r="Y10" s="131"/>
      <c r="Z10" s="132" t="str">
        <f t="shared" ref="Z10" si="21">IF(Y10="","",IF($B$7="Menor valor",($E$4/$A$4)*($B10/Y10),IF(Y10&lt;=$B10,($E$4/$A$4)*(1-(($B10-Y10)/$B10)),($E$4*60%/$A$4)*(1-2*((ABS($B10-Y10))/$B10)))))</f>
        <v/>
      </c>
      <c r="AA10" s="129">
        <v>1</v>
      </c>
    </row>
    <row r="11" spans="1:28" s="129" customFormat="1" ht="21" customHeight="1">
      <c r="A11" s="204" t="str">
        <f>+'Presupuesto Consolidado'!A16</f>
        <v>1.2.1</v>
      </c>
      <c r="B11" s="130">
        <f t="shared" si="0"/>
        <v>80000</v>
      </c>
      <c r="C11" s="131">
        <f>IF($C$7="Habilitado",ROUND('Presupuesto Consolidado'!E16,2),"")</f>
        <v>80000</v>
      </c>
      <c r="D11" s="132">
        <f t="shared" si="1"/>
        <v>0.78125</v>
      </c>
      <c r="E11" s="131" t="str">
        <f>IF($E$7="Habilitado",ROUND('Presupuesto Consolidado'!L16,2),"")</f>
        <v/>
      </c>
      <c r="F11" s="132" t="str">
        <f t="shared" si="1"/>
        <v/>
      </c>
      <c r="G11" s="131"/>
      <c r="H11" s="132" t="str">
        <f t="shared" ref="H11" si="22">IF(G11="","",IF($B$7="Menor valor",($E$4/$A$4)*($B11/G11),IF(G11&lt;=$B11,($E$4/$A$4)*(1-(($B11-G11)/$B11)),($E$4*60%/$A$4)*(1-2*((ABS($B11-G11))/$B11)))))</f>
        <v/>
      </c>
      <c r="I11" s="131"/>
      <c r="J11" s="132" t="str">
        <f t="shared" ref="J11" si="23">IF(I11="","",IF($B$7="Menor valor",($E$4/$A$4)*($B11/I11),IF(I11&lt;=$B11,($E$4/$A$4)*(1-(($B11-I11)/$B11)),($E$4*60%/$A$4)*(1-2*((ABS($B11-I11))/$B11)))))</f>
        <v/>
      </c>
      <c r="K11" s="131"/>
      <c r="L11" s="132" t="str">
        <f t="shared" ref="L11" si="24">IF(K11="","",IF($B$7="Menor valor",($E$4/$A$4)*($B11/K11),IF(K11&lt;=$B11,($E$4/$A$4)*(1-(($B11-K11)/$B11)),($E$4*60%/$A$4)*(1-2*((ABS($B11-K11))/$B11)))))</f>
        <v/>
      </c>
      <c r="M11" s="131"/>
      <c r="N11" s="132" t="str">
        <f t="shared" ref="N11" si="25">IF(M11="","",IF($B$7="Menor valor",($E$4/$A$4)*($B11/M11),IF(M11&lt;=$B11,($E$4/$A$4)*(1-(($B11-M11)/$B11)),($E$4*60%/$A$4)*(1-2*((ABS($B11-M11))/$B11)))))</f>
        <v/>
      </c>
      <c r="O11" s="131"/>
      <c r="P11" s="132" t="str">
        <f t="shared" ref="P11" si="26">IF(O11="","",IF($B$7="Menor valor",($E$4/$A$4)*($B11/O11),IF(O11&lt;=$B11,($E$4/$A$4)*(1-(($B11-O11)/$B11)),($E$4*60%/$A$4)*(1-2*((ABS($B11-O11))/$B11)))))</f>
        <v/>
      </c>
      <c r="Q11" s="131"/>
      <c r="R11" s="132" t="str">
        <f t="shared" ref="R11" si="27">IF(Q11="","",IF($B$7="Menor valor",($E$4/$A$4)*($B11/Q11),IF(Q11&lt;=$B11,($E$4/$A$4)*(1-(($B11-Q11)/$B11)),($E$4*60%/$A$4)*(1-2*((ABS($B11-Q11))/$B11)))))</f>
        <v/>
      </c>
      <c r="S11" s="131"/>
      <c r="T11" s="132" t="str">
        <f t="shared" ref="T11" si="28">IF(S11="","",IF($B$7="Menor valor",($E$4/$A$4)*($B11/S11),IF(S11&lt;=$B11,($E$4/$A$4)*(1-(($B11-S11)/$B11)),($E$4*60%/$A$4)*(1-2*((ABS($B11-S11))/$B11)))))</f>
        <v/>
      </c>
      <c r="U11" s="131"/>
      <c r="V11" s="132" t="str">
        <f t="shared" ref="V11" si="29">IF(U11="","",IF($B$7="Menor valor",($E$4/$A$4)*($B11/U11),IF(U11&lt;=$B11,($E$4/$A$4)*(1-(($B11-U11)/$B11)),($E$4*60%/$A$4)*(1-2*((ABS($B11-U11))/$B11)))))</f>
        <v/>
      </c>
      <c r="W11" s="131"/>
      <c r="X11" s="132" t="str">
        <f t="shared" ref="X11" si="30">IF(W11="","",IF($B$7="Menor valor",($E$4/$A$4)*($B11/W11),IF(W11&lt;=$B11,($E$4/$A$4)*(1-(($B11-W11)/$B11)),($E$4*60%/$A$4)*(1-2*((ABS($B11-W11))/$B11)))))</f>
        <v/>
      </c>
      <c r="Y11" s="131"/>
      <c r="Z11" s="132" t="str">
        <f t="shared" ref="Z11" si="31">IF(Y11="","",IF($B$7="Menor valor",($E$4/$A$4)*($B11/Y11),IF(Y11&lt;=$B11,($E$4/$A$4)*(1-(($B11-Y11)/$B11)),($E$4*60%/$A$4)*(1-2*((ABS($B11-Y11))/$B11)))))</f>
        <v/>
      </c>
      <c r="AA11" s="129">
        <v>1</v>
      </c>
    </row>
    <row r="12" spans="1:28" s="129" customFormat="1" ht="21" customHeight="1">
      <c r="A12" s="204" t="str">
        <f>+'Presupuesto Consolidado'!A18</f>
        <v>1.3.1</v>
      </c>
      <c r="B12" s="130">
        <f t="shared" si="0"/>
        <v>45000</v>
      </c>
      <c r="C12" s="131">
        <f>IF($C$7="Habilitado",ROUND('Presupuesto Consolidado'!E18,2),"")</f>
        <v>45000</v>
      </c>
      <c r="D12" s="132">
        <f t="shared" si="1"/>
        <v>0.78125</v>
      </c>
      <c r="E12" s="131" t="str">
        <f>IF($E$7="Habilitado",ROUND('Presupuesto Consolidado'!L18,2),"")</f>
        <v/>
      </c>
      <c r="F12" s="132" t="str">
        <f t="shared" si="1"/>
        <v/>
      </c>
      <c r="G12" s="131"/>
      <c r="H12" s="132" t="str">
        <f t="shared" ref="H12" si="32">IF(G12="","",IF($B$7="Menor valor",($E$4/$A$4)*($B12/G12),IF(G12&lt;=$B12,($E$4/$A$4)*(1-(($B12-G12)/$B12)),($E$4*60%/$A$4)*(1-2*((ABS($B12-G12))/$B12)))))</f>
        <v/>
      </c>
      <c r="I12" s="131"/>
      <c r="J12" s="132" t="str">
        <f t="shared" ref="J12" si="33">IF(I12="","",IF($B$7="Menor valor",($E$4/$A$4)*($B12/I12),IF(I12&lt;=$B12,($E$4/$A$4)*(1-(($B12-I12)/$B12)),($E$4*60%/$A$4)*(1-2*((ABS($B12-I12))/$B12)))))</f>
        <v/>
      </c>
      <c r="K12" s="131"/>
      <c r="L12" s="132" t="str">
        <f t="shared" ref="L12" si="34">IF(K12="","",IF($B$7="Menor valor",($E$4/$A$4)*($B12/K12),IF(K12&lt;=$B12,($E$4/$A$4)*(1-(($B12-K12)/$B12)),($E$4*60%/$A$4)*(1-2*((ABS($B12-K12))/$B12)))))</f>
        <v/>
      </c>
      <c r="M12" s="131"/>
      <c r="N12" s="132" t="str">
        <f t="shared" ref="N12" si="35">IF(M12="","",IF($B$7="Menor valor",($E$4/$A$4)*($B12/M12),IF(M12&lt;=$B12,($E$4/$A$4)*(1-(($B12-M12)/$B12)),($E$4*60%/$A$4)*(1-2*((ABS($B12-M12))/$B12)))))</f>
        <v/>
      </c>
      <c r="O12" s="131"/>
      <c r="P12" s="132" t="str">
        <f t="shared" ref="P12" si="36">IF(O12="","",IF($B$7="Menor valor",($E$4/$A$4)*($B12/O12),IF(O12&lt;=$B12,($E$4/$A$4)*(1-(($B12-O12)/$B12)),($E$4*60%/$A$4)*(1-2*((ABS($B12-O12))/$B12)))))</f>
        <v/>
      </c>
      <c r="Q12" s="131"/>
      <c r="R12" s="132" t="str">
        <f t="shared" ref="R12" si="37">IF(Q12="","",IF($B$7="Menor valor",($E$4/$A$4)*($B12/Q12),IF(Q12&lt;=$B12,($E$4/$A$4)*(1-(($B12-Q12)/$B12)),($E$4*60%/$A$4)*(1-2*((ABS($B12-Q12))/$B12)))))</f>
        <v/>
      </c>
      <c r="S12" s="131"/>
      <c r="T12" s="132" t="str">
        <f t="shared" ref="T12" si="38">IF(S12="","",IF($B$7="Menor valor",($E$4/$A$4)*($B12/S12),IF(S12&lt;=$B12,($E$4/$A$4)*(1-(($B12-S12)/$B12)),($E$4*60%/$A$4)*(1-2*((ABS($B12-S12))/$B12)))))</f>
        <v/>
      </c>
      <c r="U12" s="131"/>
      <c r="V12" s="132" t="str">
        <f t="shared" ref="V12" si="39">IF(U12="","",IF($B$7="Menor valor",($E$4/$A$4)*($B12/U12),IF(U12&lt;=$B12,($E$4/$A$4)*(1-(($B12-U12)/$B12)),($E$4*60%/$A$4)*(1-2*((ABS($B12-U12))/$B12)))))</f>
        <v/>
      </c>
      <c r="W12" s="131"/>
      <c r="X12" s="132" t="str">
        <f t="shared" ref="X12" si="40">IF(W12="","",IF($B$7="Menor valor",($E$4/$A$4)*($B12/W12),IF(W12&lt;=$B12,($E$4/$A$4)*(1-(($B12-W12)/$B12)),($E$4*60%/$A$4)*(1-2*((ABS($B12-W12))/$B12)))))</f>
        <v/>
      </c>
      <c r="Y12" s="131"/>
      <c r="Z12" s="132" t="str">
        <f t="shared" ref="Z12" si="41">IF(Y12="","",IF($B$7="Menor valor",($E$4/$A$4)*($B12/Y12),IF(Y12&lt;=$B12,($E$4/$A$4)*(1-(($B12-Y12)/$B12)),($E$4*60%/$A$4)*(1-2*((ABS($B12-Y12))/$B12)))))</f>
        <v/>
      </c>
      <c r="AA12" s="129">
        <v>1</v>
      </c>
    </row>
    <row r="13" spans="1:28" s="129" customFormat="1" ht="21" customHeight="1">
      <c r="A13" s="204" t="str">
        <f>+'Presupuesto Consolidado'!A19</f>
        <v>1.3.2</v>
      </c>
      <c r="B13" s="130">
        <f t="shared" si="0"/>
        <v>180000</v>
      </c>
      <c r="C13" s="131">
        <f>IF($C$7="Habilitado",ROUND('Presupuesto Consolidado'!E19,2),"")</f>
        <v>180000</v>
      </c>
      <c r="D13" s="132">
        <f t="shared" si="1"/>
        <v>0.78125</v>
      </c>
      <c r="E13" s="131" t="str">
        <f>IF($E$7="Habilitado",ROUND('Presupuesto Consolidado'!L19,2),"")</f>
        <v/>
      </c>
      <c r="F13" s="132" t="str">
        <f t="shared" si="1"/>
        <v/>
      </c>
      <c r="G13" s="131"/>
      <c r="H13" s="132" t="str">
        <f t="shared" ref="H13" si="42">IF(G13="","",IF($B$7="Menor valor",($E$4/$A$4)*($B13/G13),IF(G13&lt;=$B13,($E$4/$A$4)*(1-(($B13-G13)/$B13)),($E$4*60%/$A$4)*(1-2*((ABS($B13-G13))/$B13)))))</f>
        <v/>
      </c>
      <c r="I13" s="131"/>
      <c r="J13" s="132" t="str">
        <f t="shared" ref="J13" si="43">IF(I13="","",IF($B$7="Menor valor",($E$4/$A$4)*($B13/I13),IF(I13&lt;=$B13,($E$4/$A$4)*(1-(($B13-I13)/$B13)),($E$4*60%/$A$4)*(1-2*((ABS($B13-I13))/$B13)))))</f>
        <v/>
      </c>
      <c r="K13" s="131"/>
      <c r="L13" s="132" t="str">
        <f t="shared" ref="L13" si="44">IF(K13="","",IF($B$7="Menor valor",($E$4/$A$4)*($B13/K13),IF(K13&lt;=$B13,($E$4/$A$4)*(1-(($B13-K13)/$B13)),($E$4*60%/$A$4)*(1-2*((ABS($B13-K13))/$B13)))))</f>
        <v/>
      </c>
      <c r="M13" s="131"/>
      <c r="N13" s="132" t="str">
        <f t="shared" ref="N13" si="45">IF(M13="","",IF($B$7="Menor valor",($E$4/$A$4)*($B13/M13),IF(M13&lt;=$B13,($E$4/$A$4)*(1-(($B13-M13)/$B13)),($E$4*60%/$A$4)*(1-2*((ABS($B13-M13))/$B13)))))</f>
        <v/>
      </c>
      <c r="O13" s="131"/>
      <c r="P13" s="132" t="str">
        <f t="shared" ref="P13" si="46">IF(O13="","",IF($B$7="Menor valor",($E$4/$A$4)*($B13/O13),IF(O13&lt;=$B13,($E$4/$A$4)*(1-(($B13-O13)/$B13)),($E$4*60%/$A$4)*(1-2*((ABS($B13-O13))/$B13)))))</f>
        <v/>
      </c>
      <c r="Q13" s="131"/>
      <c r="R13" s="132" t="str">
        <f t="shared" ref="R13" si="47">IF(Q13="","",IF($B$7="Menor valor",($E$4/$A$4)*($B13/Q13),IF(Q13&lt;=$B13,($E$4/$A$4)*(1-(($B13-Q13)/$B13)),($E$4*60%/$A$4)*(1-2*((ABS($B13-Q13))/$B13)))))</f>
        <v/>
      </c>
      <c r="S13" s="131"/>
      <c r="T13" s="132" t="str">
        <f t="shared" ref="T13" si="48">IF(S13="","",IF($B$7="Menor valor",($E$4/$A$4)*($B13/S13),IF(S13&lt;=$B13,($E$4/$A$4)*(1-(($B13-S13)/$B13)),($E$4*60%/$A$4)*(1-2*((ABS($B13-S13))/$B13)))))</f>
        <v/>
      </c>
      <c r="U13" s="131"/>
      <c r="V13" s="132" t="str">
        <f t="shared" ref="V13" si="49">IF(U13="","",IF($B$7="Menor valor",($E$4/$A$4)*($B13/U13),IF(U13&lt;=$B13,($E$4/$A$4)*(1-(($B13-U13)/$B13)),($E$4*60%/$A$4)*(1-2*((ABS($B13-U13))/$B13)))))</f>
        <v/>
      </c>
      <c r="W13" s="131"/>
      <c r="X13" s="132" t="str">
        <f t="shared" ref="X13" si="50">IF(W13="","",IF($B$7="Menor valor",($E$4/$A$4)*($B13/W13),IF(W13&lt;=$B13,($E$4/$A$4)*(1-(($B13-W13)/$B13)),($E$4*60%/$A$4)*(1-2*((ABS($B13-W13))/$B13)))))</f>
        <v/>
      </c>
      <c r="Y13" s="131"/>
      <c r="Z13" s="132" t="str">
        <f t="shared" ref="Z13" si="51">IF(Y13="","",IF($B$7="Menor valor",($E$4/$A$4)*($B13/Y13),IF(Y13&lt;=$B13,($E$4/$A$4)*(1-(($B13-Y13)/$B13)),($E$4*60%/$A$4)*(1-2*((ABS($B13-Y13))/$B13)))))</f>
        <v/>
      </c>
      <c r="AA13" s="129">
        <v>1</v>
      </c>
    </row>
    <row r="14" spans="1:28" s="129" customFormat="1" ht="21" customHeight="1">
      <c r="A14" s="204" t="str">
        <f>+'Presupuesto Consolidado'!A21</f>
        <v>1.4.1</v>
      </c>
      <c r="B14" s="130">
        <f t="shared" si="0"/>
        <v>160000</v>
      </c>
      <c r="C14" s="131">
        <f>IF($C$7="Habilitado",ROUND('Presupuesto Consolidado'!E21,2),"")</f>
        <v>160000</v>
      </c>
      <c r="D14" s="132">
        <f t="shared" si="1"/>
        <v>0.78125</v>
      </c>
      <c r="E14" s="131" t="str">
        <f>IF($E$7="Habilitado",ROUND('Presupuesto Consolidado'!L21,2),"")</f>
        <v/>
      </c>
      <c r="F14" s="132" t="str">
        <f t="shared" si="1"/>
        <v/>
      </c>
      <c r="G14" s="131"/>
      <c r="H14" s="132" t="str">
        <f t="shared" ref="H14" si="52">IF(G14="","",IF($B$7="Menor valor",($E$4/$A$4)*($B14/G14),IF(G14&lt;=$B14,($E$4/$A$4)*(1-(($B14-G14)/$B14)),($E$4*60%/$A$4)*(1-2*((ABS($B14-G14))/$B14)))))</f>
        <v/>
      </c>
      <c r="I14" s="131"/>
      <c r="J14" s="132" t="str">
        <f t="shared" ref="J14" si="53">IF(I14="","",IF($B$7="Menor valor",($E$4/$A$4)*($B14/I14),IF(I14&lt;=$B14,($E$4/$A$4)*(1-(($B14-I14)/$B14)),($E$4*60%/$A$4)*(1-2*((ABS($B14-I14))/$B14)))))</f>
        <v/>
      </c>
      <c r="K14" s="131"/>
      <c r="L14" s="132" t="str">
        <f t="shared" ref="L14" si="54">IF(K14="","",IF($B$7="Menor valor",($E$4/$A$4)*($B14/K14),IF(K14&lt;=$B14,($E$4/$A$4)*(1-(($B14-K14)/$B14)),($E$4*60%/$A$4)*(1-2*((ABS($B14-K14))/$B14)))))</f>
        <v/>
      </c>
      <c r="M14" s="131"/>
      <c r="N14" s="132" t="str">
        <f t="shared" ref="N14" si="55">IF(M14="","",IF($B$7="Menor valor",($E$4/$A$4)*($B14/M14),IF(M14&lt;=$B14,($E$4/$A$4)*(1-(($B14-M14)/$B14)),($E$4*60%/$A$4)*(1-2*((ABS($B14-M14))/$B14)))))</f>
        <v/>
      </c>
      <c r="O14" s="131"/>
      <c r="P14" s="132" t="str">
        <f t="shared" ref="P14" si="56">IF(O14="","",IF($B$7="Menor valor",($E$4/$A$4)*($B14/O14),IF(O14&lt;=$B14,($E$4/$A$4)*(1-(($B14-O14)/$B14)),($E$4*60%/$A$4)*(1-2*((ABS($B14-O14))/$B14)))))</f>
        <v/>
      </c>
      <c r="Q14" s="131"/>
      <c r="R14" s="132" t="str">
        <f t="shared" ref="R14" si="57">IF(Q14="","",IF($B$7="Menor valor",($E$4/$A$4)*($B14/Q14),IF(Q14&lt;=$B14,($E$4/$A$4)*(1-(($B14-Q14)/$B14)),($E$4*60%/$A$4)*(1-2*((ABS($B14-Q14))/$B14)))))</f>
        <v/>
      </c>
      <c r="S14" s="131"/>
      <c r="T14" s="132" t="str">
        <f t="shared" ref="T14" si="58">IF(S14="","",IF($B$7="Menor valor",($E$4/$A$4)*($B14/S14),IF(S14&lt;=$B14,($E$4/$A$4)*(1-(($B14-S14)/$B14)),($E$4*60%/$A$4)*(1-2*((ABS($B14-S14))/$B14)))))</f>
        <v/>
      </c>
      <c r="U14" s="131"/>
      <c r="V14" s="132" t="str">
        <f t="shared" ref="V14" si="59">IF(U14="","",IF($B$7="Menor valor",($E$4/$A$4)*($B14/U14),IF(U14&lt;=$B14,($E$4/$A$4)*(1-(($B14-U14)/$B14)),($E$4*60%/$A$4)*(1-2*((ABS($B14-U14))/$B14)))))</f>
        <v/>
      </c>
      <c r="W14" s="131"/>
      <c r="X14" s="132" t="str">
        <f t="shared" ref="X14" si="60">IF(W14="","",IF($B$7="Menor valor",($E$4/$A$4)*($B14/W14),IF(W14&lt;=$B14,($E$4/$A$4)*(1-(($B14-W14)/$B14)),($E$4*60%/$A$4)*(1-2*((ABS($B14-W14))/$B14)))))</f>
        <v/>
      </c>
      <c r="Y14" s="131"/>
      <c r="Z14" s="132" t="str">
        <f t="shared" ref="Z14" si="61">IF(Y14="","",IF($B$7="Menor valor",($E$4/$A$4)*($B14/Y14),IF(Y14&lt;=$B14,($E$4/$A$4)*(1-(($B14-Y14)/$B14)),($E$4*60%/$A$4)*(1-2*((ABS($B14-Y14))/$B14)))))</f>
        <v/>
      </c>
      <c r="AA14" s="129">
        <v>1</v>
      </c>
    </row>
    <row r="15" spans="1:28" s="129" customFormat="1" ht="21" customHeight="1">
      <c r="A15" s="204" t="str">
        <f>+'Presupuesto Consolidado'!A22</f>
        <v>1.4.2</v>
      </c>
      <c r="B15" s="130">
        <f t="shared" si="0"/>
        <v>200000</v>
      </c>
      <c r="C15" s="131">
        <f>IF($C$7="Habilitado",ROUND('Presupuesto Consolidado'!E22,2),"")</f>
        <v>200000</v>
      </c>
      <c r="D15" s="132">
        <f t="shared" si="1"/>
        <v>0.78125</v>
      </c>
      <c r="E15" s="131" t="str">
        <f>IF($E$7="Habilitado",ROUND('Presupuesto Consolidado'!L22,2),"")</f>
        <v/>
      </c>
      <c r="F15" s="132" t="str">
        <f t="shared" si="1"/>
        <v/>
      </c>
      <c r="G15" s="131"/>
      <c r="H15" s="132" t="str">
        <f t="shared" ref="H15" si="62">IF(G15="","",IF($B$7="Menor valor",($E$4/$A$4)*($B15/G15),IF(G15&lt;=$B15,($E$4/$A$4)*(1-(($B15-G15)/$B15)),($E$4*60%/$A$4)*(1-2*((ABS($B15-G15))/$B15)))))</f>
        <v/>
      </c>
      <c r="I15" s="131"/>
      <c r="J15" s="132" t="str">
        <f t="shared" ref="J15" si="63">IF(I15="","",IF($B$7="Menor valor",($E$4/$A$4)*($B15/I15),IF(I15&lt;=$B15,($E$4/$A$4)*(1-(($B15-I15)/$B15)),($E$4*60%/$A$4)*(1-2*((ABS($B15-I15))/$B15)))))</f>
        <v/>
      </c>
      <c r="K15" s="131"/>
      <c r="L15" s="132" t="str">
        <f t="shared" ref="L15" si="64">IF(K15="","",IF($B$7="Menor valor",($E$4/$A$4)*($B15/K15),IF(K15&lt;=$B15,($E$4/$A$4)*(1-(($B15-K15)/$B15)),($E$4*60%/$A$4)*(1-2*((ABS($B15-K15))/$B15)))))</f>
        <v/>
      </c>
      <c r="M15" s="131"/>
      <c r="N15" s="132" t="str">
        <f t="shared" ref="N15" si="65">IF(M15="","",IF($B$7="Menor valor",($E$4/$A$4)*($B15/M15),IF(M15&lt;=$B15,($E$4/$A$4)*(1-(($B15-M15)/$B15)),($E$4*60%/$A$4)*(1-2*((ABS($B15-M15))/$B15)))))</f>
        <v/>
      </c>
      <c r="O15" s="131"/>
      <c r="P15" s="132" t="str">
        <f t="shared" ref="P15" si="66">IF(O15="","",IF($B$7="Menor valor",($E$4/$A$4)*($B15/O15),IF(O15&lt;=$B15,($E$4/$A$4)*(1-(($B15-O15)/$B15)),($E$4*60%/$A$4)*(1-2*((ABS($B15-O15))/$B15)))))</f>
        <v/>
      </c>
      <c r="Q15" s="131"/>
      <c r="R15" s="132" t="str">
        <f t="shared" ref="R15" si="67">IF(Q15="","",IF($B$7="Menor valor",($E$4/$A$4)*($B15/Q15),IF(Q15&lt;=$B15,($E$4/$A$4)*(1-(($B15-Q15)/$B15)),($E$4*60%/$A$4)*(1-2*((ABS($B15-Q15))/$B15)))))</f>
        <v/>
      </c>
      <c r="S15" s="131"/>
      <c r="T15" s="132" t="str">
        <f t="shared" ref="T15" si="68">IF(S15="","",IF($B$7="Menor valor",($E$4/$A$4)*($B15/S15),IF(S15&lt;=$B15,($E$4/$A$4)*(1-(($B15-S15)/$B15)),($E$4*60%/$A$4)*(1-2*((ABS($B15-S15))/$B15)))))</f>
        <v/>
      </c>
      <c r="U15" s="131"/>
      <c r="V15" s="132" t="str">
        <f t="shared" ref="V15" si="69">IF(U15="","",IF($B$7="Menor valor",($E$4/$A$4)*($B15/U15),IF(U15&lt;=$B15,($E$4/$A$4)*(1-(($B15-U15)/$B15)),($E$4*60%/$A$4)*(1-2*((ABS($B15-U15))/$B15)))))</f>
        <v/>
      </c>
      <c r="W15" s="131"/>
      <c r="X15" s="132" t="str">
        <f t="shared" ref="X15" si="70">IF(W15="","",IF($B$7="Menor valor",($E$4/$A$4)*($B15/W15),IF(W15&lt;=$B15,($E$4/$A$4)*(1-(($B15-W15)/$B15)),($E$4*60%/$A$4)*(1-2*((ABS($B15-W15))/$B15)))))</f>
        <v/>
      </c>
      <c r="Y15" s="131"/>
      <c r="Z15" s="132" t="str">
        <f t="shared" ref="Z15" si="71">IF(Y15="","",IF($B$7="Menor valor",($E$4/$A$4)*($B15/Y15),IF(Y15&lt;=$B15,($E$4/$A$4)*(1-(($B15-Y15)/$B15)),($E$4*60%/$A$4)*(1-2*((ABS($B15-Y15))/$B15)))))</f>
        <v/>
      </c>
      <c r="AA15" s="129">
        <v>1</v>
      </c>
    </row>
    <row r="16" spans="1:28" s="129" customFormat="1" ht="21" customHeight="1">
      <c r="A16" s="204" t="str">
        <f>+'Presupuesto Consolidado'!A23</f>
        <v>1.4.3</v>
      </c>
      <c r="B16" s="130">
        <f t="shared" si="0"/>
        <v>120000</v>
      </c>
      <c r="C16" s="131">
        <f>IF($C$7="Habilitado",ROUND('Presupuesto Consolidado'!E23,2),"")</f>
        <v>120000</v>
      </c>
      <c r="D16" s="132">
        <f t="shared" si="1"/>
        <v>0.78125</v>
      </c>
      <c r="E16" s="131" t="str">
        <f>IF($E$7="Habilitado",ROUND('Presupuesto Consolidado'!L23,2),"")</f>
        <v/>
      </c>
      <c r="F16" s="132" t="str">
        <f t="shared" si="1"/>
        <v/>
      </c>
      <c r="G16" s="131"/>
      <c r="H16" s="132" t="str">
        <f t="shared" ref="H16" si="72">IF(G16="","",IF($B$7="Menor valor",($E$4/$A$4)*($B16/G16),IF(G16&lt;=$B16,($E$4/$A$4)*(1-(($B16-G16)/$B16)),($E$4*60%/$A$4)*(1-2*((ABS($B16-G16))/$B16)))))</f>
        <v/>
      </c>
      <c r="I16" s="131"/>
      <c r="J16" s="132" t="str">
        <f t="shared" ref="J16" si="73">IF(I16="","",IF($B$7="Menor valor",($E$4/$A$4)*($B16/I16),IF(I16&lt;=$B16,($E$4/$A$4)*(1-(($B16-I16)/$B16)),($E$4*60%/$A$4)*(1-2*((ABS($B16-I16))/$B16)))))</f>
        <v/>
      </c>
      <c r="K16" s="131"/>
      <c r="L16" s="132" t="str">
        <f t="shared" ref="L16" si="74">IF(K16="","",IF($B$7="Menor valor",($E$4/$A$4)*($B16/K16),IF(K16&lt;=$B16,($E$4/$A$4)*(1-(($B16-K16)/$B16)),($E$4*60%/$A$4)*(1-2*((ABS($B16-K16))/$B16)))))</f>
        <v/>
      </c>
      <c r="M16" s="131"/>
      <c r="N16" s="132" t="str">
        <f t="shared" ref="N16" si="75">IF(M16="","",IF($B$7="Menor valor",($E$4/$A$4)*($B16/M16),IF(M16&lt;=$B16,($E$4/$A$4)*(1-(($B16-M16)/$B16)),($E$4*60%/$A$4)*(1-2*((ABS($B16-M16))/$B16)))))</f>
        <v/>
      </c>
      <c r="O16" s="131"/>
      <c r="P16" s="132" t="str">
        <f t="shared" ref="P16" si="76">IF(O16="","",IF($B$7="Menor valor",($E$4/$A$4)*($B16/O16),IF(O16&lt;=$B16,($E$4/$A$4)*(1-(($B16-O16)/$B16)),($E$4*60%/$A$4)*(1-2*((ABS($B16-O16))/$B16)))))</f>
        <v/>
      </c>
      <c r="Q16" s="131"/>
      <c r="R16" s="132" t="str">
        <f t="shared" ref="R16" si="77">IF(Q16="","",IF($B$7="Menor valor",($E$4/$A$4)*($B16/Q16),IF(Q16&lt;=$B16,($E$4/$A$4)*(1-(($B16-Q16)/$B16)),($E$4*60%/$A$4)*(1-2*((ABS($B16-Q16))/$B16)))))</f>
        <v/>
      </c>
      <c r="S16" s="131"/>
      <c r="T16" s="132" t="str">
        <f t="shared" ref="T16" si="78">IF(S16="","",IF($B$7="Menor valor",($E$4/$A$4)*($B16/S16),IF(S16&lt;=$B16,($E$4/$A$4)*(1-(($B16-S16)/$B16)),($E$4*60%/$A$4)*(1-2*((ABS($B16-S16))/$B16)))))</f>
        <v/>
      </c>
      <c r="U16" s="131"/>
      <c r="V16" s="132" t="str">
        <f t="shared" ref="V16" si="79">IF(U16="","",IF($B$7="Menor valor",($E$4/$A$4)*($B16/U16),IF(U16&lt;=$B16,($E$4/$A$4)*(1-(($B16-U16)/$B16)),($E$4*60%/$A$4)*(1-2*((ABS($B16-U16))/$B16)))))</f>
        <v/>
      </c>
      <c r="W16" s="131"/>
      <c r="X16" s="132" t="str">
        <f t="shared" ref="X16" si="80">IF(W16="","",IF($B$7="Menor valor",($E$4/$A$4)*($B16/W16),IF(W16&lt;=$B16,($E$4/$A$4)*(1-(($B16-W16)/$B16)),($E$4*60%/$A$4)*(1-2*((ABS($B16-W16))/$B16)))))</f>
        <v/>
      </c>
      <c r="Y16" s="131"/>
      <c r="Z16" s="132" t="str">
        <f t="shared" ref="Z16" si="81">IF(Y16="","",IF($B$7="Menor valor",($E$4/$A$4)*($B16/Y16),IF(Y16&lt;=$B16,($E$4/$A$4)*(1-(($B16-Y16)/$B16)),($E$4*60%/$A$4)*(1-2*((ABS($B16-Y16))/$B16)))))</f>
        <v/>
      </c>
      <c r="AA16" s="129">
        <v>1</v>
      </c>
    </row>
    <row r="17" spans="1:27" s="129" customFormat="1" ht="21" customHeight="1">
      <c r="A17" s="204" t="str">
        <f>+'Presupuesto Consolidado'!A25</f>
        <v>1.5.1</v>
      </c>
      <c r="B17" s="130">
        <f t="shared" si="0"/>
        <v>12500</v>
      </c>
      <c r="C17" s="131">
        <f>IF($C$7="Habilitado",ROUND('Presupuesto Consolidado'!E25,2),"")</f>
        <v>12500</v>
      </c>
      <c r="D17" s="132">
        <f t="shared" si="1"/>
        <v>0.78125</v>
      </c>
      <c r="E17" s="131" t="str">
        <f>IF($E$7="Habilitado",ROUND('Presupuesto Consolidado'!L25,2),"")</f>
        <v/>
      </c>
      <c r="F17" s="132" t="str">
        <f t="shared" si="1"/>
        <v/>
      </c>
      <c r="G17" s="131"/>
      <c r="H17" s="132" t="str">
        <f t="shared" ref="H17" si="82">IF(G17="","",IF($B$7="Menor valor",($E$4/$A$4)*($B17/G17),IF(G17&lt;=$B17,($E$4/$A$4)*(1-(($B17-G17)/$B17)),($E$4*60%/$A$4)*(1-2*((ABS($B17-G17))/$B17)))))</f>
        <v/>
      </c>
      <c r="I17" s="131"/>
      <c r="J17" s="132" t="str">
        <f t="shared" ref="J17" si="83">IF(I17="","",IF($B$7="Menor valor",($E$4/$A$4)*($B17/I17),IF(I17&lt;=$B17,($E$4/$A$4)*(1-(($B17-I17)/$B17)),($E$4*60%/$A$4)*(1-2*((ABS($B17-I17))/$B17)))))</f>
        <v/>
      </c>
      <c r="K17" s="131"/>
      <c r="L17" s="132" t="str">
        <f t="shared" ref="L17" si="84">IF(K17="","",IF($B$7="Menor valor",($E$4/$A$4)*($B17/K17),IF(K17&lt;=$B17,($E$4/$A$4)*(1-(($B17-K17)/$B17)),($E$4*60%/$A$4)*(1-2*((ABS($B17-K17))/$B17)))))</f>
        <v/>
      </c>
      <c r="M17" s="131"/>
      <c r="N17" s="132" t="str">
        <f t="shared" ref="N17" si="85">IF(M17="","",IF($B$7="Menor valor",($E$4/$A$4)*($B17/M17),IF(M17&lt;=$B17,($E$4/$A$4)*(1-(($B17-M17)/$B17)),($E$4*60%/$A$4)*(1-2*((ABS($B17-M17))/$B17)))))</f>
        <v/>
      </c>
      <c r="O17" s="131"/>
      <c r="P17" s="132" t="str">
        <f t="shared" ref="P17" si="86">IF(O17="","",IF($B$7="Menor valor",($E$4/$A$4)*($B17/O17),IF(O17&lt;=$B17,($E$4/$A$4)*(1-(($B17-O17)/$B17)),($E$4*60%/$A$4)*(1-2*((ABS($B17-O17))/$B17)))))</f>
        <v/>
      </c>
      <c r="Q17" s="131"/>
      <c r="R17" s="132" t="str">
        <f t="shared" ref="R17" si="87">IF(Q17="","",IF($B$7="Menor valor",($E$4/$A$4)*($B17/Q17),IF(Q17&lt;=$B17,($E$4/$A$4)*(1-(($B17-Q17)/$B17)),($E$4*60%/$A$4)*(1-2*((ABS($B17-Q17))/$B17)))))</f>
        <v/>
      </c>
      <c r="S17" s="131"/>
      <c r="T17" s="132" t="str">
        <f t="shared" ref="T17" si="88">IF(S17="","",IF($B$7="Menor valor",($E$4/$A$4)*($B17/S17),IF(S17&lt;=$B17,($E$4/$A$4)*(1-(($B17-S17)/$B17)),($E$4*60%/$A$4)*(1-2*((ABS($B17-S17))/$B17)))))</f>
        <v/>
      </c>
      <c r="U17" s="131"/>
      <c r="V17" s="132" t="str">
        <f t="shared" ref="V17" si="89">IF(U17="","",IF($B$7="Menor valor",($E$4/$A$4)*($B17/U17),IF(U17&lt;=$B17,($E$4/$A$4)*(1-(($B17-U17)/$B17)),($E$4*60%/$A$4)*(1-2*((ABS($B17-U17))/$B17)))))</f>
        <v/>
      </c>
      <c r="W17" s="131"/>
      <c r="X17" s="132" t="str">
        <f t="shared" ref="X17" si="90">IF(W17="","",IF($B$7="Menor valor",($E$4/$A$4)*($B17/W17),IF(W17&lt;=$B17,($E$4/$A$4)*(1-(($B17-W17)/$B17)),($E$4*60%/$A$4)*(1-2*((ABS($B17-W17))/$B17)))))</f>
        <v/>
      </c>
      <c r="Y17" s="131"/>
      <c r="Z17" s="132" t="str">
        <f t="shared" ref="Z17" si="91">IF(Y17="","",IF($B$7="Menor valor",($E$4/$A$4)*($B17/Y17),IF(Y17&lt;=$B17,($E$4/$A$4)*(1-(($B17-Y17)/$B17)),($E$4*60%/$A$4)*(1-2*((ABS($B17-Y17))/$B17)))))</f>
        <v/>
      </c>
      <c r="AA17" s="129">
        <v>1</v>
      </c>
    </row>
    <row r="18" spans="1:27" s="129" customFormat="1" ht="21" customHeight="1">
      <c r="A18" s="204" t="str">
        <f>+'Presupuesto Consolidado'!A26</f>
        <v>1.5.2</v>
      </c>
      <c r="B18" s="130">
        <f t="shared" si="0"/>
        <v>18000</v>
      </c>
      <c r="C18" s="131">
        <f>IF($C$7="Habilitado",ROUND('Presupuesto Consolidado'!E26,2),"")</f>
        <v>18000</v>
      </c>
      <c r="D18" s="132">
        <f t="shared" si="1"/>
        <v>0.78125</v>
      </c>
      <c r="E18" s="131" t="str">
        <f>IF($E$7="Habilitado",ROUND('Presupuesto Consolidado'!L26,2),"")</f>
        <v/>
      </c>
      <c r="F18" s="132" t="str">
        <f t="shared" si="1"/>
        <v/>
      </c>
      <c r="G18" s="131"/>
      <c r="H18" s="132" t="str">
        <f t="shared" ref="H18" si="92">IF(G18="","",IF($B$7="Menor valor",($E$4/$A$4)*($B18/G18),IF(G18&lt;=$B18,($E$4/$A$4)*(1-(($B18-G18)/$B18)),($E$4*60%/$A$4)*(1-2*((ABS($B18-G18))/$B18)))))</f>
        <v/>
      </c>
      <c r="I18" s="131"/>
      <c r="J18" s="132" t="str">
        <f t="shared" ref="J18" si="93">IF(I18="","",IF($B$7="Menor valor",($E$4/$A$4)*($B18/I18),IF(I18&lt;=$B18,($E$4/$A$4)*(1-(($B18-I18)/$B18)),($E$4*60%/$A$4)*(1-2*((ABS($B18-I18))/$B18)))))</f>
        <v/>
      </c>
      <c r="K18" s="131"/>
      <c r="L18" s="132" t="str">
        <f t="shared" ref="L18" si="94">IF(K18="","",IF($B$7="Menor valor",($E$4/$A$4)*($B18/K18),IF(K18&lt;=$B18,($E$4/$A$4)*(1-(($B18-K18)/$B18)),($E$4*60%/$A$4)*(1-2*((ABS($B18-K18))/$B18)))))</f>
        <v/>
      </c>
      <c r="M18" s="131"/>
      <c r="N18" s="132" t="str">
        <f t="shared" ref="N18" si="95">IF(M18="","",IF($B$7="Menor valor",($E$4/$A$4)*($B18/M18),IF(M18&lt;=$B18,($E$4/$A$4)*(1-(($B18-M18)/$B18)),($E$4*60%/$A$4)*(1-2*((ABS($B18-M18))/$B18)))))</f>
        <v/>
      </c>
      <c r="O18" s="131"/>
      <c r="P18" s="132" t="str">
        <f t="shared" ref="P18" si="96">IF(O18="","",IF($B$7="Menor valor",($E$4/$A$4)*($B18/O18),IF(O18&lt;=$B18,($E$4/$A$4)*(1-(($B18-O18)/$B18)),($E$4*60%/$A$4)*(1-2*((ABS($B18-O18))/$B18)))))</f>
        <v/>
      </c>
      <c r="Q18" s="131"/>
      <c r="R18" s="132" t="str">
        <f t="shared" ref="R18" si="97">IF(Q18="","",IF($B$7="Menor valor",($E$4/$A$4)*($B18/Q18),IF(Q18&lt;=$B18,($E$4/$A$4)*(1-(($B18-Q18)/$B18)),($E$4*60%/$A$4)*(1-2*((ABS($B18-Q18))/$B18)))))</f>
        <v/>
      </c>
      <c r="S18" s="131"/>
      <c r="T18" s="132" t="str">
        <f t="shared" ref="T18" si="98">IF(S18="","",IF($B$7="Menor valor",($E$4/$A$4)*($B18/S18),IF(S18&lt;=$B18,($E$4/$A$4)*(1-(($B18-S18)/$B18)),($E$4*60%/$A$4)*(1-2*((ABS($B18-S18))/$B18)))))</f>
        <v/>
      </c>
      <c r="U18" s="131"/>
      <c r="V18" s="132" t="str">
        <f t="shared" ref="V18" si="99">IF(U18="","",IF($B$7="Menor valor",($E$4/$A$4)*($B18/U18),IF(U18&lt;=$B18,($E$4/$A$4)*(1-(($B18-U18)/$B18)),($E$4*60%/$A$4)*(1-2*((ABS($B18-U18))/$B18)))))</f>
        <v/>
      </c>
      <c r="W18" s="131"/>
      <c r="X18" s="132" t="str">
        <f t="shared" ref="X18" si="100">IF(W18="","",IF($B$7="Menor valor",($E$4/$A$4)*($B18/W18),IF(W18&lt;=$B18,($E$4/$A$4)*(1-(($B18-W18)/$B18)),($E$4*60%/$A$4)*(1-2*((ABS($B18-W18))/$B18)))))</f>
        <v/>
      </c>
      <c r="Y18" s="131"/>
      <c r="Z18" s="132" t="str">
        <f t="shared" ref="Z18" si="101">IF(Y18="","",IF($B$7="Menor valor",($E$4/$A$4)*($B18/Y18),IF(Y18&lt;=$B18,($E$4/$A$4)*(1-(($B18-Y18)/$B18)),($E$4*60%/$A$4)*(1-2*((ABS($B18-Y18))/$B18)))))</f>
        <v/>
      </c>
      <c r="AA18" s="129">
        <v>1</v>
      </c>
    </row>
    <row r="19" spans="1:27" s="129" customFormat="1" ht="21" customHeight="1">
      <c r="A19" s="204" t="str">
        <f>+'Presupuesto Consolidado'!A28</f>
        <v>1.6.1</v>
      </c>
      <c r="B19" s="130">
        <f t="shared" si="0"/>
        <v>130000</v>
      </c>
      <c r="C19" s="131">
        <f>IF($C$7="Habilitado",ROUND('Presupuesto Consolidado'!E28,2),"")</f>
        <v>130000</v>
      </c>
      <c r="D19" s="132">
        <f t="shared" si="1"/>
        <v>0.78125</v>
      </c>
      <c r="E19" s="131" t="str">
        <f>IF($E$7="Habilitado",ROUND('Presupuesto Consolidado'!L28,2),"")</f>
        <v/>
      </c>
      <c r="F19" s="132" t="str">
        <f t="shared" si="1"/>
        <v/>
      </c>
      <c r="G19" s="131"/>
      <c r="H19" s="132" t="str">
        <f t="shared" ref="H19" si="102">IF(G19="","",IF($B$7="Menor valor",($E$4/$A$4)*($B19/G19),IF(G19&lt;=$B19,($E$4/$A$4)*(1-(($B19-G19)/$B19)),($E$4*60%/$A$4)*(1-2*((ABS($B19-G19))/$B19)))))</f>
        <v/>
      </c>
      <c r="I19" s="131"/>
      <c r="J19" s="132" t="str">
        <f t="shared" ref="J19" si="103">IF(I19="","",IF($B$7="Menor valor",($E$4/$A$4)*($B19/I19),IF(I19&lt;=$B19,($E$4/$A$4)*(1-(($B19-I19)/$B19)),($E$4*60%/$A$4)*(1-2*((ABS($B19-I19))/$B19)))))</f>
        <v/>
      </c>
      <c r="K19" s="131"/>
      <c r="L19" s="132" t="str">
        <f t="shared" ref="L19" si="104">IF(K19="","",IF($B$7="Menor valor",($E$4/$A$4)*($B19/K19),IF(K19&lt;=$B19,($E$4/$A$4)*(1-(($B19-K19)/$B19)),($E$4*60%/$A$4)*(1-2*((ABS($B19-K19))/$B19)))))</f>
        <v/>
      </c>
      <c r="M19" s="131"/>
      <c r="N19" s="132" t="str">
        <f t="shared" ref="N19" si="105">IF(M19="","",IF($B$7="Menor valor",($E$4/$A$4)*($B19/M19),IF(M19&lt;=$B19,($E$4/$A$4)*(1-(($B19-M19)/$B19)),($E$4*60%/$A$4)*(1-2*((ABS($B19-M19))/$B19)))))</f>
        <v/>
      </c>
      <c r="O19" s="131"/>
      <c r="P19" s="132" t="str">
        <f t="shared" ref="P19" si="106">IF(O19="","",IF($B$7="Menor valor",($E$4/$A$4)*($B19/O19),IF(O19&lt;=$B19,($E$4/$A$4)*(1-(($B19-O19)/$B19)),($E$4*60%/$A$4)*(1-2*((ABS($B19-O19))/$B19)))))</f>
        <v/>
      </c>
      <c r="Q19" s="131"/>
      <c r="R19" s="132" t="str">
        <f t="shared" ref="R19" si="107">IF(Q19="","",IF($B$7="Menor valor",($E$4/$A$4)*($B19/Q19),IF(Q19&lt;=$B19,($E$4/$A$4)*(1-(($B19-Q19)/$B19)),($E$4*60%/$A$4)*(1-2*((ABS($B19-Q19))/$B19)))))</f>
        <v/>
      </c>
      <c r="S19" s="131"/>
      <c r="T19" s="132" t="str">
        <f t="shared" ref="T19" si="108">IF(S19="","",IF($B$7="Menor valor",($E$4/$A$4)*($B19/S19),IF(S19&lt;=$B19,($E$4/$A$4)*(1-(($B19-S19)/$B19)),($E$4*60%/$A$4)*(1-2*((ABS($B19-S19))/$B19)))))</f>
        <v/>
      </c>
      <c r="U19" s="131"/>
      <c r="V19" s="132" t="str">
        <f t="shared" ref="V19" si="109">IF(U19="","",IF($B$7="Menor valor",($E$4/$A$4)*($B19/U19),IF(U19&lt;=$B19,($E$4/$A$4)*(1-(($B19-U19)/$B19)),($E$4*60%/$A$4)*(1-2*((ABS($B19-U19))/$B19)))))</f>
        <v/>
      </c>
      <c r="W19" s="131"/>
      <c r="X19" s="132" t="str">
        <f t="shared" ref="X19" si="110">IF(W19="","",IF($B$7="Menor valor",($E$4/$A$4)*($B19/W19),IF(W19&lt;=$B19,($E$4/$A$4)*(1-(($B19-W19)/$B19)),($E$4*60%/$A$4)*(1-2*((ABS($B19-W19))/$B19)))))</f>
        <v/>
      </c>
      <c r="Y19" s="131"/>
      <c r="Z19" s="132" t="str">
        <f t="shared" ref="Z19" si="111">IF(Y19="","",IF($B$7="Menor valor",($E$4/$A$4)*($B19/Y19),IF(Y19&lt;=$B19,($E$4/$A$4)*(1-(($B19-Y19)/$B19)),($E$4*60%/$A$4)*(1-2*((ABS($B19-Y19))/$B19)))))</f>
        <v/>
      </c>
      <c r="AA19" s="129">
        <v>1</v>
      </c>
    </row>
    <row r="20" spans="1:27" s="129" customFormat="1" ht="21" customHeight="1">
      <c r="A20" s="204" t="str">
        <f>+'Presupuesto Consolidado'!A31</f>
        <v>2.1.1</v>
      </c>
      <c r="B20" s="130">
        <f t="shared" si="0"/>
        <v>44414743</v>
      </c>
      <c r="C20" s="131">
        <f>IF($C$7="Habilitado",ROUND('Presupuesto Consolidado'!E31,2),"")</f>
        <v>44414743</v>
      </c>
      <c r="D20" s="132">
        <f t="shared" si="1"/>
        <v>0.78125</v>
      </c>
      <c r="E20" s="131" t="str">
        <f>IF($E$7="Habilitado",ROUND('Presupuesto Consolidado'!L31,2),"")</f>
        <v/>
      </c>
      <c r="F20" s="132" t="str">
        <f t="shared" si="1"/>
        <v/>
      </c>
      <c r="G20" s="131"/>
      <c r="H20" s="132" t="str">
        <f t="shared" ref="H20" si="112">IF(G20="","",IF($B$7="Menor valor",($E$4/$A$4)*($B20/G20),IF(G20&lt;=$B20,($E$4/$A$4)*(1-(($B20-G20)/$B20)),($E$4*60%/$A$4)*(1-2*((ABS($B20-G20))/$B20)))))</f>
        <v/>
      </c>
      <c r="I20" s="131"/>
      <c r="J20" s="132" t="str">
        <f t="shared" ref="J20" si="113">IF(I20="","",IF($B$7="Menor valor",($E$4/$A$4)*($B20/I20),IF(I20&lt;=$B20,($E$4/$A$4)*(1-(($B20-I20)/$B20)),($E$4*60%/$A$4)*(1-2*((ABS($B20-I20))/$B20)))))</f>
        <v/>
      </c>
      <c r="K20" s="131"/>
      <c r="L20" s="132" t="str">
        <f t="shared" ref="L20" si="114">IF(K20="","",IF($B$7="Menor valor",($E$4/$A$4)*($B20/K20),IF(K20&lt;=$B20,($E$4/$A$4)*(1-(($B20-K20)/$B20)),($E$4*60%/$A$4)*(1-2*((ABS($B20-K20))/$B20)))))</f>
        <v/>
      </c>
      <c r="M20" s="131"/>
      <c r="N20" s="132" t="str">
        <f t="shared" ref="N20" si="115">IF(M20="","",IF($B$7="Menor valor",($E$4/$A$4)*($B20/M20),IF(M20&lt;=$B20,($E$4/$A$4)*(1-(($B20-M20)/$B20)),($E$4*60%/$A$4)*(1-2*((ABS($B20-M20))/$B20)))))</f>
        <v/>
      </c>
      <c r="O20" s="131"/>
      <c r="P20" s="132" t="str">
        <f t="shared" ref="P20" si="116">IF(O20="","",IF($B$7="Menor valor",($E$4/$A$4)*($B20/O20),IF(O20&lt;=$B20,($E$4/$A$4)*(1-(($B20-O20)/$B20)),($E$4*60%/$A$4)*(1-2*((ABS($B20-O20))/$B20)))))</f>
        <v/>
      </c>
      <c r="Q20" s="131"/>
      <c r="R20" s="132" t="str">
        <f t="shared" ref="R20" si="117">IF(Q20="","",IF($B$7="Menor valor",($E$4/$A$4)*($B20/Q20),IF(Q20&lt;=$B20,($E$4/$A$4)*(1-(($B20-Q20)/$B20)),($E$4*60%/$A$4)*(1-2*((ABS($B20-Q20))/$B20)))))</f>
        <v/>
      </c>
      <c r="S20" s="131"/>
      <c r="T20" s="132" t="str">
        <f t="shared" ref="T20" si="118">IF(S20="","",IF($B$7="Menor valor",($E$4/$A$4)*($B20/S20),IF(S20&lt;=$B20,($E$4/$A$4)*(1-(($B20-S20)/$B20)),($E$4*60%/$A$4)*(1-2*((ABS($B20-S20))/$B20)))))</f>
        <v/>
      </c>
      <c r="U20" s="131"/>
      <c r="V20" s="132" t="str">
        <f t="shared" ref="V20" si="119">IF(U20="","",IF($B$7="Menor valor",($E$4/$A$4)*($B20/U20),IF(U20&lt;=$B20,($E$4/$A$4)*(1-(($B20-U20)/$B20)),($E$4*60%/$A$4)*(1-2*((ABS($B20-U20))/$B20)))))</f>
        <v/>
      </c>
      <c r="W20" s="131"/>
      <c r="X20" s="132" t="str">
        <f t="shared" ref="X20" si="120">IF(W20="","",IF($B$7="Menor valor",($E$4/$A$4)*($B20/W20),IF(W20&lt;=$B20,($E$4/$A$4)*(1-(($B20-W20)/$B20)),($E$4*60%/$A$4)*(1-2*((ABS($B20-W20))/$B20)))))</f>
        <v/>
      </c>
      <c r="Y20" s="131"/>
      <c r="Z20" s="132" t="str">
        <f t="shared" ref="Z20" si="121">IF(Y20="","",IF($B$7="Menor valor",($E$4/$A$4)*($B20/Y20),IF(Y20&lt;=$B20,($E$4/$A$4)*(1-(($B20-Y20)/$B20)),($E$4*60%/$A$4)*(1-2*((ABS($B20-Y20))/$B20)))))</f>
        <v/>
      </c>
      <c r="AA20" s="129">
        <v>1</v>
      </c>
    </row>
    <row r="21" spans="1:27" s="129" customFormat="1" ht="21" customHeight="1">
      <c r="A21" s="204" t="str">
        <f>+'Presupuesto Consolidado'!A32</f>
        <v>2.1.2</v>
      </c>
      <c r="B21" s="130">
        <f t="shared" si="0"/>
        <v>3741318</v>
      </c>
      <c r="C21" s="131">
        <f>IF($C$7="Habilitado",ROUND('Presupuesto Consolidado'!E32,2),"")</f>
        <v>3741318</v>
      </c>
      <c r="D21" s="132">
        <f t="shared" si="1"/>
        <v>0.78125</v>
      </c>
      <c r="E21" s="131" t="str">
        <f>IF($E$7="Habilitado",ROUND('Presupuesto Consolidado'!L32,2),"")</f>
        <v/>
      </c>
      <c r="F21" s="132" t="str">
        <f t="shared" si="1"/>
        <v/>
      </c>
      <c r="G21" s="131"/>
      <c r="H21" s="132" t="str">
        <f t="shared" ref="H21" si="122">IF(G21="","",IF($B$7="Menor valor",($E$4/$A$4)*($B21/G21),IF(G21&lt;=$B21,($E$4/$A$4)*(1-(($B21-G21)/$B21)),($E$4*60%/$A$4)*(1-2*((ABS($B21-G21))/$B21)))))</f>
        <v/>
      </c>
      <c r="I21" s="131"/>
      <c r="J21" s="132" t="str">
        <f t="shared" ref="J21" si="123">IF(I21="","",IF($B$7="Menor valor",($E$4/$A$4)*($B21/I21),IF(I21&lt;=$B21,($E$4/$A$4)*(1-(($B21-I21)/$B21)),($E$4*60%/$A$4)*(1-2*((ABS($B21-I21))/$B21)))))</f>
        <v/>
      </c>
      <c r="K21" s="131"/>
      <c r="L21" s="132" t="str">
        <f t="shared" ref="L21" si="124">IF(K21="","",IF($B$7="Menor valor",($E$4/$A$4)*($B21/K21),IF(K21&lt;=$B21,($E$4/$A$4)*(1-(($B21-K21)/$B21)),($E$4*60%/$A$4)*(1-2*((ABS($B21-K21))/$B21)))))</f>
        <v/>
      </c>
      <c r="M21" s="131"/>
      <c r="N21" s="132" t="str">
        <f t="shared" ref="N21" si="125">IF(M21="","",IF($B$7="Menor valor",($E$4/$A$4)*($B21/M21),IF(M21&lt;=$B21,($E$4/$A$4)*(1-(($B21-M21)/$B21)),($E$4*60%/$A$4)*(1-2*((ABS($B21-M21))/$B21)))))</f>
        <v/>
      </c>
      <c r="O21" s="131"/>
      <c r="P21" s="132" t="str">
        <f t="shared" ref="P21" si="126">IF(O21="","",IF($B$7="Menor valor",($E$4/$A$4)*($B21/O21),IF(O21&lt;=$B21,($E$4/$A$4)*(1-(($B21-O21)/$B21)),($E$4*60%/$A$4)*(1-2*((ABS($B21-O21))/$B21)))))</f>
        <v/>
      </c>
      <c r="Q21" s="131"/>
      <c r="R21" s="132" t="str">
        <f t="shared" ref="R21" si="127">IF(Q21="","",IF($B$7="Menor valor",($E$4/$A$4)*($B21/Q21),IF(Q21&lt;=$B21,($E$4/$A$4)*(1-(($B21-Q21)/$B21)),($E$4*60%/$A$4)*(1-2*((ABS($B21-Q21))/$B21)))))</f>
        <v/>
      </c>
      <c r="S21" s="131"/>
      <c r="T21" s="132" t="str">
        <f t="shared" ref="T21" si="128">IF(S21="","",IF($B$7="Menor valor",($E$4/$A$4)*($B21/S21),IF(S21&lt;=$B21,($E$4/$A$4)*(1-(($B21-S21)/$B21)),($E$4*60%/$A$4)*(1-2*((ABS($B21-S21))/$B21)))))</f>
        <v/>
      </c>
      <c r="U21" s="131"/>
      <c r="V21" s="132" t="str">
        <f t="shared" ref="V21" si="129">IF(U21="","",IF($B$7="Menor valor",($E$4/$A$4)*($B21/U21),IF(U21&lt;=$B21,($E$4/$A$4)*(1-(($B21-U21)/$B21)),($E$4*60%/$A$4)*(1-2*((ABS($B21-U21))/$B21)))))</f>
        <v/>
      </c>
      <c r="W21" s="131"/>
      <c r="X21" s="132" t="str">
        <f t="shared" ref="X21" si="130">IF(W21="","",IF($B$7="Menor valor",($E$4/$A$4)*($B21/W21),IF(W21&lt;=$B21,($E$4/$A$4)*(1-(($B21-W21)/$B21)),($E$4*60%/$A$4)*(1-2*((ABS($B21-W21))/$B21)))))</f>
        <v/>
      </c>
      <c r="Y21" s="131"/>
      <c r="Z21" s="132" t="str">
        <f t="shared" ref="Z21" si="131">IF(Y21="","",IF($B$7="Menor valor",($E$4/$A$4)*($B21/Y21),IF(Y21&lt;=$B21,($E$4/$A$4)*(1-(($B21-Y21)/$B21)),($E$4*60%/$A$4)*(1-2*((ABS($B21-Y21))/$B21)))))</f>
        <v/>
      </c>
      <c r="AA21" s="129">
        <v>1</v>
      </c>
    </row>
    <row r="22" spans="1:27" s="129" customFormat="1" ht="21" customHeight="1">
      <c r="A22" s="204" t="str">
        <f>+'Presupuesto Consolidado'!A33</f>
        <v>2.1.3</v>
      </c>
      <c r="B22" s="130">
        <f t="shared" si="0"/>
        <v>443078</v>
      </c>
      <c r="C22" s="131">
        <f>IF($C$7="Habilitado",ROUND('Presupuesto Consolidado'!E33,2),"")</f>
        <v>443078</v>
      </c>
      <c r="D22" s="132">
        <f t="shared" si="1"/>
        <v>0.78125</v>
      </c>
      <c r="E22" s="131" t="str">
        <f>IF($E$7="Habilitado",ROUND('Presupuesto Consolidado'!L33,2),"")</f>
        <v/>
      </c>
      <c r="F22" s="132" t="str">
        <f t="shared" si="1"/>
        <v/>
      </c>
      <c r="G22" s="131"/>
      <c r="H22" s="132" t="str">
        <f t="shared" ref="H22" si="132">IF(G22="","",IF($B$7="Menor valor",($E$4/$A$4)*($B22/G22),IF(G22&lt;=$B22,($E$4/$A$4)*(1-(($B22-G22)/$B22)),($E$4*60%/$A$4)*(1-2*((ABS($B22-G22))/$B22)))))</f>
        <v/>
      </c>
      <c r="I22" s="131"/>
      <c r="J22" s="132" t="str">
        <f t="shared" ref="J22" si="133">IF(I22="","",IF($B$7="Menor valor",($E$4/$A$4)*($B22/I22),IF(I22&lt;=$B22,($E$4/$A$4)*(1-(($B22-I22)/$B22)),($E$4*60%/$A$4)*(1-2*((ABS($B22-I22))/$B22)))))</f>
        <v/>
      </c>
      <c r="K22" s="131"/>
      <c r="L22" s="132" t="str">
        <f t="shared" ref="L22" si="134">IF(K22="","",IF($B$7="Menor valor",($E$4/$A$4)*($B22/K22),IF(K22&lt;=$B22,($E$4/$A$4)*(1-(($B22-K22)/$B22)),($E$4*60%/$A$4)*(1-2*((ABS($B22-K22))/$B22)))))</f>
        <v/>
      </c>
      <c r="M22" s="131"/>
      <c r="N22" s="132" t="str">
        <f t="shared" ref="N22" si="135">IF(M22="","",IF($B$7="Menor valor",($E$4/$A$4)*($B22/M22),IF(M22&lt;=$B22,($E$4/$A$4)*(1-(($B22-M22)/$B22)),($E$4*60%/$A$4)*(1-2*((ABS($B22-M22))/$B22)))))</f>
        <v/>
      </c>
      <c r="O22" s="131"/>
      <c r="P22" s="132" t="str">
        <f t="shared" ref="P22" si="136">IF(O22="","",IF($B$7="Menor valor",($E$4/$A$4)*($B22/O22),IF(O22&lt;=$B22,($E$4/$A$4)*(1-(($B22-O22)/$B22)),($E$4*60%/$A$4)*(1-2*((ABS($B22-O22))/$B22)))))</f>
        <v/>
      </c>
      <c r="Q22" s="131"/>
      <c r="R22" s="132" t="str">
        <f t="shared" ref="R22" si="137">IF(Q22="","",IF($B$7="Menor valor",($E$4/$A$4)*($B22/Q22),IF(Q22&lt;=$B22,($E$4/$A$4)*(1-(($B22-Q22)/$B22)),($E$4*60%/$A$4)*(1-2*((ABS($B22-Q22))/$B22)))))</f>
        <v/>
      </c>
      <c r="S22" s="131"/>
      <c r="T22" s="132" t="str">
        <f t="shared" ref="T22" si="138">IF(S22="","",IF($B$7="Menor valor",($E$4/$A$4)*($B22/S22),IF(S22&lt;=$B22,($E$4/$A$4)*(1-(($B22-S22)/$B22)),($E$4*60%/$A$4)*(1-2*((ABS($B22-S22))/$B22)))))</f>
        <v/>
      </c>
      <c r="U22" s="131"/>
      <c r="V22" s="132" t="str">
        <f t="shared" ref="V22" si="139">IF(U22="","",IF($B$7="Menor valor",($E$4/$A$4)*($B22/U22),IF(U22&lt;=$B22,($E$4/$A$4)*(1-(($B22-U22)/$B22)),($E$4*60%/$A$4)*(1-2*((ABS($B22-U22))/$B22)))))</f>
        <v/>
      </c>
      <c r="W22" s="131"/>
      <c r="X22" s="132" t="str">
        <f t="shared" ref="X22" si="140">IF(W22="","",IF($B$7="Menor valor",($E$4/$A$4)*($B22/W22),IF(W22&lt;=$B22,($E$4/$A$4)*(1-(($B22-W22)/$B22)),($E$4*60%/$A$4)*(1-2*((ABS($B22-W22))/$B22)))))</f>
        <v/>
      </c>
      <c r="Y22" s="131"/>
      <c r="Z22" s="132" t="str">
        <f t="shared" ref="Z22" si="141">IF(Y22="","",IF($B$7="Menor valor",($E$4/$A$4)*($B22/Y22),IF(Y22&lt;=$B22,($E$4/$A$4)*(1-(($B22-Y22)/$B22)),($E$4*60%/$A$4)*(1-2*((ABS($B22-Y22))/$B22)))))</f>
        <v/>
      </c>
      <c r="AA22" s="129">
        <v>1</v>
      </c>
    </row>
    <row r="23" spans="1:27" s="129" customFormat="1" ht="21" customHeight="1">
      <c r="A23" s="204" t="str">
        <f>+'Presupuesto Consolidado'!A34</f>
        <v>2.1.4</v>
      </c>
      <c r="B23" s="130">
        <f t="shared" si="0"/>
        <v>133382</v>
      </c>
      <c r="C23" s="131">
        <f>IF($C$7="Habilitado",ROUND('Presupuesto Consolidado'!E34,2),"")</f>
        <v>133382</v>
      </c>
      <c r="D23" s="132">
        <f t="shared" si="1"/>
        <v>0.78125</v>
      </c>
      <c r="E23" s="131" t="str">
        <f>IF($E$7="Habilitado",ROUND('Presupuesto Consolidado'!L34,2),"")</f>
        <v/>
      </c>
      <c r="F23" s="132" t="str">
        <f t="shared" si="1"/>
        <v/>
      </c>
      <c r="G23" s="131"/>
      <c r="H23" s="132" t="str">
        <f t="shared" ref="H23" si="142">IF(G23="","",IF($B$7="Menor valor",($E$4/$A$4)*($B23/G23),IF(G23&lt;=$B23,($E$4/$A$4)*(1-(($B23-G23)/$B23)),($E$4*60%/$A$4)*(1-2*((ABS($B23-G23))/$B23)))))</f>
        <v/>
      </c>
      <c r="I23" s="131"/>
      <c r="J23" s="132" t="str">
        <f t="shared" ref="J23" si="143">IF(I23="","",IF($B$7="Menor valor",($E$4/$A$4)*($B23/I23),IF(I23&lt;=$B23,($E$4/$A$4)*(1-(($B23-I23)/$B23)),($E$4*60%/$A$4)*(1-2*((ABS($B23-I23))/$B23)))))</f>
        <v/>
      </c>
      <c r="K23" s="131"/>
      <c r="L23" s="132" t="str">
        <f t="shared" ref="L23" si="144">IF(K23="","",IF($B$7="Menor valor",($E$4/$A$4)*($B23/K23),IF(K23&lt;=$B23,($E$4/$A$4)*(1-(($B23-K23)/$B23)),($E$4*60%/$A$4)*(1-2*((ABS($B23-K23))/$B23)))))</f>
        <v/>
      </c>
      <c r="M23" s="131"/>
      <c r="N23" s="132" t="str">
        <f t="shared" ref="N23" si="145">IF(M23="","",IF($B$7="Menor valor",($E$4/$A$4)*($B23/M23),IF(M23&lt;=$B23,($E$4/$A$4)*(1-(($B23-M23)/$B23)),($E$4*60%/$A$4)*(1-2*((ABS($B23-M23))/$B23)))))</f>
        <v/>
      </c>
      <c r="O23" s="131"/>
      <c r="P23" s="132" t="str">
        <f t="shared" ref="P23" si="146">IF(O23="","",IF($B$7="Menor valor",($E$4/$A$4)*($B23/O23),IF(O23&lt;=$B23,($E$4/$A$4)*(1-(($B23-O23)/$B23)),($E$4*60%/$A$4)*(1-2*((ABS($B23-O23))/$B23)))))</f>
        <v/>
      </c>
      <c r="Q23" s="131"/>
      <c r="R23" s="132" t="str">
        <f t="shared" ref="R23" si="147">IF(Q23="","",IF($B$7="Menor valor",($E$4/$A$4)*($B23/Q23),IF(Q23&lt;=$B23,($E$4/$A$4)*(1-(($B23-Q23)/$B23)),($E$4*60%/$A$4)*(1-2*((ABS($B23-Q23))/$B23)))))</f>
        <v/>
      </c>
      <c r="S23" s="131"/>
      <c r="T23" s="132" t="str">
        <f t="shared" ref="T23" si="148">IF(S23="","",IF($B$7="Menor valor",($E$4/$A$4)*($B23/S23),IF(S23&lt;=$B23,($E$4/$A$4)*(1-(($B23-S23)/$B23)),($E$4*60%/$A$4)*(1-2*((ABS($B23-S23))/$B23)))))</f>
        <v/>
      </c>
      <c r="U23" s="131"/>
      <c r="V23" s="132" t="str">
        <f t="shared" ref="V23" si="149">IF(U23="","",IF($B$7="Menor valor",($E$4/$A$4)*($B23/U23),IF(U23&lt;=$B23,($E$4/$A$4)*(1-(($B23-U23)/$B23)),($E$4*60%/$A$4)*(1-2*((ABS($B23-U23))/$B23)))))</f>
        <v/>
      </c>
      <c r="W23" s="131"/>
      <c r="X23" s="132" t="str">
        <f t="shared" ref="X23" si="150">IF(W23="","",IF($B$7="Menor valor",($E$4/$A$4)*($B23/W23),IF(W23&lt;=$B23,($E$4/$A$4)*(1-(($B23-W23)/$B23)),($E$4*60%/$A$4)*(1-2*((ABS($B23-W23))/$B23)))))</f>
        <v/>
      </c>
      <c r="Y23" s="131"/>
      <c r="Z23" s="132" t="str">
        <f t="shared" ref="Z23" si="151">IF(Y23="","",IF($B$7="Menor valor",($E$4/$A$4)*($B23/Y23),IF(Y23&lt;=$B23,($E$4/$A$4)*(1-(($B23-Y23)/$B23)),($E$4*60%/$A$4)*(1-2*((ABS($B23-Y23))/$B23)))))</f>
        <v/>
      </c>
      <c r="AA23" s="129">
        <v>1</v>
      </c>
    </row>
    <row r="24" spans="1:27" s="129" customFormat="1" ht="21" customHeight="1">
      <c r="A24" s="204" t="str">
        <f>+'Presupuesto Consolidado'!A35</f>
        <v>2.1.5</v>
      </c>
      <c r="B24" s="130">
        <f t="shared" si="0"/>
        <v>103469</v>
      </c>
      <c r="C24" s="131">
        <f>IF($C$7="Habilitado",ROUND('Presupuesto Consolidado'!E35,2),"")</f>
        <v>103469</v>
      </c>
      <c r="D24" s="132">
        <f t="shared" si="1"/>
        <v>0.78125</v>
      </c>
      <c r="E24" s="131" t="str">
        <f>IF($E$7="Habilitado",ROUND('Presupuesto Consolidado'!L35,2),"")</f>
        <v/>
      </c>
      <c r="F24" s="132" t="str">
        <f t="shared" si="1"/>
        <v/>
      </c>
      <c r="G24" s="131"/>
      <c r="H24" s="132" t="str">
        <f t="shared" ref="H24" si="152">IF(G24="","",IF($B$7="Menor valor",($E$4/$A$4)*($B24/G24),IF(G24&lt;=$B24,($E$4/$A$4)*(1-(($B24-G24)/$B24)),($E$4*60%/$A$4)*(1-2*((ABS($B24-G24))/$B24)))))</f>
        <v/>
      </c>
      <c r="I24" s="131"/>
      <c r="J24" s="132" t="str">
        <f t="shared" ref="J24" si="153">IF(I24="","",IF($B$7="Menor valor",($E$4/$A$4)*($B24/I24),IF(I24&lt;=$B24,($E$4/$A$4)*(1-(($B24-I24)/$B24)),($E$4*60%/$A$4)*(1-2*((ABS($B24-I24))/$B24)))))</f>
        <v/>
      </c>
      <c r="K24" s="131"/>
      <c r="L24" s="132" t="str">
        <f t="shared" ref="L24" si="154">IF(K24="","",IF($B$7="Menor valor",($E$4/$A$4)*($B24/K24),IF(K24&lt;=$B24,($E$4/$A$4)*(1-(($B24-K24)/$B24)),($E$4*60%/$A$4)*(1-2*((ABS($B24-K24))/$B24)))))</f>
        <v/>
      </c>
      <c r="M24" s="131"/>
      <c r="N24" s="132" t="str">
        <f t="shared" ref="N24" si="155">IF(M24="","",IF($B$7="Menor valor",($E$4/$A$4)*($B24/M24),IF(M24&lt;=$B24,($E$4/$A$4)*(1-(($B24-M24)/$B24)),($E$4*60%/$A$4)*(1-2*((ABS($B24-M24))/$B24)))))</f>
        <v/>
      </c>
      <c r="O24" s="131"/>
      <c r="P24" s="132" t="str">
        <f t="shared" ref="P24" si="156">IF(O24="","",IF($B$7="Menor valor",($E$4/$A$4)*($B24/O24),IF(O24&lt;=$B24,($E$4/$A$4)*(1-(($B24-O24)/$B24)),($E$4*60%/$A$4)*(1-2*((ABS($B24-O24))/$B24)))))</f>
        <v/>
      </c>
      <c r="Q24" s="131"/>
      <c r="R24" s="132" t="str">
        <f t="shared" ref="R24" si="157">IF(Q24="","",IF($B$7="Menor valor",($E$4/$A$4)*($B24/Q24),IF(Q24&lt;=$B24,($E$4/$A$4)*(1-(($B24-Q24)/$B24)),($E$4*60%/$A$4)*(1-2*((ABS($B24-Q24))/$B24)))))</f>
        <v/>
      </c>
      <c r="S24" s="131"/>
      <c r="T24" s="132" t="str">
        <f t="shared" ref="T24" si="158">IF(S24="","",IF($B$7="Menor valor",($E$4/$A$4)*($B24/S24),IF(S24&lt;=$B24,($E$4/$A$4)*(1-(($B24-S24)/$B24)),($E$4*60%/$A$4)*(1-2*((ABS($B24-S24))/$B24)))))</f>
        <v/>
      </c>
      <c r="U24" s="131"/>
      <c r="V24" s="132" t="str">
        <f t="shared" ref="V24" si="159">IF(U24="","",IF($B$7="Menor valor",($E$4/$A$4)*($B24/U24),IF(U24&lt;=$B24,($E$4/$A$4)*(1-(($B24-U24)/$B24)),($E$4*60%/$A$4)*(1-2*((ABS($B24-U24))/$B24)))))</f>
        <v/>
      </c>
      <c r="W24" s="131"/>
      <c r="X24" s="132" t="str">
        <f t="shared" ref="X24" si="160">IF(W24="","",IF($B$7="Menor valor",($E$4/$A$4)*($B24/W24),IF(W24&lt;=$B24,($E$4/$A$4)*(1-(($B24-W24)/$B24)),($E$4*60%/$A$4)*(1-2*((ABS($B24-W24))/$B24)))))</f>
        <v/>
      </c>
      <c r="Y24" s="131"/>
      <c r="Z24" s="132" t="str">
        <f t="shared" ref="Z24" si="161">IF(Y24="","",IF($B$7="Menor valor",($E$4/$A$4)*($B24/Y24),IF(Y24&lt;=$B24,($E$4/$A$4)*(1-(($B24-Y24)/$B24)),($E$4*60%/$A$4)*(1-2*((ABS($B24-Y24))/$B24)))))</f>
        <v/>
      </c>
      <c r="AA24" s="129">
        <v>1</v>
      </c>
    </row>
    <row r="25" spans="1:27" s="129" customFormat="1" ht="21" customHeight="1">
      <c r="A25" s="204" t="str">
        <f>+'Presupuesto Consolidado'!A36</f>
        <v>2.1.6</v>
      </c>
      <c r="B25" s="130">
        <f t="shared" si="0"/>
        <v>90240</v>
      </c>
      <c r="C25" s="131">
        <f>IF($C$7="Habilitado",ROUND('Presupuesto Consolidado'!E36,2),"")</f>
        <v>90240</v>
      </c>
      <c r="D25" s="132">
        <f t="shared" si="1"/>
        <v>0.78125</v>
      </c>
      <c r="E25" s="131" t="str">
        <f>IF($E$7="Habilitado",ROUND('Presupuesto Consolidado'!L36,2),"")</f>
        <v/>
      </c>
      <c r="F25" s="132" t="str">
        <f t="shared" si="1"/>
        <v/>
      </c>
      <c r="G25" s="131"/>
      <c r="H25" s="132" t="str">
        <f t="shared" ref="H25" si="162">IF(G25="","",IF($B$7="Menor valor",($E$4/$A$4)*($B25/G25),IF(G25&lt;=$B25,($E$4/$A$4)*(1-(($B25-G25)/$B25)),($E$4*60%/$A$4)*(1-2*((ABS($B25-G25))/$B25)))))</f>
        <v/>
      </c>
      <c r="I25" s="131"/>
      <c r="J25" s="132" t="str">
        <f t="shared" ref="J25" si="163">IF(I25="","",IF($B$7="Menor valor",($E$4/$A$4)*($B25/I25),IF(I25&lt;=$B25,($E$4/$A$4)*(1-(($B25-I25)/$B25)),($E$4*60%/$A$4)*(1-2*((ABS($B25-I25))/$B25)))))</f>
        <v/>
      </c>
      <c r="K25" s="131"/>
      <c r="L25" s="132" t="str">
        <f t="shared" ref="L25" si="164">IF(K25="","",IF($B$7="Menor valor",($E$4/$A$4)*($B25/K25),IF(K25&lt;=$B25,($E$4/$A$4)*(1-(($B25-K25)/$B25)),($E$4*60%/$A$4)*(1-2*((ABS($B25-K25))/$B25)))))</f>
        <v/>
      </c>
      <c r="M25" s="131"/>
      <c r="N25" s="132" t="str">
        <f t="shared" ref="N25" si="165">IF(M25="","",IF($B$7="Menor valor",($E$4/$A$4)*($B25/M25),IF(M25&lt;=$B25,($E$4/$A$4)*(1-(($B25-M25)/$B25)),($E$4*60%/$A$4)*(1-2*((ABS($B25-M25))/$B25)))))</f>
        <v/>
      </c>
      <c r="O25" s="131"/>
      <c r="P25" s="132" t="str">
        <f t="shared" ref="P25" si="166">IF(O25="","",IF($B$7="Menor valor",($E$4/$A$4)*($B25/O25),IF(O25&lt;=$B25,($E$4/$A$4)*(1-(($B25-O25)/$B25)),($E$4*60%/$A$4)*(1-2*((ABS($B25-O25))/$B25)))))</f>
        <v/>
      </c>
      <c r="Q25" s="131"/>
      <c r="R25" s="132" t="str">
        <f t="shared" ref="R25" si="167">IF(Q25="","",IF($B$7="Menor valor",($E$4/$A$4)*($B25/Q25),IF(Q25&lt;=$B25,($E$4/$A$4)*(1-(($B25-Q25)/$B25)),($E$4*60%/$A$4)*(1-2*((ABS($B25-Q25))/$B25)))))</f>
        <v/>
      </c>
      <c r="S25" s="131"/>
      <c r="T25" s="132" t="str">
        <f t="shared" ref="T25" si="168">IF(S25="","",IF($B$7="Menor valor",($E$4/$A$4)*($B25/S25),IF(S25&lt;=$B25,($E$4/$A$4)*(1-(($B25-S25)/$B25)),($E$4*60%/$A$4)*(1-2*((ABS($B25-S25))/$B25)))))</f>
        <v/>
      </c>
      <c r="U25" s="131"/>
      <c r="V25" s="132" t="str">
        <f t="shared" ref="V25" si="169">IF(U25="","",IF($B$7="Menor valor",($E$4/$A$4)*($B25/U25),IF(U25&lt;=$B25,($E$4/$A$4)*(1-(($B25-U25)/$B25)),($E$4*60%/$A$4)*(1-2*((ABS($B25-U25))/$B25)))))</f>
        <v/>
      </c>
      <c r="W25" s="131"/>
      <c r="X25" s="132" t="str">
        <f t="shared" ref="X25" si="170">IF(W25="","",IF($B$7="Menor valor",($E$4/$A$4)*($B25/W25),IF(W25&lt;=$B25,($E$4/$A$4)*(1-(($B25-W25)/$B25)),($E$4*60%/$A$4)*(1-2*((ABS($B25-W25))/$B25)))))</f>
        <v/>
      </c>
      <c r="Y25" s="131"/>
      <c r="Z25" s="132" t="str">
        <f t="shared" ref="Z25" si="171">IF(Y25="","",IF($B$7="Menor valor",($E$4/$A$4)*($B25/Y25),IF(Y25&lt;=$B25,($E$4/$A$4)*(1-(($B25-Y25)/$B25)),($E$4*60%/$A$4)*(1-2*((ABS($B25-Y25))/$B25)))))</f>
        <v/>
      </c>
      <c r="AA25" s="129">
        <v>1</v>
      </c>
    </row>
    <row r="26" spans="1:27" s="129" customFormat="1" ht="21" customHeight="1">
      <c r="A26" s="204" t="str">
        <f>+'Presupuesto Consolidado'!A37</f>
        <v>2.1.7</v>
      </c>
      <c r="B26" s="130">
        <f t="shared" si="0"/>
        <v>73026</v>
      </c>
      <c r="C26" s="131">
        <f>IF($C$7="Habilitado",ROUND('Presupuesto Consolidado'!E37,2),"")</f>
        <v>73026</v>
      </c>
      <c r="D26" s="132">
        <f t="shared" si="1"/>
        <v>0.78125</v>
      </c>
      <c r="E26" s="131" t="str">
        <f>IF($E$7="Habilitado",ROUND('Presupuesto Consolidado'!L37,2),"")</f>
        <v/>
      </c>
      <c r="F26" s="132" t="str">
        <f t="shared" si="1"/>
        <v/>
      </c>
      <c r="G26" s="131"/>
      <c r="H26" s="132" t="str">
        <f t="shared" ref="H26" si="172">IF(G26="","",IF($B$7="Menor valor",($E$4/$A$4)*($B26/G26),IF(G26&lt;=$B26,($E$4/$A$4)*(1-(($B26-G26)/$B26)),($E$4*60%/$A$4)*(1-2*((ABS($B26-G26))/$B26)))))</f>
        <v/>
      </c>
      <c r="I26" s="131"/>
      <c r="J26" s="132" t="str">
        <f t="shared" ref="J26" si="173">IF(I26="","",IF($B$7="Menor valor",($E$4/$A$4)*($B26/I26),IF(I26&lt;=$B26,($E$4/$A$4)*(1-(($B26-I26)/$B26)),($E$4*60%/$A$4)*(1-2*((ABS($B26-I26))/$B26)))))</f>
        <v/>
      </c>
      <c r="K26" s="131"/>
      <c r="L26" s="132" t="str">
        <f t="shared" ref="L26" si="174">IF(K26="","",IF($B$7="Menor valor",($E$4/$A$4)*($B26/K26),IF(K26&lt;=$B26,($E$4/$A$4)*(1-(($B26-K26)/$B26)),($E$4*60%/$A$4)*(1-2*((ABS($B26-K26))/$B26)))))</f>
        <v/>
      </c>
      <c r="M26" s="131"/>
      <c r="N26" s="132" t="str">
        <f t="shared" ref="N26" si="175">IF(M26="","",IF($B$7="Menor valor",($E$4/$A$4)*($B26/M26),IF(M26&lt;=$B26,($E$4/$A$4)*(1-(($B26-M26)/$B26)),($E$4*60%/$A$4)*(1-2*((ABS($B26-M26))/$B26)))))</f>
        <v/>
      </c>
      <c r="O26" s="131"/>
      <c r="P26" s="132" t="str">
        <f t="shared" ref="P26" si="176">IF(O26="","",IF($B$7="Menor valor",($E$4/$A$4)*($B26/O26),IF(O26&lt;=$B26,($E$4/$A$4)*(1-(($B26-O26)/$B26)),($E$4*60%/$A$4)*(1-2*((ABS($B26-O26))/$B26)))))</f>
        <v/>
      </c>
      <c r="Q26" s="131"/>
      <c r="R26" s="132" t="str">
        <f t="shared" ref="R26" si="177">IF(Q26="","",IF($B$7="Menor valor",($E$4/$A$4)*($B26/Q26),IF(Q26&lt;=$B26,($E$4/$A$4)*(1-(($B26-Q26)/$B26)),($E$4*60%/$A$4)*(1-2*((ABS($B26-Q26))/$B26)))))</f>
        <v/>
      </c>
      <c r="S26" s="131"/>
      <c r="T26" s="132" t="str">
        <f t="shared" ref="T26" si="178">IF(S26="","",IF($B$7="Menor valor",($E$4/$A$4)*($B26/S26),IF(S26&lt;=$B26,($E$4/$A$4)*(1-(($B26-S26)/$B26)),($E$4*60%/$A$4)*(1-2*((ABS($B26-S26))/$B26)))))</f>
        <v/>
      </c>
      <c r="U26" s="131"/>
      <c r="V26" s="132" t="str">
        <f t="shared" ref="V26" si="179">IF(U26="","",IF($B$7="Menor valor",($E$4/$A$4)*($B26/U26),IF(U26&lt;=$B26,($E$4/$A$4)*(1-(($B26-U26)/$B26)),($E$4*60%/$A$4)*(1-2*((ABS($B26-U26))/$B26)))))</f>
        <v/>
      </c>
      <c r="W26" s="131"/>
      <c r="X26" s="132" t="str">
        <f t="shared" ref="X26" si="180">IF(W26="","",IF($B$7="Menor valor",($E$4/$A$4)*($B26/W26),IF(W26&lt;=$B26,($E$4/$A$4)*(1-(($B26-W26)/$B26)),($E$4*60%/$A$4)*(1-2*((ABS($B26-W26))/$B26)))))</f>
        <v/>
      </c>
      <c r="Y26" s="131"/>
      <c r="Z26" s="132" t="str">
        <f t="shared" ref="Z26" si="181">IF(Y26="","",IF($B$7="Menor valor",($E$4/$A$4)*($B26/Y26),IF(Y26&lt;=$B26,($E$4/$A$4)*(1-(($B26-Y26)/$B26)),($E$4*60%/$A$4)*(1-2*((ABS($B26-Y26))/$B26)))))</f>
        <v/>
      </c>
      <c r="AA26" s="129">
        <v>1</v>
      </c>
    </row>
    <row r="27" spans="1:27" s="129" customFormat="1" ht="21" customHeight="1">
      <c r="A27" s="204" t="str">
        <f>+'Presupuesto Consolidado'!A38</f>
        <v>2.1.8</v>
      </c>
      <c r="B27" s="130">
        <f t="shared" si="0"/>
        <v>58918</v>
      </c>
      <c r="C27" s="131">
        <f>IF($C$7="Habilitado",ROUND('Presupuesto Consolidado'!E38,2),"")</f>
        <v>58918</v>
      </c>
      <c r="D27" s="132">
        <f t="shared" si="1"/>
        <v>0.78125</v>
      </c>
      <c r="E27" s="131" t="str">
        <f>IF($E$7="Habilitado",ROUND('Presupuesto Consolidado'!L38,2),"")</f>
        <v/>
      </c>
      <c r="F27" s="132" t="str">
        <f t="shared" si="1"/>
        <v/>
      </c>
      <c r="G27" s="131"/>
      <c r="H27" s="132" t="str">
        <f t="shared" ref="H27" si="182">IF(G27="","",IF($B$7="Menor valor",($E$4/$A$4)*($B27/G27),IF(G27&lt;=$B27,($E$4/$A$4)*(1-(($B27-G27)/$B27)),($E$4*60%/$A$4)*(1-2*((ABS($B27-G27))/$B27)))))</f>
        <v/>
      </c>
      <c r="I27" s="131"/>
      <c r="J27" s="132" t="str">
        <f t="shared" ref="J27" si="183">IF(I27="","",IF($B$7="Menor valor",($E$4/$A$4)*($B27/I27),IF(I27&lt;=$B27,($E$4/$A$4)*(1-(($B27-I27)/$B27)),($E$4*60%/$A$4)*(1-2*((ABS($B27-I27))/$B27)))))</f>
        <v/>
      </c>
      <c r="K27" s="131"/>
      <c r="L27" s="132" t="str">
        <f t="shared" ref="L27" si="184">IF(K27="","",IF($B$7="Menor valor",($E$4/$A$4)*($B27/K27),IF(K27&lt;=$B27,($E$4/$A$4)*(1-(($B27-K27)/$B27)),($E$4*60%/$A$4)*(1-2*((ABS($B27-K27))/$B27)))))</f>
        <v/>
      </c>
      <c r="M27" s="131"/>
      <c r="N27" s="132" t="str">
        <f t="shared" ref="N27" si="185">IF(M27="","",IF($B$7="Menor valor",($E$4/$A$4)*($B27/M27),IF(M27&lt;=$B27,($E$4/$A$4)*(1-(($B27-M27)/$B27)),($E$4*60%/$A$4)*(1-2*((ABS($B27-M27))/$B27)))))</f>
        <v/>
      </c>
      <c r="O27" s="131"/>
      <c r="P27" s="132" t="str">
        <f t="shared" ref="P27" si="186">IF(O27="","",IF($B$7="Menor valor",($E$4/$A$4)*($B27/O27),IF(O27&lt;=$B27,($E$4/$A$4)*(1-(($B27-O27)/$B27)),($E$4*60%/$A$4)*(1-2*((ABS($B27-O27))/$B27)))))</f>
        <v/>
      </c>
      <c r="Q27" s="131"/>
      <c r="R27" s="132" t="str">
        <f t="shared" ref="R27" si="187">IF(Q27="","",IF($B$7="Menor valor",($E$4/$A$4)*($B27/Q27),IF(Q27&lt;=$B27,($E$4/$A$4)*(1-(($B27-Q27)/$B27)),($E$4*60%/$A$4)*(1-2*((ABS($B27-Q27))/$B27)))))</f>
        <v/>
      </c>
      <c r="S27" s="131"/>
      <c r="T27" s="132" t="str">
        <f t="shared" ref="T27" si="188">IF(S27="","",IF($B$7="Menor valor",($E$4/$A$4)*($B27/S27),IF(S27&lt;=$B27,($E$4/$A$4)*(1-(($B27-S27)/$B27)),($E$4*60%/$A$4)*(1-2*((ABS($B27-S27))/$B27)))))</f>
        <v/>
      </c>
      <c r="U27" s="131"/>
      <c r="V27" s="132" t="str">
        <f t="shared" ref="V27" si="189">IF(U27="","",IF($B$7="Menor valor",($E$4/$A$4)*($B27/U27),IF(U27&lt;=$B27,($E$4/$A$4)*(1-(($B27-U27)/$B27)),($E$4*60%/$A$4)*(1-2*((ABS($B27-U27))/$B27)))))</f>
        <v/>
      </c>
      <c r="W27" s="131"/>
      <c r="X27" s="132" t="str">
        <f t="shared" ref="X27" si="190">IF(W27="","",IF($B$7="Menor valor",($E$4/$A$4)*($B27/W27),IF(W27&lt;=$B27,($E$4/$A$4)*(1-(($B27-W27)/$B27)),($E$4*60%/$A$4)*(1-2*((ABS($B27-W27))/$B27)))))</f>
        <v/>
      </c>
      <c r="Y27" s="131"/>
      <c r="Z27" s="132" t="str">
        <f t="shared" ref="Z27" si="191">IF(Y27="","",IF($B$7="Menor valor",($E$4/$A$4)*($B27/Y27),IF(Y27&lt;=$B27,($E$4/$A$4)*(1-(($B27-Y27)/$B27)),($E$4*60%/$A$4)*(1-2*((ABS($B27-Y27))/$B27)))))</f>
        <v/>
      </c>
      <c r="AA27" s="129">
        <v>1</v>
      </c>
    </row>
    <row r="28" spans="1:27" s="129" customFormat="1" ht="21" customHeight="1">
      <c r="A28" s="204" t="str">
        <f>+'Presupuesto Consolidado'!A39</f>
        <v>2.1.9</v>
      </c>
      <c r="B28" s="130">
        <f t="shared" si="0"/>
        <v>52264</v>
      </c>
      <c r="C28" s="131">
        <f>IF($C$7="Habilitado",ROUND('Presupuesto Consolidado'!E39,2),"")</f>
        <v>52264</v>
      </c>
      <c r="D28" s="132">
        <f t="shared" si="1"/>
        <v>0.78125</v>
      </c>
      <c r="E28" s="131" t="str">
        <f>IF($E$7="Habilitado",ROUND('Presupuesto Consolidado'!L39,2),"")</f>
        <v/>
      </c>
      <c r="F28" s="132" t="str">
        <f t="shared" si="1"/>
        <v/>
      </c>
      <c r="G28" s="131"/>
      <c r="H28" s="132" t="str">
        <f t="shared" ref="H28" si="192">IF(G28="","",IF($B$7="Menor valor",($E$4/$A$4)*($B28/G28),IF(G28&lt;=$B28,($E$4/$A$4)*(1-(($B28-G28)/$B28)),($E$4*60%/$A$4)*(1-2*((ABS($B28-G28))/$B28)))))</f>
        <v/>
      </c>
      <c r="I28" s="131"/>
      <c r="J28" s="132" t="str">
        <f t="shared" ref="J28" si="193">IF(I28="","",IF($B$7="Menor valor",($E$4/$A$4)*($B28/I28),IF(I28&lt;=$B28,($E$4/$A$4)*(1-(($B28-I28)/$B28)),($E$4*60%/$A$4)*(1-2*((ABS($B28-I28))/$B28)))))</f>
        <v/>
      </c>
      <c r="K28" s="131"/>
      <c r="L28" s="132" t="str">
        <f t="shared" ref="L28" si="194">IF(K28="","",IF($B$7="Menor valor",($E$4/$A$4)*($B28/K28),IF(K28&lt;=$B28,($E$4/$A$4)*(1-(($B28-K28)/$B28)),($E$4*60%/$A$4)*(1-2*((ABS($B28-K28))/$B28)))))</f>
        <v/>
      </c>
      <c r="M28" s="131"/>
      <c r="N28" s="132" t="str">
        <f t="shared" ref="N28" si="195">IF(M28="","",IF($B$7="Menor valor",($E$4/$A$4)*($B28/M28),IF(M28&lt;=$B28,($E$4/$A$4)*(1-(($B28-M28)/$B28)),($E$4*60%/$A$4)*(1-2*((ABS($B28-M28))/$B28)))))</f>
        <v/>
      </c>
      <c r="O28" s="131"/>
      <c r="P28" s="132" t="str">
        <f t="shared" ref="P28" si="196">IF(O28="","",IF($B$7="Menor valor",($E$4/$A$4)*($B28/O28),IF(O28&lt;=$B28,($E$4/$A$4)*(1-(($B28-O28)/$B28)),($E$4*60%/$A$4)*(1-2*((ABS($B28-O28))/$B28)))))</f>
        <v/>
      </c>
      <c r="Q28" s="131"/>
      <c r="R28" s="132" t="str">
        <f t="shared" ref="R28" si="197">IF(Q28="","",IF($B$7="Menor valor",($E$4/$A$4)*($B28/Q28),IF(Q28&lt;=$B28,($E$4/$A$4)*(1-(($B28-Q28)/$B28)),($E$4*60%/$A$4)*(1-2*((ABS($B28-Q28))/$B28)))))</f>
        <v/>
      </c>
      <c r="S28" s="131"/>
      <c r="T28" s="132" t="str">
        <f t="shared" ref="T28" si="198">IF(S28="","",IF($B$7="Menor valor",($E$4/$A$4)*($B28/S28),IF(S28&lt;=$B28,($E$4/$A$4)*(1-(($B28-S28)/$B28)),($E$4*60%/$A$4)*(1-2*((ABS($B28-S28))/$B28)))))</f>
        <v/>
      </c>
      <c r="U28" s="131"/>
      <c r="V28" s="132" t="str">
        <f t="shared" ref="V28" si="199">IF(U28="","",IF($B$7="Menor valor",($E$4/$A$4)*($B28/U28),IF(U28&lt;=$B28,($E$4/$A$4)*(1-(($B28-U28)/$B28)),($E$4*60%/$A$4)*(1-2*((ABS($B28-U28))/$B28)))))</f>
        <v/>
      </c>
      <c r="W28" s="131"/>
      <c r="X28" s="132" t="str">
        <f t="shared" ref="X28" si="200">IF(W28="","",IF($B$7="Menor valor",($E$4/$A$4)*($B28/W28),IF(W28&lt;=$B28,($E$4/$A$4)*(1-(($B28-W28)/$B28)),($E$4*60%/$A$4)*(1-2*((ABS($B28-W28))/$B28)))))</f>
        <v/>
      </c>
      <c r="Y28" s="131"/>
      <c r="Z28" s="132" t="str">
        <f t="shared" ref="Z28" si="201">IF(Y28="","",IF($B$7="Menor valor",($E$4/$A$4)*($B28/Y28),IF(Y28&lt;=$B28,($E$4/$A$4)*(1-(($B28-Y28)/$B28)),($E$4*60%/$A$4)*(1-2*((ABS($B28-Y28))/$B28)))))</f>
        <v/>
      </c>
      <c r="AA28" s="129">
        <v>1</v>
      </c>
    </row>
    <row r="29" spans="1:27" s="129" customFormat="1" ht="21" customHeight="1">
      <c r="A29" s="204" t="str">
        <f>+'Presupuesto Consolidado'!A40</f>
        <v>2.1.10</v>
      </c>
      <c r="B29" s="130">
        <f t="shared" si="0"/>
        <v>46246</v>
      </c>
      <c r="C29" s="131">
        <f>IF($C$7="Habilitado",ROUND('Presupuesto Consolidado'!E40,2),"")</f>
        <v>46246</v>
      </c>
      <c r="D29" s="132">
        <f t="shared" si="1"/>
        <v>0.78125</v>
      </c>
      <c r="E29" s="131" t="str">
        <f>IF($E$7="Habilitado",ROUND('Presupuesto Consolidado'!L40,2),"")</f>
        <v/>
      </c>
      <c r="F29" s="132" t="str">
        <f t="shared" si="1"/>
        <v/>
      </c>
      <c r="G29" s="131"/>
      <c r="H29" s="132" t="str">
        <f t="shared" ref="H29" si="202">IF(G29="","",IF($B$7="Menor valor",($E$4/$A$4)*($B29/G29),IF(G29&lt;=$B29,($E$4/$A$4)*(1-(($B29-G29)/$B29)),($E$4*60%/$A$4)*(1-2*((ABS($B29-G29))/$B29)))))</f>
        <v/>
      </c>
      <c r="I29" s="131"/>
      <c r="J29" s="132" t="str">
        <f t="shared" ref="J29" si="203">IF(I29="","",IF($B$7="Menor valor",($E$4/$A$4)*($B29/I29),IF(I29&lt;=$B29,($E$4/$A$4)*(1-(($B29-I29)/$B29)),($E$4*60%/$A$4)*(1-2*((ABS($B29-I29))/$B29)))))</f>
        <v/>
      </c>
      <c r="K29" s="131"/>
      <c r="L29" s="132" t="str">
        <f t="shared" ref="L29" si="204">IF(K29="","",IF($B$7="Menor valor",($E$4/$A$4)*($B29/K29),IF(K29&lt;=$B29,($E$4/$A$4)*(1-(($B29-K29)/$B29)),($E$4*60%/$A$4)*(1-2*((ABS($B29-K29))/$B29)))))</f>
        <v/>
      </c>
      <c r="M29" s="131"/>
      <c r="N29" s="132" t="str">
        <f t="shared" ref="N29" si="205">IF(M29="","",IF($B$7="Menor valor",($E$4/$A$4)*($B29/M29),IF(M29&lt;=$B29,($E$4/$A$4)*(1-(($B29-M29)/$B29)),($E$4*60%/$A$4)*(1-2*((ABS($B29-M29))/$B29)))))</f>
        <v/>
      </c>
      <c r="O29" s="131"/>
      <c r="P29" s="132" t="str">
        <f t="shared" ref="P29" si="206">IF(O29="","",IF($B$7="Menor valor",($E$4/$A$4)*($B29/O29),IF(O29&lt;=$B29,($E$4/$A$4)*(1-(($B29-O29)/$B29)),($E$4*60%/$A$4)*(1-2*((ABS($B29-O29))/$B29)))))</f>
        <v/>
      </c>
      <c r="Q29" s="131"/>
      <c r="R29" s="132" t="str">
        <f t="shared" ref="R29" si="207">IF(Q29="","",IF($B$7="Menor valor",($E$4/$A$4)*($B29/Q29),IF(Q29&lt;=$B29,($E$4/$A$4)*(1-(($B29-Q29)/$B29)),($E$4*60%/$A$4)*(1-2*((ABS($B29-Q29))/$B29)))))</f>
        <v/>
      </c>
      <c r="S29" s="131"/>
      <c r="T29" s="132" t="str">
        <f t="shared" ref="T29" si="208">IF(S29="","",IF($B$7="Menor valor",($E$4/$A$4)*($B29/S29),IF(S29&lt;=$B29,($E$4/$A$4)*(1-(($B29-S29)/$B29)),($E$4*60%/$A$4)*(1-2*((ABS($B29-S29))/$B29)))))</f>
        <v/>
      </c>
      <c r="U29" s="131"/>
      <c r="V29" s="132" t="str">
        <f t="shared" ref="V29" si="209">IF(U29="","",IF($B$7="Menor valor",($E$4/$A$4)*($B29/U29),IF(U29&lt;=$B29,($E$4/$A$4)*(1-(($B29-U29)/$B29)),($E$4*60%/$A$4)*(1-2*((ABS($B29-U29))/$B29)))))</f>
        <v/>
      </c>
      <c r="W29" s="131"/>
      <c r="X29" s="132" t="str">
        <f t="shared" ref="X29" si="210">IF(W29="","",IF($B$7="Menor valor",($E$4/$A$4)*($B29/W29),IF(W29&lt;=$B29,($E$4/$A$4)*(1-(($B29-W29)/$B29)),($E$4*60%/$A$4)*(1-2*((ABS($B29-W29))/$B29)))))</f>
        <v/>
      </c>
      <c r="Y29" s="131"/>
      <c r="Z29" s="132" t="str">
        <f t="shared" ref="Z29" si="211">IF(Y29="","",IF($B$7="Menor valor",($E$4/$A$4)*($B29/Y29),IF(Y29&lt;=$B29,($E$4/$A$4)*(1-(($B29-Y29)/$B29)),($E$4*60%/$A$4)*(1-2*((ABS($B29-Y29))/$B29)))))</f>
        <v/>
      </c>
      <c r="AA29" s="129">
        <v>1</v>
      </c>
    </row>
    <row r="30" spans="1:27" s="129" customFormat="1" ht="21" customHeight="1">
      <c r="A30" s="204" t="str">
        <f>+'Presupuesto Consolidado'!A41</f>
        <v>2.1.11</v>
      </c>
      <c r="B30" s="130">
        <f t="shared" si="0"/>
        <v>38572</v>
      </c>
      <c r="C30" s="131">
        <f>IF($C$7="Habilitado",ROUND('Presupuesto Consolidado'!E41,2),"")</f>
        <v>38572</v>
      </c>
      <c r="D30" s="132">
        <f t="shared" si="1"/>
        <v>0.78125</v>
      </c>
      <c r="E30" s="131" t="str">
        <f>IF($E$7="Habilitado",ROUND('Presupuesto Consolidado'!L41,2),"")</f>
        <v/>
      </c>
      <c r="F30" s="132" t="str">
        <f t="shared" si="1"/>
        <v/>
      </c>
      <c r="G30" s="131"/>
      <c r="H30" s="132" t="str">
        <f t="shared" ref="H30" si="212">IF(G30="","",IF($B$7="Menor valor",($E$4/$A$4)*($B30/G30),IF(G30&lt;=$B30,($E$4/$A$4)*(1-(($B30-G30)/$B30)),($E$4*60%/$A$4)*(1-2*((ABS($B30-G30))/$B30)))))</f>
        <v/>
      </c>
      <c r="I30" s="131"/>
      <c r="J30" s="132" t="str">
        <f t="shared" ref="J30" si="213">IF(I30="","",IF($B$7="Menor valor",($E$4/$A$4)*($B30/I30),IF(I30&lt;=$B30,($E$4/$A$4)*(1-(($B30-I30)/$B30)),($E$4*60%/$A$4)*(1-2*((ABS($B30-I30))/$B30)))))</f>
        <v/>
      </c>
      <c r="K30" s="131"/>
      <c r="L30" s="132" t="str">
        <f t="shared" ref="L30" si="214">IF(K30="","",IF($B$7="Menor valor",($E$4/$A$4)*($B30/K30),IF(K30&lt;=$B30,($E$4/$A$4)*(1-(($B30-K30)/$B30)),($E$4*60%/$A$4)*(1-2*((ABS($B30-K30))/$B30)))))</f>
        <v/>
      </c>
      <c r="M30" s="131"/>
      <c r="N30" s="132" t="str">
        <f t="shared" ref="N30" si="215">IF(M30="","",IF($B$7="Menor valor",($E$4/$A$4)*($B30/M30),IF(M30&lt;=$B30,($E$4/$A$4)*(1-(($B30-M30)/$B30)),($E$4*60%/$A$4)*(1-2*((ABS($B30-M30))/$B30)))))</f>
        <v/>
      </c>
      <c r="O30" s="131"/>
      <c r="P30" s="132" t="str">
        <f t="shared" ref="P30" si="216">IF(O30="","",IF($B$7="Menor valor",($E$4/$A$4)*($B30/O30),IF(O30&lt;=$B30,($E$4/$A$4)*(1-(($B30-O30)/$B30)),($E$4*60%/$A$4)*(1-2*((ABS($B30-O30))/$B30)))))</f>
        <v/>
      </c>
      <c r="Q30" s="131"/>
      <c r="R30" s="132" t="str">
        <f t="shared" ref="R30" si="217">IF(Q30="","",IF($B$7="Menor valor",($E$4/$A$4)*($B30/Q30),IF(Q30&lt;=$B30,($E$4/$A$4)*(1-(($B30-Q30)/$B30)),($E$4*60%/$A$4)*(1-2*((ABS($B30-Q30))/$B30)))))</f>
        <v/>
      </c>
      <c r="S30" s="131"/>
      <c r="T30" s="132" t="str">
        <f t="shared" ref="T30" si="218">IF(S30="","",IF($B$7="Menor valor",($E$4/$A$4)*($B30/S30),IF(S30&lt;=$B30,($E$4/$A$4)*(1-(($B30-S30)/$B30)),($E$4*60%/$A$4)*(1-2*((ABS($B30-S30))/$B30)))))</f>
        <v/>
      </c>
      <c r="U30" s="131"/>
      <c r="V30" s="132" t="str">
        <f t="shared" ref="V30" si="219">IF(U30="","",IF($B$7="Menor valor",($E$4/$A$4)*($B30/U30),IF(U30&lt;=$B30,($E$4/$A$4)*(1-(($B30-U30)/$B30)),($E$4*60%/$A$4)*(1-2*((ABS($B30-U30))/$B30)))))</f>
        <v/>
      </c>
      <c r="W30" s="131"/>
      <c r="X30" s="132" t="str">
        <f t="shared" ref="X30" si="220">IF(W30="","",IF($B$7="Menor valor",($E$4/$A$4)*($B30/W30),IF(W30&lt;=$B30,($E$4/$A$4)*(1-(($B30-W30)/$B30)),($E$4*60%/$A$4)*(1-2*((ABS($B30-W30))/$B30)))))</f>
        <v/>
      </c>
      <c r="Y30" s="131"/>
      <c r="Z30" s="132" t="str">
        <f t="shared" ref="Z30" si="221">IF(Y30="","",IF($B$7="Menor valor",($E$4/$A$4)*($B30/Y30),IF(Y30&lt;=$B30,($E$4/$A$4)*(1-(($B30-Y30)/$B30)),($E$4*60%/$A$4)*(1-2*((ABS($B30-Y30))/$B30)))))</f>
        <v/>
      </c>
      <c r="AA30" s="129">
        <v>1</v>
      </c>
    </row>
    <row r="31" spans="1:27" s="129" customFormat="1" ht="21" customHeight="1">
      <c r="A31" s="204" t="str">
        <f>+'Presupuesto Consolidado'!A42</f>
        <v>2.1.12</v>
      </c>
      <c r="B31" s="130">
        <f t="shared" si="0"/>
        <v>560191</v>
      </c>
      <c r="C31" s="131">
        <f>IF($C$7="Habilitado",ROUND('Presupuesto Consolidado'!E42,2),"")</f>
        <v>560191</v>
      </c>
      <c r="D31" s="132">
        <f t="shared" si="1"/>
        <v>0.78125</v>
      </c>
      <c r="E31" s="131" t="str">
        <f>IF($E$7="Habilitado",ROUND('Presupuesto Consolidado'!L42,2),"")</f>
        <v/>
      </c>
      <c r="F31" s="132" t="str">
        <f t="shared" si="1"/>
        <v/>
      </c>
      <c r="G31" s="131"/>
      <c r="H31" s="132" t="str">
        <f t="shared" ref="H31" si="222">IF(G31="","",IF($B$7="Menor valor",($E$4/$A$4)*($B31/G31),IF(G31&lt;=$B31,($E$4/$A$4)*(1-(($B31-G31)/$B31)),($E$4*60%/$A$4)*(1-2*((ABS($B31-G31))/$B31)))))</f>
        <v/>
      </c>
      <c r="I31" s="131"/>
      <c r="J31" s="132" t="str">
        <f t="shared" ref="J31" si="223">IF(I31="","",IF($B$7="Menor valor",($E$4/$A$4)*($B31/I31),IF(I31&lt;=$B31,($E$4/$A$4)*(1-(($B31-I31)/$B31)),($E$4*60%/$A$4)*(1-2*((ABS($B31-I31))/$B31)))))</f>
        <v/>
      </c>
      <c r="K31" s="131"/>
      <c r="L31" s="132" t="str">
        <f t="shared" ref="L31" si="224">IF(K31="","",IF($B$7="Menor valor",($E$4/$A$4)*($B31/K31),IF(K31&lt;=$B31,($E$4/$A$4)*(1-(($B31-K31)/$B31)),($E$4*60%/$A$4)*(1-2*((ABS($B31-K31))/$B31)))))</f>
        <v/>
      </c>
      <c r="M31" s="131"/>
      <c r="N31" s="132" t="str">
        <f t="shared" ref="N31" si="225">IF(M31="","",IF($B$7="Menor valor",($E$4/$A$4)*($B31/M31),IF(M31&lt;=$B31,($E$4/$A$4)*(1-(($B31-M31)/$B31)),($E$4*60%/$A$4)*(1-2*((ABS($B31-M31))/$B31)))))</f>
        <v/>
      </c>
      <c r="O31" s="131"/>
      <c r="P31" s="132" t="str">
        <f t="shared" ref="P31" si="226">IF(O31="","",IF($B$7="Menor valor",($E$4/$A$4)*($B31/O31),IF(O31&lt;=$B31,($E$4/$A$4)*(1-(($B31-O31)/$B31)),($E$4*60%/$A$4)*(1-2*((ABS($B31-O31))/$B31)))))</f>
        <v/>
      </c>
      <c r="Q31" s="131"/>
      <c r="R31" s="132" t="str">
        <f t="shared" ref="R31" si="227">IF(Q31="","",IF($B$7="Menor valor",($E$4/$A$4)*($B31/Q31),IF(Q31&lt;=$B31,($E$4/$A$4)*(1-(($B31-Q31)/$B31)),($E$4*60%/$A$4)*(1-2*((ABS($B31-Q31))/$B31)))))</f>
        <v/>
      </c>
      <c r="S31" s="131"/>
      <c r="T31" s="132" t="str">
        <f t="shared" ref="T31" si="228">IF(S31="","",IF($B$7="Menor valor",($E$4/$A$4)*($B31/S31),IF(S31&lt;=$B31,($E$4/$A$4)*(1-(($B31-S31)/$B31)),($E$4*60%/$A$4)*(1-2*((ABS($B31-S31))/$B31)))))</f>
        <v/>
      </c>
      <c r="U31" s="131"/>
      <c r="V31" s="132" t="str">
        <f t="shared" ref="V31" si="229">IF(U31="","",IF($B$7="Menor valor",($E$4/$A$4)*($B31/U31),IF(U31&lt;=$B31,($E$4/$A$4)*(1-(($B31-U31)/$B31)),($E$4*60%/$A$4)*(1-2*((ABS($B31-U31))/$B31)))))</f>
        <v/>
      </c>
      <c r="W31" s="131"/>
      <c r="X31" s="132" t="str">
        <f t="shared" ref="X31" si="230">IF(W31="","",IF($B$7="Menor valor",($E$4/$A$4)*($B31/W31),IF(W31&lt;=$B31,($E$4/$A$4)*(1-(($B31-W31)/$B31)),($E$4*60%/$A$4)*(1-2*((ABS($B31-W31))/$B31)))))</f>
        <v/>
      </c>
      <c r="Y31" s="131"/>
      <c r="Z31" s="132" t="str">
        <f t="shared" ref="Z31" si="231">IF(Y31="","",IF($B$7="Menor valor",($E$4/$A$4)*($B31/Y31),IF(Y31&lt;=$B31,($E$4/$A$4)*(1-(($B31-Y31)/$B31)),($E$4*60%/$A$4)*(1-2*((ABS($B31-Y31))/$B31)))))</f>
        <v/>
      </c>
      <c r="AA31" s="129">
        <v>1</v>
      </c>
    </row>
    <row r="32" spans="1:27" s="129" customFormat="1" ht="21" customHeight="1">
      <c r="A32" s="204" t="str">
        <f>+'Presupuesto Consolidado'!A43</f>
        <v>2.1.13</v>
      </c>
      <c r="B32" s="130">
        <f t="shared" si="0"/>
        <v>448121</v>
      </c>
      <c r="C32" s="131">
        <f>IF($C$7="Habilitado",ROUND('Presupuesto Consolidado'!E43,2),"")</f>
        <v>448121</v>
      </c>
      <c r="D32" s="132">
        <f t="shared" si="1"/>
        <v>0.78125</v>
      </c>
      <c r="E32" s="131" t="str">
        <f>IF($E$7="Habilitado",ROUND('Presupuesto Consolidado'!L43,2),"")</f>
        <v/>
      </c>
      <c r="F32" s="132" t="str">
        <f t="shared" si="1"/>
        <v/>
      </c>
      <c r="G32" s="131"/>
      <c r="H32" s="132" t="str">
        <f t="shared" ref="H32" si="232">IF(G32="","",IF($B$7="Menor valor",($E$4/$A$4)*($B32/G32),IF(G32&lt;=$B32,($E$4/$A$4)*(1-(($B32-G32)/$B32)),($E$4*60%/$A$4)*(1-2*((ABS($B32-G32))/$B32)))))</f>
        <v/>
      </c>
      <c r="I32" s="131"/>
      <c r="J32" s="132" t="str">
        <f t="shared" ref="J32" si="233">IF(I32="","",IF($B$7="Menor valor",($E$4/$A$4)*($B32/I32),IF(I32&lt;=$B32,($E$4/$A$4)*(1-(($B32-I32)/$B32)),($E$4*60%/$A$4)*(1-2*((ABS($B32-I32))/$B32)))))</f>
        <v/>
      </c>
      <c r="K32" s="131"/>
      <c r="L32" s="132" t="str">
        <f t="shared" ref="L32" si="234">IF(K32="","",IF($B$7="Menor valor",($E$4/$A$4)*($B32/K32),IF(K32&lt;=$B32,($E$4/$A$4)*(1-(($B32-K32)/$B32)),($E$4*60%/$A$4)*(1-2*((ABS($B32-K32))/$B32)))))</f>
        <v/>
      </c>
      <c r="M32" s="131"/>
      <c r="N32" s="132" t="str">
        <f t="shared" ref="N32" si="235">IF(M32="","",IF($B$7="Menor valor",($E$4/$A$4)*($B32/M32),IF(M32&lt;=$B32,($E$4/$A$4)*(1-(($B32-M32)/$B32)),($E$4*60%/$A$4)*(1-2*((ABS($B32-M32))/$B32)))))</f>
        <v/>
      </c>
      <c r="O32" s="131"/>
      <c r="P32" s="132" t="str">
        <f t="shared" ref="P32" si="236">IF(O32="","",IF($B$7="Menor valor",($E$4/$A$4)*($B32/O32),IF(O32&lt;=$B32,($E$4/$A$4)*(1-(($B32-O32)/$B32)),($E$4*60%/$A$4)*(1-2*((ABS($B32-O32))/$B32)))))</f>
        <v/>
      </c>
      <c r="Q32" s="131"/>
      <c r="R32" s="132" t="str">
        <f t="shared" ref="R32" si="237">IF(Q32="","",IF($B$7="Menor valor",($E$4/$A$4)*($B32/Q32),IF(Q32&lt;=$B32,($E$4/$A$4)*(1-(($B32-Q32)/$B32)),($E$4*60%/$A$4)*(1-2*((ABS($B32-Q32))/$B32)))))</f>
        <v/>
      </c>
      <c r="S32" s="131"/>
      <c r="T32" s="132" t="str">
        <f t="shared" ref="T32" si="238">IF(S32="","",IF($B$7="Menor valor",($E$4/$A$4)*($B32/S32),IF(S32&lt;=$B32,($E$4/$A$4)*(1-(($B32-S32)/$B32)),($E$4*60%/$A$4)*(1-2*((ABS($B32-S32))/$B32)))))</f>
        <v/>
      </c>
      <c r="U32" s="131"/>
      <c r="V32" s="132" t="str">
        <f t="shared" ref="V32" si="239">IF(U32="","",IF($B$7="Menor valor",($E$4/$A$4)*($B32/U32),IF(U32&lt;=$B32,($E$4/$A$4)*(1-(($B32-U32)/$B32)),($E$4*60%/$A$4)*(1-2*((ABS($B32-U32))/$B32)))))</f>
        <v/>
      </c>
      <c r="W32" s="131"/>
      <c r="X32" s="132" t="str">
        <f t="shared" ref="X32" si="240">IF(W32="","",IF($B$7="Menor valor",($E$4/$A$4)*($B32/W32),IF(W32&lt;=$B32,($E$4/$A$4)*(1-(($B32-W32)/$B32)),($E$4*60%/$A$4)*(1-2*((ABS($B32-W32))/$B32)))))</f>
        <v/>
      </c>
      <c r="Y32" s="131"/>
      <c r="Z32" s="132" t="str">
        <f t="shared" ref="Z32" si="241">IF(Y32="","",IF($B$7="Menor valor",($E$4/$A$4)*($B32/Y32),IF(Y32&lt;=$B32,($E$4/$A$4)*(1-(($B32-Y32)/$B32)),($E$4*60%/$A$4)*(1-2*((ABS($B32-Y32))/$B32)))))</f>
        <v/>
      </c>
      <c r="AA32" s="129">
        <v>1</v>
      </c>
    </row>
    <row r="33" spans="1:27" s="129" customFormat="1" ht="21" customHeight="1">
      <c r="A33" s="204" t="str">
        <f>+'Presupuesto Consolidado'!A44</f>
        <v>2.1.14</v>
      </c>
      <c r="B33" s="130">
        <f t="shared" si="0"/>
        <v>400275</v>
      </c>
      <c r="C33" s="131">
        <f>IF($C$7="Habilitado",ROUND('Presupuesto Consolidado'!E44,2),"")</f>
        <v>400275</v>
      </c>
      <c r="D33" s="132">
        <f t="shared" si="1"/>
        <v>0.78125</v>
      </c>
      <c r="E33" s="131" t="str">
        <f>IF($E$7="Habilitado",ROUND('Presupuesto Consolidado'!L44,2),"")</f>
        <v/>
      </c>
      <c r="F33" s="132" t="str">
        <f t="shared" si="1"/>
        <v/>
      </c>
      <c r="G33" s="131"/>
      <c r="H33" s="132" t="str">
        <f t="shared" ref="H33" si="242">IF(G33="","",IF($B$7="Menor valor",($E$4/$A$4)*($B33/G33),IF(G33&lt;=$B33,($E$4/$A$4)*(1-(($B33-G33)/$B33)),($E$4*60%/$A$4)*(1-2*((ABS($B33-G33))/$B33)))))</f>
        <v/>
      </c>
      <c r="I33" s="131"/>
      <c r="J33" s="132" t="str">
        <f t="shared" ref="J33" si="243">IF(I33="","",IF($B$7="Menor valor",($E$4/$A$4)*($B33/I33),IF(I33&lt;=$B33,($E$4/$A$4)*(1-(($B33-I33)/$B33)),($E$4*60%/$A$4)*(1-2*((ABS($B33-I33))/$B33)))))</f>
        <v/>
      </c>
      <c r="K33" s="131"/>
      <c r="L33" s="132" t="str">
        <f t="shared" ref="L33" si="244">IF(K33="","",IF($B$7="Menor valor",($E$4/$A$4)*($B33/K33),IF(K33&lt;=$B33,($E$4/$A$4)*(1-(($B33-K33)/$B33)),($E$4*60%/$A$4)*(1-2*((ABS($B33-K33))/$B33)))))</f>
        <v/>
      </c>
      <c r="M33" s="131"/>
      <c r="N33" s="132" t="str">
        <f t="shared" ref="N33" si="245">IF(M33="","",IF($B$7="Menor valor",($E$4/$A$4)*($B33/M33),IF(M33&lt;=$B33,($E$4/$A$4)*(1-(($B33-M33)/$B33)),($E$4*60%/$A$4)*(1-2*((ABS($B33-M33))/$B33)))))</f>
        <v/>
      </c>
      <c r="O33" s="131"/>
      <c r="P33" s="132" t="str">
        <f t="shared" ref="P33" si="246">IF(O33="","",IF($B$7="Menor valor",($E$4/$A$4)*($B33/O33),IF(O33&lt;=$B33,($E$4/$A$4)*(1-(($B33-O33)/$B33)),($E$4*60%/$A$4)*(1-2*((ABS($B33-O33))/$B33)))))</f>
        <v/>
      </c>
      <c r="Q33" s="131"/>
      <c r="R33" s="132" t="str">
        <f t="shared" ref="R33" si="247">IF(Q33="","",IF($B$7="Menor valor",($E$4/$A$4)*($B33/Q33),IF(Q33&lt;=$B33,($E$4/$A$4)*(1-(($B33-Q33)/$B33)),($E$4*60%/$A$4)*(1-2*((ABS($B33-Q33))/$B33)))))</f>
        <v/>
      </c>
      <c r="S33" s="131"/>
      <c r="T33" s="132" t="str">
        <f t="shared" ref="T33" si="248">IF(S33="","",IF($B$7="Menor valor",($E$4/$A$4)*($B33/S33),IF(S33&lt;=$B33,($E$4/$A$4)*(1-(($B33-S33)/$B33)),($E$4*60%/$A$4)*(1-2*((ABS($B33-S33))/$B33)))))</f>
        <v/>
      </c>
      <c r="U33" s="131"/>
      <c r="V33" s="132" t="str">
        <f t="shared" ref="V33" si="249">IF(U33="","",IF($B$7="Menor valor",($E$4/$A$4)*($B33/U33),IF(U33&lt;=$B33,($E$4/$A$4)*(1-(($B33-U33)/$B33)),($E$4*60%/$A$4)*(1-2*((ABS($B33-U33))/$B33)))))</f>
        <v/>
      </c>
      <c r="W33" s="131"/>
      <c r="X33" s="132" t="str">
        <f t="shared" ref="X33" si="250">IF(W33="","",IF($B$7="Menor valor",($E$4/$A$4)*($B33/W33),IF(W33&lt;=$B33,($E$4/$A$4)*(1-(($B33-W33)/$B33)),($E$4*60%/$A$4)*(1-2*((ABS($B33-W33))/$B33)))))</f>
        <v/>
      </c>
      <c r="Y33" s="131"/>
      <c r="Z33" s="132" t="str">
        <f t="shared" ref="Z33" si="251">IF(Y33="","",IF($B$7="Menor valor",($E$4/$A$4)*($B33/Y33),IF(Y33&lt;=$B33,($E$4/$A$4)*(1-(($B33-Y33)/$B33)),($E$4*60%/$A$4)*(1-2*((ABS($B33-Y33))/$B33)))))</f>
        <v/>
      </c>
      <c r="AA33" s="129">
        <v>1</v>
      </c>
    </row>
    <row r="34" spans="1:27" s="129" customFormat="1" ht="21" customHeight="1">
      <c r="A34" s="204" t="str">
        <f>+'Presupuesto Consolidado'!A45</f>
        <v>2.1.15</v>
      </c>
      <c r="B34" s="130">
        <f t="shared" si="0"/>
        <v>496150</v>
      </c>
      <c r="C34" s="131">
        <f>IF($C$7="Habilitado",ROUND('Presupuesto Consolidado'!E45,2),"")</f>
        <v>496150</v>
      </c>
      <c r="D34" s="132">
        <f t="shared" si="1"/>
        <v>0.78125</v>
      </c>
      <c r="E34" s="131" t="str">
        <f>IF($E$7="Habilitado",ROUND('Presupuesto Consolidado'!L45,2),"")</f>
        <v/>
      </c>
      <c r="F34" s="132" t="str">
        <f t="shared" si="1"/>
        <v/>
      </c>
      <c r="G34" s="131"/>
      <c r="H34" s="132" t="str">
        <f t="shared" ref="H34" si="252">IF(G34="","",IF($B$7="Menor valor",($E$4/$A$4)*($B34/G34),IF(G34&lt;=$B34,($E$4/$A$4)*(1-(($B34-G34)/$B34)),($E$4*60%/$A$4)*(1-2*((ABS($B34-G34))/$B34)))))</f>
        <v/>
      </c>
      <c r="I34" s="131"/>
      <c r="J34" s="132" t="str">
        <f t="shared" ref="J34" si="253">IF(I34="","",IF($B$7="Menor valor",($E$4/$A$4)*($B34/I34),IF(I34&lt;=$B34,($E$4/$A$4)*(1-(($B34-I34)/$B34)),($E$4*60%/$A$4)*(1-2*((ABS($B34-I34))/$B34)))))</f>
        <v/>
      </c>
      <c r="K34" s="131"/>
      <c r="L34" s="132" t="str">
        <f t="shared" ref="L34" si="254">IF(K34="","",IF($B$7="Menor valor",($E$4/$A$4)*($B34/K34),IF(K34&lt;=$B34,($E$4/$A$4)*(1-(($B34-K34)/$B34)),($E$4*60%/$A$4)*(1-2*((ABS($B34-K34))/$B34)))))</f>
        <v/>
      </c>
      <c r="M34" s="131"/>
      <c r="N34" s="132" t="str">
        <f t="shared" ref="N34" si="255">IF(M34="","",IF($B$7="Menor valor",($E$4/$A$4)*($B34/M34),IF(M34&lt;=$B34,($E$4/$A$4)*(1-(($B34-M34)/$B34)),($E$4*60%/$A$4)*(1-2*((ABS($B34-M34))/$B34)))))</f>
        <v/>
      </c>
      <c r="O34" s="131"/>
      <c r="P34" s="132" t="str">
        <f t="shared" ref="P34" si="256">IF(O34="","",IF($B$7="Menor valor",($E$4/$A$4)*($B34/O34),IF(O34&lt;=$B34,($E$4/$A$4)*(1-(($B34-O34)/$B34)),($E$4*60%/$A$4)*(1-2*((ABS($B34-O34))/$B34)))))</f>
        <v/>
      </c>
      <c r="Q34" s="131"/>
      <c r="R34" s="132" t="str">
        <f t="shared" ref="R34" si="257">IF(Q34="","",IF($B$7="Menor valor",($E$4/$A$4)*($B34/Q34),IF(Q34&lt;=$B34,($E$4/$A$4)*(1-(($B34-Q34)/$B34)),($E$4*60%/$A$4)*(1-2*((ABS($B34-Q34))/$B34)))))</f>
        <v/>
      </c>
      <c r="S34" s="131"/>
      <c r="T34" s="132" t="str">
        <f t="shared" ref="T34" si="258">IF(S34="","",IF($B$7="Menor valor",($E$4/$A$4)*($B34/S34),IF(S34&lt;=$B34,($E$4/$A$4)*(1-(($B34-S34)/$B34)),($E$4*60%/$A$4)*(1-2*((ABS($B34-S34))/$B34)))))</f>
        <v/>
      </c>
      <c r="U34" s="131"/>
      <c r="V34" s="132" t="str">
        <f t="shared" ref="V34" si="259">IF(U34="","",IF($B$7="Menor valor",($E$4/$A$4)*($B34/U34),IF(U34&lt;=$B34,($E$4/$A$4)*(1-(($B34-U34)/$B34)),($E$4*60%/$A$4)*(1-2*((ABS($B34-U34))/$B34)))))</f>
        <v/>
      </c>
      <c r="W34" s="131"/>
      <c r="X34" s="132" t="str">
        <f t="shared" ref="X34" si="260">IF(W34="","",IF($B$7="Menor valor",($E$4/$A$4)*($B34/W34),IF(W34&lt;=$B34,($E$4/$A$4)*(1-(($B34-W34)/$B34)),($E$4*60%/$A$4)*(1-2*((ABS($B34-W34))/$B34)))))</f>
        <v/>
      </c>
      <c r="Y34" s="131"/>
      <c r="Z34" s="132" t="str">
        <f t="shared" ref="Z34" si="261">IF(Y34="","",IF($B$7="Menor valor",($E$4/$A$4)*($B34/Y34),IF(Y34&lt;=$B34,($E$4/$A$4)*(1-(($B34-Y34)/$B34)),($E$4*60%/$A$4)*(1-2*((ABS($B34-Y34))/$B34)))))</f>
        <v/>
      </c>
      <c r="AA34" s="129">
        <v>1</v>
      </c>
    </row>
    <row r="35" spans="1:27" s="129" customFormat="1" ht="21" customHeight="1">
      <c r="A35" s="204" t="str">
        <f>+'Presupuesto Consolidado'!A46</f>
        <v>2.1.16</v>
      </c>
      <c r="B35" s="130">
        <f t="shared" si="0"/>
        <v>20716</v>
      </c>
      <c r="C35" s="131">
        <f>IF($C$7="Habilitado",ROUND('Presupuesto Consolidado'!E46,2),"")</f>
        <v>20716</v>
      </c>
      <c r="D35" s="132">
        <f t="shared" si="1"/>
        <v>0.78125</v>
      </c>
      <c r="E35" s="131" t="str">
        <f>IF($E$7="Habilitado",ROUND('Presupuesto Consolidado'!L46,2),"")</f>
        <v/>
      </c>
      <c r="F35" s="132" t="str">
        <f t="shared" si="1"/>
        <v/>
      </c>
      <c r="G35" s="131"/>
      <c r="H35" s="132" t="str">
        <f t="shared" ref="H35" si="262">IF(G35="","",IF($B$7="Menor valor",($E$4/$A$4)*($B35/G35),IF(G35&lt;=$B35,($E$4/$A$4)*(1-(($B35-G35)/$B35)),($E$4*60%/$A$4)*(1-2*((ABS($B35-G35))/$B35)))))</f>
        <v/>
      </c>
      <c r="I35" s="131"/>
      <c r="J35" s="132" t="str">
        <f t="shared" ref="J35" si="263">IF(I35="","",IF($B$7="Menor valor",($E$4/$A$4)*($B35/I35),IF(I35&lt;=$B35,($E$4/$A$4)*(1-(($B35-I35)/$B35)),($E$4*60%/$A$4)*(1-2*((ABS($B35-I35))/$B35)))))</f>
        <v/>
      </c>
      <c r="K35" s="131"/>
      <c r="L35" s="132" t="str">
        <f t="shared" ref="L35" si="264">IF(K35="","",IF($B$7="Menor valor",($E$4/$A$4)*($B35/K35),IF(K35&lt;=$B35,($E$4/$A$4)*(1-(($B35-K35)/$B35)),($E$4*60%/$A$4)*(1-2*((ABS($B35-K35))/$B35)))))</f>
        <v/>
      </c>
      <c r="M35" s="131"/>
      <c r="N35" s="132" t="str">
        <f t="shared" ref="N35" si="265">IF(M35="","",IF($B$7="Menor valor",($E$4/$A$4)*($B35/M35),IF(M35&lt;=$B35,($E$4/$A$4)*(1-(($B35-M35)/$B35)),($E$4*60%/$A$4)*(1-2*((ABS($B35-M35))/$B35)))))</f>
        <v/>
      </c>
      <c r="O35" s="131"/>
      <c r="P35" s="132" t="str">
        <f t="shared" ref="P35" si="266">IF(O35="","",IF($B$7="Menor valor",($E$4/$A$4)*($B35/O35),IF(O35&lt;=$B35,($E$4/$A$4)*(1-(($B35-O35)/$B35)),($E$4*60%/$A$4)*(1-2*((ABS($B35-O35))/$B35)))))</f>
        <v/>
      </c>
      <c r="Q35" s="131"/>
      <c r="R35" s="132" t="str">
        <f t="shared" ref="R35" si="267">IF(Q35="","",IF($B$7="Menor valor",($E$4/$A$4)*($B35/Q35),IF(Q35&lt;=$B35,($E$4/$A$4)*(1-(($B35-Q35)/$B35)),($E$4*60%/$A$4)*(1-2*((ABS($B35-Q35))/$B35)))))</f>
        <v/>
      </c>
      <c r="S35" s="131"/>
      <c r="T35" s="132" t="str">
        <f t="shared" ref="T35" si="268">IF(S35="","",IF($B$7="Menor valor",($E$4/$A$4)*($B35/S35),IF(S35&lt;=$B35,($E$4/$A$4)*(1-(($B35-S35)/$B35)),($E$4*60%/$A$4)*(1-2*((ABS($B35-S35))/$B35)))))</f>
        <v/>
      </c>
      <c r="U35" s="131"/>
      <c r="V35" s="132" t="str">
        <f t="shared" ref="V35" si="269">IF(U35="","",IF($B$7="Menor valor",($E$4/$A$4)*($B35/U35),IF(U35&lt;=$B35,($E$4/$A$4)*(1-(($B35-U35)/$B35)),($E$4*60%/$A$4)*(1-2*((ABS($B35-U35))/$B35)))))</f>
        <v/>
      </c>
      <c r="W35" s="131"/>
      <c r="X35" s="132" t="str">
        <f t="shared" ref="X35" si="270">IF(W35="","",IF($B$7="Menor valor",($E$4/$A$4)*($B35/W35),IF(W35&lt;=$B35,($E$4/$A$4)*(1-(($B35-W35)/$B35)),($E$4*60%/$A$4)*(1-2*((ABS($B35-W35))/$B35)))))</f>
        <v/>
      </c>
      <c r="Y35" s="131"/>
      <c r="Z35" s="132" t="str">
        <f t="shared" ref="Z35" si="271">IF(Y35="","",IF($B$7="Menor valor",($E$4/$A$4)*($B35/Y35),IF(Y35&lt;=$B35,($E$4/$A$4)*(1-(($B35-Y35)/$B35)),($E$4*60%/$A$4)*(1-2*((ABS($B35-Y35))/$B35)))))</f>
        <v/>
      </c>
      <c r="AA35" s="129">
        <v>1</v>
      </c>
    </row>
    <row r="36" spans="1:27" s="129" customFormat="1" ht="21" customHeight="1">
      <c r="A36" s="204" t="str">
        <f>+'Presupuesto Consolidado'!A47</f>
        <v>2.1.17</v>
      </c>
      <c r="B36" s="130">
        <f t="shared" si="0"/>
        <v>214965</v>
      </c>
      <c r="C36" s="131">
        <f>IF($C$7="Habilitado",ROUND('Presupuesto Consolidado'!E47,2),"")</f>
        <v>214965</v>
      </c>
      <c r="D36" s="132">
        <f t="shared" si="1"/>
        <v>0.78125</v>
      </c>
      <c r="E36" s="131" t="str">
        <f>IF($E$7="Habilitado",ROUND('Presupuesto Consolidado'!L47,2),"")</f>
        <v/>
      </c>
      <c r="F36" s="132" t="str">
        <f t="shared" si="1"/>
        <v/>
      </c>
      <c r="G36" s="131"/>
      <c r="H36" s="132" t="str">
        <f t="shared" ref="H36" si="272">IF(G36="","",IF($B$7="Menor valor",($E$4/$A$4)*($B36/G36),IF(G36&lt;=$B36,($E$4/$A$4)*(1-(($B36-G36)/$B36)),($E$4*60%/$A$4)*(1-2*((ABS($B36-G36))/$B36)))))</f>
        <v/>
      </c>
      <c r="I36" s="131"/>
      <c r="J36" s="132" t="str">
        <f t="shared" ref="J36" si="273">IF(I36="","",IF($B$7="Menor valor",($E$4/$A$4)*($B36/I36),IF(I36&lt;=$B36,($E$4/$A$4)*(1-(($B36-I36)/$B36)),($E$4*60%/$A$4)*(1-2*((ABS($B36-I36))/$B36)))))</f>
        <v/>
      </c>
      <c r="K36" s="131"/>
      <c r="L36" s="132" t="str">
        <f t="shared" ref="L36" si="274">IF(K36="","",IF($B$7="Menor valor",($E$4/$A$4)*($B36/K36),IF(K36&lt;=$B36,($E$4/$A$4)*(1-(($B36-K36)/$B36)),($E$4*60%/$A$4)*(1-2*((ABS($B36-K36))/$B36)))))</f>
        <v/>
      </c>
      <c r="M36" s="131"/>
      <c r="N36" s="132" t="str">
        <f t="shared" ref="N36" si="275">IF(M36="","",IF($B$7="Menor valor",($E$4/$A$4)*($B36/M36),IF(M36&lt;=$B36,($E$4/$A$4)*(1-(($B36-M36)/$B36)),($E$4*60%/$A$4)*(1-2*((ABS($B36-M36))/$B36)))))</f>
        <v/>
      </c>
      <c r="O36" s="131"/>
      <c r="P36" s="132" t="str">
        <f t="shared" ref="P36" si="276">IF(O36="","",IF($B$7="Menor valor",($E$4/$A$4)*($B36/O36),IF(O36&lt;=$B36,($E$4/$A$4)*(1-(($B36-O36)/$B36)),($E$4*60%/$A$4)*(1-2*((ABS($B36-O36))/$B36)))))</f>
        <v/>
      </c>
      <c r="Q36" s="131"/>
      <c r="R36" s="132" t="str">
        <f t="shared" ref="R36" si="277">IF(Q36="","",IF($B$7="Menor valor",($E$4/$A$4)*($B36/Q36),IF(Q36&lt;=$B36,($E$4/$A$4)*(1-(($B36-Q36)/$B36)),($E$4*60%/$A$4)*(1-2*((ABS($B36-Q36))/$B36)))))</f>
        <v/>
      </c>
      <c r="S36" s="131"/>
      <c r="T36" s="132" t="str">
        <f t="shared" ref="T36" si="278">IF(S36="","",IF($B$7="Menor valor",($E$4/$A$4)*($B36/S36),IF(S36&lt;=$B36,($E$4/$A$4)*(1-(($B36-S36)/$B36)),($E$4*60%/$A$4)*(1-2*((ABS($B36-S36))/$B36)))))</f>
        <v/>
      </c>
      <c r="U36" s="131"/>
      <c r="V36" s="132" t="str">
        <f t="shared" ref="V36" si="279">IF(U36="","",IF($B$7="Menor valor",($E$4/$A$4)*($B36/U36),IF(U36&lt;=$B36,($E$4/$A$4)*(1-(($B36-U36)/$B36)),($E$4*60%/$A$4)*(1-2*((ABS($B36-U36))/$B36)))))</f>
        <v/>
      </c>
      <c r="W36" s="131"/>
      <c r="X36" s="132" t="str">
        <f t="shared" ref="X36" si="280">IF(W36="","",IF($B$7="Menor valor",($E$4/$A$4)*($B36/W36),IF(W36&lt;=$B36,($E$4/$A$4)*(1-(($B36-W36)/$B36)),($E$4*60%/$A$4)*(1-2*((ABS($B36-W36))/$B36)))))</f>
        <v/>
      </c>
      <c r="Y36" s="131"/>
      <c r="Z36" s="132" t="str">
        <f t="shared" ref="Z36" si="281">IF(Y36="","",IF($B$7="Menor valor",($E$4/$A$4)*($B36/Y36),IF(Y36&lt;=$B36,($E$4/$A$4)*(1-(($B36-Y36)/$B36)),($E$4*60%/$A$4)*(1-2*((ABS($B36-Y36))/$B36)))))</f>
        <v/>
      </c>
      <c r="AA36" s="129">
        <v>1</v>
      </c>
    </row>
    <row r="37" spans="1:27" s="129" customFormat="1" ht="21" customHeight="1">
      <c r="A37" s="204" t="str">
        <f>+'Presupuesto Consolidado'!A48</f>
        <v>2.1.18</v>
      </c>
      <c r="B37" s="130">
        <f t="shared" si="0"/>
        <v>11603</v>
      </c>
      <c r="C37" s="131">
        <f>IF($C$7="Habilitado",ROUND('Presupuesto Consolidado'!E48,2),"")</f>
        <v>11603</v>
      </c>
      <c r="D37" s="132">
        <f t="shared" si="1"/>
        <v>0.78125</v>
      </c>
      <c r="E37" s="131" t="str">
        <f>IF($E$7="Habilitado",ROUND('Presupuesto Consolidado'!L48,2),"")</f>
        <v/>
      </c>
      <c r="F37" s="132" t="str">
        <f t="shared" si="1"/>
        <v/>
      </c>
      <c r="G37" s="131"/>
      <c r="H37" s="132" t="str">
        <f t="shared" ref="H37" si="282">IF(G37="","",IF($B$7="Menor valor",($E$4/$A$4)*($B37/G37),IF(G37&lt;=$B37,($E$4/$A$4)*(1-(($B37-G37)/$B37)),($E$4*60%/$A$4)*(1-2*((ABS($B37-G37))/$B37)))))</f>
        <v/>
      </c>
      <c r="I37" s="131"/>
      <c r="J37" s="132" t="str">
        <f t="shared" ref="J37" si="283">IF(I37="","",IF($B$7="Menor valor",($E$4/$A$4)*($B37/I37),IF(I37&lt;=$B37,($E$4/$A$4)*(1-(($B37-I37)/$B37)),($E$4*60%/$A$4)*(1-2*((ABS($B37-I37))/$B37)))))</f>
        <v/>
      </c>
      <c r="K37" s="131"/>
      <c r="L37" s="132" t="str">
        <f t="shared" ref="L37" si="284">IF(K37="","",IF($B$7="Menor valor",($E$4/$A$4)*($B37/K37),IF(K37&lt;=$B37,($E$4/$A$4)*(1-(($B37-K37)/$B37)),($E$4*60%/$A$4)*(1-2*((ABS($B37-K37))/$B37)))))</f>
        <v/>
      </c>
      <c r="M37" s="131"/>
      <c r="N37" s="132" t="str">
        <f t="shared" ref="N37" si="285">IF(M37="","",IF($B$7="Menor valor",($E$4/$A$4)*($B37/M37),IF(M37&lt;=$B37,($E$4/$A$4)*(1-(($B37-M37)/$B37)),($E$4*60%/$A$4)*(1-2*((ABS($B37-M37))/$B37)))))</f>
        <v/>
      </c>
      <c r="O37" s="131"/>
      <c r="P37" s="132" t="str">
        <f t="shared" ref="P37" si="286">IF(O37="","",IF($B$7="Menor valor",($E$4/$A$4)*($B37/O37),IF(O37&lt;=$B37,($E$4/$A$4)*(1-(($B37-O37)/$B37)),($E$4*60%/$A$4)*(1-2*((ABS($B37-O37))/$B37)))))</f>
        <v/>
      </c>
      <c r="Q37" s="131"/>
      <c r="R37" s="132" t="str">
        <f t="shared" ref="R37" si="287">IF(Q37="","",IF($B$7="Menor valor",($E$4/$A$4)*($B37/Q37),IF(Q37&lt;=$B37,($E$4/$A$4)*(1-(($B37-Q37)/$B37)),($E$4*60%/$A$4)*(1-2*((ABS($B37-Q37))/$B37)))))</f>
        <v/>
      </c>
      <c r="S37" s="131"/>
      <c r="T37" s="132" t="str">
        <f t="shared" ref="T37" si="288">IF(S37="","",IF($B$7="Menor valor",($E$4/$A$4)*($B37/S37),IF(S37&lt;=$B37,($E$4/$A$4)*(1-(($B37-S37)/$B37)),($E$4*60%/$A$4)*(1-2*((ABS($B37-S37))/$B37)))))</f>
        <v/>
      </c>
      <c r="U37" s="131"/>
      <c r="V37" s="132" t="str">
        <f t="shared" ref="V37" si="289">IF(U37="","",IF($B$7="Menor valor",($E$4/$A$4)*($B37/U37),IF(U37&lt;=$B37,($E$4/$A$4)*(1-(($B37-U37)/$B37)),($E$4*60%/$A$4)*(1-2*((ABS($B37-U37))/$B37)))))</f>
        <v/>
      </c>
      <c r="W37" s="131"/>
      <c r="X37" s="132" t="str">
        <f t="shared" ref="X37" si="290">IF(W37="","",IF($B$7="Menor valor",($E$4/$A$4)*($B37/W37),IF(W37&lt;=$B37,($E$4/$A$4)*(1-(($B37-W37)/$B37)),($E$4*60%/$A$4)*(1-2*((ABS($B37-W37))/$B37)))))</f>
        <v/>
      </c>
      <c r="Y37" s="131"/>
      <c r="Z37" s="132" t="str">
        <f t="shared" ref="Z37" si="291">IF(Y37="","",IF($B$7="Menor valor",($E$4/$A$4)*($B37/Y37),IF(Y37&lt;=$B37,($E$4/$A$4)*(1-(($B37-Y37)/$B37)),($E$4*60%/$A$4)*(1-2*((ABS($B37-Y37))/$B37)))))</f>
        <v/>
      </c>
      <c r="AA37" s="129">
        <v>1</v>
      </c>
    </row>
    <row r="38" spans="1:27" s="129" customFormat="1" ht="21" customHeight="1">
      <c r="A38" s="204" t="str">
        <f>+'Presupuesto Consolidado'!A49</f>
        <v>2.1.19</v>
      </c>
      <c r="B38" s="130">
        <f t="shared" si="0"/>
        <v>21905</v>
      </c>
      <c r="C38" s="131">
        <f>IF($C$7="Habilitado",ROUND('Presupuesto Consolidado'!E49,2),"")</f>
        <v>21905</v>
      </c>
      <c r="D38" s="132">
        <f t="shared" si="1"/>
        <v>0.78125</v>
      </c>
      <c r="E38" s="131" t="str">
        <f>IF($E$7="Habilitado",ROUND('Presupuesto Consolidado'!L49,2),"")</f>
        <v/>
      </c>
      <c r="F38" s="132" t="str">
        <f t="shared" si="1"/>
        <v/>
      </c>
      <c r="G38" s="131"/>
      <c r="H38" s="132" t="str">
        <f t="shared" ref="H38" si="292">IF(G38="","",IF($B$7="Menor valor",($E$4/$A$4)*($B38/G38),IF(G38&lt;=$B38,($E$4/$A$4)*(1-(($B38-G38)/$B38)),($E$4*60%/$A$4)*(1-2*((ABS($B38-G38))/$B38)))))</f>
        <v/>
      </c>
      <c r="I38" s="131"/>
      <c r="J38" s="132" t="str">
        <f t="shared" ref="J38" si="293">IF(I38="","",IF($B$7="Menor valor",($E$4/$A$4)*($B38/I38),IF(I38&lt;=$B38,($E$4/$A$4)*(1-(($B38-I38)/$B38)),($E$4*60%/$A$4)*(1-2*((ABS($B38-I38))/$B38)))))</f>
        <v/>
      </c>
      <c r="K38" s="131"/>
      <c r="L38" s="132" t="str">
        <f t="shared" ref="L38" si="294">IF(K38="","",IF($B$7="Menor valor",($E$4/$A$4)*($B38/K38),IF(K38&lt;=$B38,($E$4/$A$4)*(1-(($B38-K38)/$B38)),($E$4*60%/$A$4)*(1-2*((ABS($B38-K38))/$B38)))))</f>
        <v/>
      </c>
      <c r="M38" s="131"/>
      <c r="N38" s="132" t="str">
        <f t="shared" ref="N38" si="295">IF(M38="","",IF($B$7="Menor valor",($E$4/$A$4)*($B38/M38),IF(M38&lt;=$B38,($E$4/$A$4)*(1-(($B38-M38)/$B38)),($E$4*60%/$A$4)*(1-2*((ABS($B38-M38))/$B38)))))</f>
        <v/>
      </c>
      <c r="O38" s="131"/>
      <c r="P38" s="132" t="str">
        <f t="shared" ref="P38" si="296">IF(O38="","",IF($B$7="Menor valor",($E$4/$A$4)*($B38/O38),IF(O38&lt;=$B38,($E$4/$A$4)*(1-(($B38-O38)/$B38)),($E$4*60%/$A$4)*(1-2*((ABS($B38-O38))/$B38)))))</f>
        <v/>
      </c>
      <c r="Q38" s="131"/>
      <c r="R38" s="132" t="str">
        <f t="shared" ref="R38" si="297">IF(Q38="","",IF($B$7="Menor valor",($E$4/$A$4)*($B38/Q38),IF(Q38&lt;=$B38,($E$4/$A$4)*(1-(($B38-Q38)/$B38)),($E$4*60%/$A$4)*(1-2*((ABS($B38-Q38))/$B38)))))</f>
        <v/>
      </c>
      <c r="S38" s="131"/>
      <c r="T38" s="132" t="str">
        <f t="shared" ref="T38" si="298">IF(S38="","",IF($B$7="Menor valor",($E$4/$A$4)*($B38/S38),IF(S38&lt;=$B38,($E$4/$A$4)*(1-(($B38-S38)/$B38)),($E$4*60%/$A$4)*(1-2*((ABS($B38-S38))/$B38)))))</f>
        <v/>
      </c>
      <c r="U38" s="131"/>
      <c r="V38" s="132" t="str">
        <f t="shared" ref="V38" si="299">IF(U38="","",IF($B$7="Menor valor",($E$4/$A$4)*($B38/U38),IF(U38&lt;=$B38,($E$4/$A$4)*(1-(($B38-U38)/$B38)),($E$4*60%/$A$4)*(1-2*((ABS($B38-U38))/$B38)))))</f>
        <v/>
      </c>
      <c r="W38" s="131"/>
      <c r="X38" s="132" t="str">
        <f t="shared" ref="X38" si="300">IF(W38="","",IF($B$7="Menor valor",($E$4/$A$4)*($B38/W38),IF(W38&lt;=$B38,($E$4/$A$4)*(1-(($B38-W38)/$B38)),($E$4*60%/$A$4)*(1-2*((ABS($B38-W38))/$B38)))))</f>
        <v/>
      </c>
      <c r="Y38" s="131"/>
      <c r="Z38" s="132" t="str">
        <f t="shared" ref="Z38" si="301">IF(Y38="","",IF($B$7="Menor valor",($E$4/$A$4)*($B38/Y38),IF(Y38&lt;=$B38,($E$4/$A$4)*(1-(($B38-Y38)/$B38)),($E$4*60%/$A$4)*(1-2*((ABS($B38-Y38))/$B38)))))</f>
        <v/>
      </c>
      <c r="AA38" s="129">
        <v>1</v>
      </c>
    </row>
    <row r="39" spans="1:27" s="129" customFormat="1" ht="21" customHeight="1">
      <c r="A39" s="204" t="str">
        <f>+'Presupuesto Consolidado'!A50</f>
        <v>2.1.20</v>
      </c>
      <c r="B39" s="130">
        <f t="shared" si="0"/>
        <v>17017</v>
      </c>
      <c r="C39" s="131">
        <f>IF($C$7="Habilitado",ROUND('Presupuesto Consolidado'!E50,2),"")</f>
        <v>17017</v>
      </c>
      <c r="D39" s="132">
        <f t="shared" si="1"/>
        <v>0.78125</v>
      </c>
      <c r="E39" s="131" t="str">
        <f>IF($E$7="Habilitado",ROUND('Presupuesto Consolidado'!L50,2),"")</f>
        <v/>
      </c>
      <c r="F39" s="132" t="str">
        <f t="shared" si="1"/>
        <v/>
      </c>
      <c r="G39" s="131"/>
      <c r="H39" s="132" t="str">
        <f t="shared" ref="H39" si="302">IF(G39="","",IF($B$7="Menor valor",($E$4/$A$4)*($B39/G39),IF(G39&lt;=$B39,($E$4/$A$4)*(1-(($B39-G39)/$B39)),($E$4*60%/$A$4)*(1-2*((ABS($B39-G39))/$B39)))))</f>
        <v/>
      </c>
      <c r="I39" s="131"/>
      <c r="J39" s="132" t="str">
        <f t="shared" ref="J39" si="303">IF(I39="","",IF($B$7="Menor valor",($E$4/$A$4)*($B39/I39),IF(I39&lt;=$B39,($E$4/$A$4)*(1-(($B39-I39)/$B39)),($E$4*60%/$A$4)*(1-2*((ABS($B39-I39))/$B39)))))</f>
        <v/>
      </c>
      <c r="K39" s="131"/>
      <c r="L39" s="132" t="str">
        <f t="shared" ref="L39" si="304">IF(K39="","",IF($B$7="Menor valor",($E$4/$A$4)*($B39/K39),IF(K39&lt;=$B39,($E$4/$A$4)*(1-(($B39-K39)/$B39)),($E$4*60%/$A$4)*(1-2*((ABS($B39-K39))/$B39)))))</f>
        <v/>
      </c>
      <c r="M39" s="131"/>
      <c r="N39" s="132" t="str">
        <f t="shared" ref="N39" si="305">IF(M39="","",IF($B$7="Menor valor",($E$4/$A$4)*($B39/M39),IF(M39&lt;=$B39,($E$4/$A$4)*(1-(($B39-M39)/$B39)),($E$4*60%/$A$4)*(1-2*((ABS($B39-M39))/$B39)))))</f>
        <v/>
      </c>
      <c r="O39" s="131"/>
      <c r="P39" s="132" t="str">
        <f t="shared" ref="P39" si="306">IF(O39="","",IF($B$7="Menor valor",($E$4/$A$4)*($B39/O39),IF(O39&lt;=$B39,($E$4/$A$4)*(1-(($B39-O39)/$B39)),($E$4*60%/$A$4)*(1-2*((ABS($B39-O39))/$B39)))))</f>
        <v/>
      </c>
      <c r="Q39" s="131"/>
      <c r="R39" s="132" t="str">
        <f t="shared" ref="R39" si="307">IF(Q39="","",IF($B$7="Menor valor",($E$4/$A$4)*($B39/Q39),IF(Q39&lt;=$B39,($E$4/$A$4)*(1-(($B39-Q39)/$B39)),($E$4*60%/$A$4)*(1-2*((ABS($B39-Q39))/$B39)))))</f>
        <v/>
      </c>
      <c r="S39" s="131"/>
      <c r="T39" s="132" t="str">
        <f t="shared" ref="T39" si="308">IF(S39="","",IF($B$7="Menor valor",($E$4/$A$4)*($B39/S39),IF(S39&lt;=$B39,($E$4/$A$4)*(1-(($B39-S39)/$B39)),($E$4*60%/$A$4)*(1-2*((ABS($B39-S39))/$B39)))))</f>
        <v/>
      </c>
      <c r="U39" s="131"/>
      <c r="V39" s="132" t="str">
        <f t="shared" ref="V39" si="309">IF(U39="","",IF($B$7="Menor valor",($E$4/$A$4)*($B39/U39),IF(U39&lt;=$B39,($E$4/$A$4)*(1-(($B39-U39)/$B39)),($E$4*60%/$A$4)*(1-2*((ABS($B39-U39))/$B39)))))</f>
        <v/>
      </c>
      <c r="W39" s="131"/>
      <c r="X39" s="132" t="str">
        <f t="shared" ref="X39" si="310">IF(W39="","",IF($B$7="Menor valor",($E$4/$A$4)*($B39/W39),IF(W39&lt;=$B39,($E$4/$A$4)*(1-(($B39-W39)/$B39)),($E$4*60%/$A$4)*(1-2*((ABS($B39-W39))/$B39)))))</f>
        <v/>
      </c>
      <c r="Y39" s="131"/>
      <c r="Z39" s="132" t="str">
        <f t="shared" ref="Z39" si="311">IF(Y39="","",IF($B$7="Menor valor",($E$4/$A$4)*($B39/Y39),IF(Y39&lt;=$B39,($E$4/$A$4)*(1-(($B39-Y39)/$B39)),($E$4*60%/$A$4)*(1-2*((ABS($B39-Y39))/$B39)))))</f>
        <v/>
      </c>
      <c r="AA39" s="129">
        <v>1</v>
      </c>
    </row>
    <row r="40" spans="1:27" s="129" customFormat="1" ht="21" customHeight="1">
      <c r="A40" s="204" t="str">
        <f>+'Presupuesto Consolidado'!A51</f>
        <v>2.1.21</v>
      </c>
      <c r="B40" s="130">
        <f t="shared" ref="B40:B71" si="312">IF($B$7="Menor valor"=3,MIN(C40,E40,G40,I40,K40,M40,O40,Q40,S40,U40,W40,Y40),IF($B$7="Media aritmética alta",(MAX(C40,E40,G40,I40,K40,M40,O40,Q40,S40,U40,W40,Y40)+AVERAGE(C40,E40,G40,I40,K40,M40,O40,Q40,S40,U40,W40,Y40))/2,AVERAGE(C40,E40,G40,I40,K40,M40,O40,Q40,S40,U40,W40,Y40)))</f>
        <v>66516</v>
      </c>
      <c r="C40" s="131">
        <f>IF($C$7="Habilitado",ROUND('Presupuesto Consolidado'!E51,2),"")</f>
        <v>66516</v>
      </c>
      <c r="D40" s="132">
        <f t="shared" si="1"/>
        <v>0.78125</v>
      </c>
      <c r="E40" s="131" t="str">
        <f>IF($E$7="Habilitado",ROUND('Presupuesto Consolidado'!L51,2),"")</f>
        <v/>
      </c>
      <c r="F40" s="132" t="str">
        <f t="shared" si="1"/>
        <v/>
      </c>
      <c r="G40" s="131"/>
      <c r="H40" s="132" t="str">
        <f t="shared" ref="H40" si="313">IF(G40="","",IF($B$7="Menor valor",($E$4/$A$4)*($B40/G40),IF(G40&lt;=$B40,($E$4/$A$4)*(1-(($B40-G40)/$B40)),($E$4*60%/$A$4)*(1-2*((ABS($B40-G40))/$B40)))))</f>
        <v/>
      </c>
      <c r="I40" s="131"/>
      <c r="J40" s="132" t="str">
        <f t="shared" ref="J40" si="314">IF(I40="","",IF($B$7="Menor valor",($E$4/$A$4)*($B40/I40),IF(I40&lt;=$B40,($E$4/$A$4)*(1-(($B40-I40)/$B40)),($E$4*60%/$A$4)*(1-2*((ABS($B40-I40))/$B40)))))</f>
        <v/>
      </c>
      <c r="K40" s="131"/>
      <c r="L40" s="132" t="str">
        <f t="shared" ref="L40" si="315">IF(K40="","",IF($B$7="Menor valor",($E$4/$A$4)*($B40/K40),IF(K40&lt;=$B40,($E$4/$A$4)*(1-(($B40-K40)/$B40)),($E$4*60%/$A$4)*(1-2*((ABS($B40-K40))/$B40)))))</f>
        <v/>
      </c>
      <c r="M40" s="131"/>
      <c r="N40" s="132" t="str">
        <f t="shared" ref="N40" si="316">IF(M40="","",IF($B$7="Menor valor",($E$4/$A$4)*($B40/M40),IF(M40&lt;=$B40,($E$4/$A$4)*(1-(($B40-M40)/$B40)),($E$4*60%/$A$4)*(1-2*((ABS($B40-M40))/$B40)))))</f>
        <v/>
      </c>
      <c r="O40" s="131"/>
      <c r="P40" s="132" t="str">
        <f t="shared" ref="P40" si="317">IF(O40="","",IF($B$7="Menor valor",($E$4/$A$4)*($B40/O40),IF(O40&lt;=$B40,($E$4/$A$4)*(1-(($B40-O40)/$B40)),($E$4*60%/$A$4)*(1-2*((ABS($B40-O40))/$B40)))))</f>
        <v/>
      </c>
      <c r="Q40" s="131"/>
      <c r="R40" s="132" t="str">
        <f t="shared" ref="R40" si="318">IF(Q40="","",IF($B$7="Menor valor",($E$4/$A$4)*($B40/Q40),IF(Q40&lt;=$B40,($E$4/$A$4)*(1-(($B40-Q40)/$B40)),($E$4*60%/$A$4)*(1-2*((ABS($B40-Q40))/$B40)))))</f>
        <v/>
      </c>
      <c r="S40" s="131"/>
      <c r="T40" s="132" t="str">
        <f t="shared" ref="T40" si="319">IF(S40="","",IF($B$7="Menor valor",($E$4/$A$4)*($B40/S40),IF(S40&lt;=$B40,($E$4/$A$4)*(1-(($B40-S40)/$B40)),($E$4*60%/$A$4)*(1-2*((ABS($B40-S40))/$B40)))))</f>
        <v/>
      </c>
      <c r="U40" s="131"/>
      <c r="V40" s="132" t="str">
        <f t="shared" ref="V40" si="320">IF(U40="","",IF($B$7="Menor valor",($E$4/$A$4)*($B40/U40),IF(U40&lt;=$B40,($E$4/$A$4)*(1-(($B40-U40)/$B40)),($E$4*60%/$A$4)*(1-2*((ABS($B40-U40))/$B40)))))</f>
        <v/>
      </c>
      <c r="W40" s="131"/>
      <c r="X40" s="132" t="str">
        <f t="shared" ref="X40" si="321">IF(W40="","",IF($B$7="Menor valor",($E$4/$A$4)*($B40/W40),IF(W40&lt;=$B40,($E$4/$A$4)*(1-(($B40-W40)/$B40)),($E$4*60%/$A$4)*(1-2*((ABS($B40-W40))/$B40)))))</f>
        <v/>
      </c>
      <c r="Y40" s="131"/>
      <c r="Z40" s="132" t="str">
        <f t="shared" ref="Z40" si="322">IF(Y40="","",IF($B$7="Menor valor",($E$4/$A$4)*($B40/Y40),IF(Y40&lt;=$B40,($E$4/$A$4)*(1-(($B40-Y40)/$B40)),($E$4*60%/$A$4)*(1-2*((ABS($B40-Y40))/$B40)))))</f>
        <v/>
      </c>
      <c r="AA40" s="129">
        <v>1</v>
      </c>
    </row>
    <row r="41" spans="1:27" s="129" customFormat="1" ht="21" customHeight="1">
      <c r="A41" s="204" t="str">
        <f>+'Presupuesto Consolidado'!A52</f>
        <v>2.1.22</v>
      </c>
      <c r="B41" s="130">
        <f t="shared" si="312"/>
        <v>39449</v>
      </c>
      <c r="C41" s="131">
        <f>IF($C$7="Habilitado",ROUND('Presupuesto Consolidado'!E52,2),"")</f>
        <v>39449</v>
      </c>
      <c r="D41" s="132">
        <f t="shared" si="1"/>
        <v>0.78125</v>
      </c>
      <c r="E41" s="131" t="str">
        <f>IF($E$7="Habilitado",ROUND('Presupuesto Consolidado'!L52,2),"")</f>
        <v/>
      </c>
      <c r="F41" s="132" t="str">
        <f t="shared" si="1"/>
        <v/>
      </c>
      <c r="G41" s="131"/>
      <c r="H41" s="132" t="str">
        <f t="shared" ref="H41" si="323">IF(G41="","",IF($B$7="Menor valor",($E$4/$A$4)*($B41/G41),IF(G41&lt;=$B41,($E$4/$A$4)*(1-(($B41-G41)/$B41)),($E$4*60%/$A$4)*(1-2*((ABS($B41-G41))/$B41)))))</f>
        <v/>
      </c>
      <c r="I41" s="131"/>
      <c r="J41" s="132" t="str">
        <f t="shared" ref="J41" si="324">IF(I41="","",IF($B$7="Menor valor",($E$4/$A$4)*($B41/I41),IF(I41&lt;=$B41,($E$4/$A$4)*(1-(($B41-I41)/$B41)),($E$4*60%/$A$4)*(1-2*((ABS($B41-I41))/$B41)))))</f>
        <v/>
      </c>
      <c r="K41" s="131"/>
      <c r="L41" s="132" t="str">
        <f t="shared" ref="L41" si="325">IF(K41="","",IF($B$7="Menor valor",($E$4/$A$4)*($B41/K41),IF(K41&lt;=$B41,($E$4/$A$4)*(1-(($B41-K41)/$B41)),($E$4*60%/$A$4)*(1-2*((ABS($B41-K41))/$B41)))))</f>
        <v/>
      </c>
      <c r="M41" s="131"/>
      <c r="N41" s="132" t="str">
        <f t="shared" ref="N41" si="326">IF(M41="","",IF($B$7="Menor valor",($E$4/$A$4)*($B41/M41),IF(M41&lt;=$B41,($E$4/$A$4)*(1-(($B41-M41)/$B41)),($E$4*60%/$A$4)*(1-2*((ABS($B41-M41))/$B41)))))</f>
        <v/>
      </c>
      <c r="O41" s="131"/>
      <c r="P41" s="132" t="str">
        <f t="shared" ref="P41" si="327">IF(O41="","",IF($B$7="Menor valor",($E$4/$A$4)*($B41/O41),IF(O41&lt;=$B41,($E$4/$A$4)*(1-(($B41-O41)/$B41)),($E$4*60%/$A$4)*(1-2*((ABS($B41-O41))/$B41)))))</f>
        <v/>
      </c>
      <c r="Q41" s="131"/>
      <c r="R41" s="132" t="str">
        <f t="shared" ref="R41" si="328">IF(Q41="","",IF($B$7="Menor valor",($E$4/$A$4)*($B41/Q41),IF(Q41&lt;=$B41,($E$4/$A$4)*(1-(($B41-Q41)/$B41)),($E$4*60%/$A$4)*(1-2*((ABS($B41-Q41))/$B41)))))</f>
        <v/>
      </c>
      <c r="S41" s="131"/>
      <c r="T41" s="132" t="str">
        <f t="shared" ref="T41" si="329">IF(S41="","",IF($B$7="Menor valor",($E$4/$A$4)*($B41/S41),IF(S41&lt;=$B41,($E$4/$A$4)*(1-(($B41-S41)/$B41)),($E$4*60%/$A$4)*(1-2*((ABS($B41-S41))/$B41)))))</f>
        <v/>
      </c>
      <c r="U41" s="131"/>
      <c r="V41" s="132" t="str">
        <f t="shared" ref="V41" si="330">IF(U41="","",IF($B$7="Menor valor",($E$4/$A$4)*($B41/U41),IF(U41&lt;=$B41,($E$4/$A$4)*(1-(($B41-U41)/$B41)),($E$4*60%/$A$4)*(1-2*((ABS($B41-U41))/$B41)))))</f>
        <v/>
      </c>
      <c r="W41" s="131"/>
      <c r="X41" s="132" t="str">
        <f t="shared" ref="X41" si="331">IF(W41="","",IF($B$7="Menor valor",($E$4/$A$4)*($B41/W41),IF(W41&lt;=$B41,($E$4/$A$4)*(1-(($B41-W41)/$B41)),($E$4*60%/$A$4)*(1-2*((ABS($B41-W41))/$B41)))))</f>
        <v/>
      </c>
      <c r="Y41" s="131"/>
      <c r="Z41" s="132" t="str">
        <f t="shared" ref="Z41" si="332">IF(Y41="","",IF($B$7="Menor valor",($E$4/$A$4)*($B41/Y41),IF(Y41&lt;=$B41,($E$4/$A$4)*(1-(($B41-Y41)/$B41)),($E$4*60%/$A$4)*(1-2*((ABS($B41-Y41))/$B41)))))</f>
        <v/>
      </c>
      <c r="AA41" s="129">
        <v>1</v>
      </c>
    </row>
    <row r="42" spans="1:27" s="129" customFormat="1" ht="21" customHeight="1">
      <c r="A42" s="204" t="str">
        <f>+'Presupuesto Consolidado'!A53</f>
        <v>2.1.23</v>
      </c>
      <c r="B42" s="130">
        <f t="shared" si="312"/>
        <v>4377214</v>
      </c>
      <c r="C42" s="131">
        <f>IF($C$7="Habilitado",ROUND('Presupuesto Consolidado'!E53,2),"")</f>
        <v>4377214</v>
      </c>
      <c r="D42" s="132">
        <f t="shared" si="1"/>
        <v>0.78125</v>
      </c>
      <c r="E42" s="131" t="str">
        <f>IF($E$7="Habilitado",ROUND('Presupuesto Consolidado'!L53,2),"")</f>
        <v/>
      </c>
      <c r="F42" s="132" t="str">
        <f t="shared" si="1"/>
        <v/>
      </c>
      <c r="G42" s="131"/>
      <c r="H42" s="132" t="str">
        <f t="shared" ref="H42" si="333">IF(G42="","",IF($B$7="Menor valor",($E$4/$A$4)*($B42/G42),IF(G42&lt;=$B42,($E$4/$A$4)*(1-(($B42-G42)/$B42)),($E$4*60%/$A$4)*(1-2*((ABS($B42-G42))/$B42)))))</f>
        <v/>
      </c>
      <c r="I42" s="131"/>
      <c r="J42" s="132" t="str">
        <f t="shared" ref="J42" si="334">IF(I42="","",IF($B$7="Menor valor",($E$4/$A$4)*($B42/I42),IF(I42&lt;=$B42,($E$4/$A$4)*(1-(($B42-I42)/$B42)),($E$4*60%/$A$4)*(1-2*((ABS($B42-I42))/$B42)))))</f>
        <v/>
      </c>
      <c r="K42" s="131"/>
      <c r="L42" s="132" t="str">
        <f t="shared" ref="L42" si="335">IF(K42="","",IF($B$7="Menor valor",($E$4/$A$4)*($B42/K42),IF(K42&lt;=$B42,($E$4/$A$4)*(1-(($B42-K42)/$B42)),($E$4*60%/$A$4)*(1-2*((ABS($B42-K42))/$B42)))))</f>
        <v/>
      </c>
      <c r="M42" s="131"/>
      <c r="N42" s="132" t="str">
        <f t="shared" ref="N42" si="336">IF(M42="","",IF($B$7="Menor valor",($E$4/$A$4)*($B42/M42),IF(M42&lt;=$B42,($E$4/$A$4)*(1-(($B42-M42)/$B42)),($E$4*60%/$A$4)*(1-2*((ABS($B42-M42))/$B42)))))</f>
        <v/>
      </c>
      <c r="O42" s="131"/>
      <c r="P42" s="132" t="str">
        <f t="shared" ref="P42" si="337">IF(O42="","",IF($B$7="Menor valor",($E$4/$A$4)*($B42/O42),IF(O42&lt;=$B42,($E$4/$A$4)*(1-(($B42-O42)/$B42)),($E$4*60%/$A$4)*(1-2*((ABS($B42-O42))/$B42)))))</f>
        <v/>
      </c>
      <c r="Q42" s="131"/>
      <c r="R42" s="132" t="str">
        <f t="shared" ref="R42" si="338">IF(Q42="","",IF($B$7="Menor valor",($E$4/$A$4)*($B42/Q42),IF(Q42&lt;=$B42,($E$4/$A$4)*(1-(($B42-Q42)/$B42)),($E$4*60%/$A$4)*(1-2*((ABS($B42-Q42))/$B42)))))</f>
        <v/>
      </c>
      <c r="S42" s="131"/>
      <c r="T42" s="132" t="str">
        <f t="shared" ref="T42" si="339">IF(S42="","",IF($B$7="Menor valor",($E$4/$A$4)*($B42/S42),IF(S42&lt;=$B42,($E$4/$A$4)*(1-(($B42-S42)/$B42)),($E$4*60%/$A$4)*(1-2*((ABS($B42-S42))/$B42)))))</f>
        <v/>
      </c>
      <c r="U42" s="131"/>
      <c r="V42" s="132" t="str">
        <f t="shared" ref="V42" si="340">IF(U42="","",IF($B$7="Menor valor",($E$4/$A$4)*($B42/U42),IF(U42&lt;=$B42,($E$4/$A$4)*(1-(($B42-U42)/$B42)),($E$4*60%/$A$4)*(1-2*((ABS($B42-U42))/$B42)))))</f>
        <v/>
      </c>
      <c r="W42" s="131"/>
      <c r="X42" s="132" t="str">
        <f t="shared" ref="X42" si="341">IF(W42="","",IF($B$7="Menor valor",($E$4/$A$4)*($B42/W42),IF(W42&lt;=$B42,($E$4/$A$4)*(1-(($B42-W42)/$B42)),($E$4*60%/$A$4)*(1-2*((ABS($B42-W42))/$B42)))))</f>
        <v/>
      </c>
      <c r="Y42" s="131"/>
      <c r="Z42" s="132" t="str">
        <f t="shared" ref="Z42" si="342">IF(Y42="","",IF($B$7="Menor valor",($E$4/$A$4)*($B42/Y42),IF(Y42&lt;=$B42,($E$4/$A$4)*(1-(($B42-Y42)/$B42)),($E$4*60%/$A$4)*(1-2*((ABS($B42-Y42))/$B42)))))</f>
        <v/>
      </c>
      <c r="AA42" s="129">
        <v>1</v>
      </c>
    </row>
    <row r="43" spans="1:27" s="129" customFormat="1" ht="21" customHeight="1">
      <c r="A43" s="204" t="str">
        <f>+'Presupuesto Consolidado'!A54</f>
        <v>2.1.24</v>
      </c>
      <c r="B43" s="130">
        <f t="shared" si="312"/>
        <v>53000000</v>
      </c>
      <c r="C43" s="131">
        <f>IF($C$7="Habilitado",ROUND('Presupuesto Consolidado'!E54,2),"")</f>
        <v>53000000</v>
      </c>
      <c r="D43" s="132">
        <f t="shared" si="1"/>
        <v>0.78125</v>
      </c>
      <c r="E43" s="131" t="str">
        <f>IF($E$7="Habilitado",ROUND('Presupuesto Consolidado'!L54,2),"")</f>
        <v/>
      </c>
      <c r="F43" s="132" t="str">
        <f t="shared" si="1"/>
        <v/>
      </c>
      <c r="G43" s="131"/>
      <c r="H43" s="132" t="str">
        <f t="shared" ref="H43" si="343">IF(G43="","",IF($B$7="Menor valor",($E$4/$A$4)*($B43/G43),IF(G43&lt;=$B43,($E$4/$A$4)*(1-(($B43-G43)/$B43)),($E$4*60%/$A$4)*(1-2*((ABS($B43-G43))/$B43)))))</f>
        <v/>
      </c>
      <c r="I43" s="131"/>
      <c r="J43" s="132" t="str">
        <f t="shared" ref="J43" si="344">IF(I43="","",IF($B$7="Menor valor",($E$4/$A$4)*($B43/I43),IF(I43&lt;=$B43,($E$4/$A$4)*(1-(($B43-I43)/$B43)),($E$4*60%/$A$4)*(1-2*((ABS($B43-I43))/$B43)))))</f>
        <v/>
      </c>
      <c r="K43" s="131"/>
      <c r="L43" s="132" t="str">
        <f t="shared" ref="L43" si="345">IF(K43="","",IF($B$7="Menor valor",($E$4/$A$4)*($B43/K43),IF(K43&lt;=$B43,($E$4/$A$4)*(1-(($B43-K43)/$B43)),($E$4*60%/$A$4)*(1-2*((ABS($B43-K43))/$B43)))))</f>
        <v/>
      </c>
      <c r="M43" s="131"/>
      <c r="N43" s="132" t="str">
        <f t="shared" ref="N43" si="346">IF(M43="","",IF($B$7="Menor valor",($E$4/$A$4)*($B43/M43),IF(M43&lt;=$B43,($E$4/$A$4)*(1-(($B43-M43)/$B43)),($E$4*60%/$A$4)*(1-2*((ABS($B43-M43))/$B43)))))</f>
        <v/>
      </c>
      <c r="O43" s="131"/>
      <c r="P43" s="132" t="str">
        <f t="shared" ref="P43" si="347">IF(O43="","",IF($B$7="Menor valor",($E$4/$A$4)*($B43/O43),IF(O43&lt;=$B43,($E$4/$A$4)*(1-(($B43-O43)/$B43)),($E$4*60%/$A$4)*(1-2*((ABS($B43-O43))/$B43)))))</f>
        <v/>
      </c>
      <c r="Q43" s="131"/>
      <c r="R43" s="132" t="str">
        <f t="shared" ref="R43" si="348">IF(Q43="","",IF($B$7="Menor valor",($E$4/$A$4)*($B43/Q43),IF(Q43&lt;=$B43,($E$4/$A$4)*(1-(($B43-Q43)/$B43)),($E$4*60%/$A$4)*(1-2*((ABS($B43-Q43))/$B43)))))</f>
        <v/>
      </c>
      <c r="S43" s="131"/>
      <c r="T43" s="132" t="str">
        <f t="shared" ref="T43" si="349">IF(S43="","",IF($B$7="Menor valor",($E$4/$A$4)*($B43/S43),IF(S43&lt;=$B43,($E$4/$A$4)*(1-(($B43-S43)/$B43)),($E$4*60%/$A$4)*(1-2*((ABS($B43-S43))/$B43)))))</f>
        <v/>
      </c>
      <c r="U43" s="131"/>
      <c r="V43" s="132" t="str">
        <f t="shared" ref="V43" si="350">IF(U43="","",IF($B$7="Menor valor",($E$4/$A$4)*($B43/U43),IF(U43&lt;=$B43,($E$4/$A$4)*(1-(($B43-U43)/$B43)),($E$4*60%/$A$4)*(1-2*((ABS($B43-U43))/$B43)))))</f>
        <v/>
      </c>
      <c r="W43" s="131"/>
      <c r="X43" s="132" t="str">
        <f t="shared" ref="X43" si="351">IF(W43="","",IF($B$7="Menor valor",($E$4/$A$4)*($B43/W43),IF(W43&lt;=$B43,($E$4/$A$4)*(1-(($B43-W43)/$B43)),($E$4*60%/$A$4)*(1-2*((ABS($B43-W43))/$B43)))))</f>
        <v/>
      </c>
      <c r="Y43" s="131"/>
      <c r="Z43" s="132" t="str">
        <f t="shared" ref="Z43" si="352">IF(Y43="","",IF($B$7="Menor valor",($E$4/$A$4)*($B43/Y43),IF(Y43&lt;=$B43,($E$4/$A$4)*(1-(($B43-Y43)/$B43)),($E$4*60%/$A$4)*(1-2*((ABS($B43-Y43))/$B43)))))</f>
        <v/>
      </c>
      <c r="AA43" s="129">
        <v>1</v>
      </c>
    </row>
    <row r="44" spans="1:27" s="129" customFormat="1" ht="21" customHeight="1">
      <c r="A44" s="204" t="str">
        <f>+'Presupuesto Consolidado'!A56</f>
        <v>2.2.1</v>
      </c>
      <c r="B44" s="130">
        <f t="shared" si="312"/>
        <v>45274385</v>
      </c>
      <c r="C44" s="131">
        <f>IF($C$7="Habilitado",ROUND('Presupuesto Consolidado'!E56,2),"")</f>
        <v>45274385</v>
      </c>
      <c r="D44" s="132">
        <f t="shared" si="1"/>
        <v>0.78125</v>
      </c>
      <c r="E44" s="131" t="str">
        <f>IF($E$7="Habilitado",ROUND('Presupuesto Consolidado'!L56,2),"")</f>
        <v/>
      </c>
      <c r="F44" s="132" t="str">
        <f t="shared" si="1"/>
        <v/>
      </c>
      <c r="G44" s="131"/>
      <c r="H44" s="132" t="str">
        <f t="shared" ref="H44" si="353">IF(G44="","",IF($B$7="Menor valor",($E$4/$A$4)*($B44/G44),IF(G44&lt;=$B44,($E$4/$A$4)*(1-(($B44-G44)/$B44)),($E$4*60%/$A$4)*(1-2*((ABS($B44-G44))/$B44)))))</f>
        <v/>
      </c>
      <c r="I44" s="131"/>
      <c r="J44" s="132" t="str">
        <f t="shared" ref="J44" si="354">IF(I44="","",IF($B$7="Menor valor",($E$4/$A$4)*($B44/I44),IF(I44&lt;=$B44,($E$4/$A$4)*(1-(($B44-I44)/$B44)),($E$4*60%/$A$4)*(1-2*((ABS($B44-I44))/$B44)))))</f>
        <v/>
      </c>
      <c r="K44" s="131"/>
      <c r="L44" s="132" t="str">
        <f t="shared" ref="L44" si="355">IF(K44="","",IF($B$7="Menor valor",($E$4/$A$4)*($B44/K44),IF(K44&lt;=$B44,($E$4/$A$4)*(1-(($B44-K44)/$B44)),($E$4*60%/$A$4)*(1-2*((ABS($B44-K44))/$B44)))))</f>
        <v/>
      </c>
      <c r="M44" s="131"/>
      <c r="N44" s="132" t="str">
        <f t="shared" ref="N44" si="356">IF(M44="","",IF($B$7="Menor valor",($E$4/$A$4)*($B44/M44),IF(M44&lt;=$B44,($E$4/$A$4)*(1-(($B44-M44)/$B44)),($E$4*60%/$A$4)*(1-2*((ABS($B44-M44))/$B44)))))</f>
        <v/>
      </c>
      <c r="O44" s="131"/>
      <c r="P44" s="132" t="str">
        <f t="shared" ref="P44" si="357">IF(O44="","",IF($B$7="Menor valor",($E$4/$A$4)*($B44/O44),IF(O44&lt;=$B44,($E$4/$A$4)*(1-(($B44-O44)/$B44)),($E$4*60%/$A$4)*(1-2*((ABS($B44-O44))/$B44)))))</f>
        <v/>
      </c>
      <c r="Q44" s="131"/>
      <c r="R44" s="132" t="str">
        <f t="shared" ref="R44" si="358">IF(Q44="","",IF($B$7="Menor valor",($E$4/$A$4)*($B44/Q44),IF(Q44&lt;=$B44,($E$4/$A$4)*(1-(($B44-Q44)/$B44)),($E$4*60%/$A$4)*(1-2*((ABS($B44-Q44))/$B44)))))</f>
        <v/>
      </c>
      <c r="S44" s="131"/>
      <c r="T44" s="132" t="str">
        <f t="shared" ref="T44" si="359">IF(S44="","",IF($B$7="Menor valor",($E$4/$A$4)*($B44/S44),IF(S44&lt;=$B44,($E$4/$A$4)*(1-(($B44-S44)/$B44)),($E$4*60%/$A$4)*(1-2*((ABS($B44-S44))/$B44)))))</f>
        <v/>
      </c>
      <c r="U44" s="131"/>
      <c r="V44" s="132" t="str">
        <f t="shared" ref="V44" si="360">IF(U44="","",IF($B$7="Menor valor",($E$4/$A$4)*($B44/U44),IF(U44&lt;=$B44,($E$4/$A$4)*(1-(($B44-U44)/$B44)),($E$4*60%/$A$4)*(1-2*((ABS($B44-U44))/$B44)))))</f>
        <v/>
      </c>
      <c r="W44" s="131"/>
      <c r="X44" s="132" t="str">
        <f t="shared" ref="X44" si="361">IF(W44="","",IF($B$7="Menor valor",($E$4/$A$4)*($B44/W44),IF(W44&lt;=$B44,($E$4/$A$4)*(1-(($B44-W44)/$B44)),($E$4*60%/$A$4)*(1-2*((ABS($B44-W44))/$B44)))))</f>
        <v/>
      </c>
      <c r="Y44" s="131"/>
      <c r="Z44" s="132" t="str">
        <f t="shared" ref="Z44" si="362">IF(Y44="","",IF($B$7="Menor valor",($E$4/$A$4)*($B44/Y44),IF(Y44&lt;=$B44,($E$4/$A$4)*(1-(($B44-Y44)/$B44)),($E$4*60%/$A$4)*(1-2*((ABS($B44-Y44))/$B44)))))</f>
        <v/>
      </c>
      <c r="AA44" s="129">
        <v>1</v>
      </c>
    </row>
    <row r="45" spans="1:27" s="129" customFormat="1" ht="21" customHeight="1">
      <c r="A45" s="204" t="str">
        <f>+'Presupuesto Consolidado'!A57</f>
        <v>2.2.2</v>
      </c>
      <c r="B45" s="130">
        <f t="shared" si="312"/>
        <v>43240556</v>
      </c>
      <c r="C45" s="131">
        <f>IF($C$7="Habilitado",ROUND('Presupuesto Consolidado'!E57,2),"")</f>
        <v>43240556</v>
      </c>
      <c r="D45" s="132">
        <f t="shared" si="1"/>
        <v>0.78125</v>
      </c>
      <c r="E45" s="131" t="str">
        <f>IF($E$7="Habilitado",ROUND('Presupuesto Consolidado'!L57,2),"")</f>
        <v/>
      </c>
      <c r="F45" s="132" t="str">
        <f t="shared" si="1"/>
        <v/>
      </c>
      <c r="G45" s="131"/>
      <c r="H45" s="132" t="str">
        <f t="shared" ref="H45" si="363">IF(G45="","",IF($B$7="Menor valor",($E$4/$A$4)*($B45/G45),IF(G45&lt;=$B45,($E$4/$A$4)*(1-(($B45-G45)/$B45)),($E$4*60%/$A$4)*(1-2*((ABS($B45-G45))/$B45)))))</f>
        <v/>
      </c>
      <c r="I45" s="131"/>
      <c r="J45" s="132" t="str">
        <f t="shared" ref="J45" si="364">IF(I45="","",IF($B$7="Menor valor",($E$4/$A$4)*($B45/I45),IF(I45&lt;=$B45,($E$4/$A$4)*(1-(($B45-I45)/$B45)),($E$4*60%/$A$4)*(1-2*((ABS($B45-I45))/$B45)))))</f>
        <v/>
      </c>
      <c r="K45" s="131"/>
      <c r="L45" s="132" t="str">
        <f t="shared" ref="L45" si="365">IF(K45="","",IF($B$7="Menor valor",($E$4/$A$4)*($B45/K45),IF(K45&lt;=$B45,($E$4/$A$4)*(1-(($B45-K45)/$B45)),($E$4*60%/$A$4)*(1-2*((ABS($B45-K45))/$B45)))))</f>
        <v/>
      </c>
      <c r="M45" s="131"/>
      <c r="N45" s="132" t="str">
        <f t="shared" ref="N45" si="366">IF(M45="","",IF($B$7="Menor valor",($E$4/$A$4)*($B45/M45),IF(M45&lt;=$B45,($E$4/$A$4)*(1-(($B45-M45)/$B45)),($E$4*60%/$A$4)*(1-2*((ABS($B45-M45))/$B45)))))</f>
        <v/>
      </c>
      <c r="O45" s="131"/>
      <c r="P45" s="132" t="str">
        <f t="shared" ref="P45" si="367">IF(O45="","",IF($B$7="Menor valor",($E$4/$A$4)*($B45/O45),IF(O45&lt;=$B45,($E$4/$A$4)*(1-(($B45-O45)/$B45)),($E$4*60%/$A$4)*(1-2*((ABS($B45-O45))/$B45)))))</f>
        <v/>
      </c>
      <c r="Q45" s="131"/>
      <c r="R45" s="132" t="str">
        <f t="shared" ref="R45" si="368">IF(Q45="","",IF($B$7="Menor valor",($E$4/$A$4)*($B45/Q45),IF(Q45&lt;=$B45,($E$4/$A$4)*(1-(($B45-Q45)/$B45)),($E$4*60%/$A$4)*(1-2*((ABS($B45-Q45))/$B45)))))</f>
        <v/>
      </c>
      <c r="S45" s="131"/>
      <c r="T45" s="132" t="str">
        <f t="shared" ref="T45" si="369">IF(S45="","",IF($B$7="Menor valor",($E$4/$A$4)*($B45/S45),IF(S45&lt;=$B45,($E$4/$A$4)*(1-(($B45-S45)/$B45)),($E$4*60%/$A$4)*(1-2*((ABS($B45-S45))/$B45)))))</f>
        <v/>
      </c>
      <c r="U45" s="131"/>
      <c r="V45" s="132" t="str">
        <f t="shared" ref="V45" si="370">IF(U45="","",IF($B$7="Menor valor",($E$4/$A$4)*($B45/U45),IF(U45&lt;=$B45,($E$4/$A$4)*(1-(($B45-U45)/$B45)),($E$4*60%/$A$4)*(1-2*((ABS($B45-U45))/$B45)))))</f>
        <v/>
      </c>
      <c r="W45" s="131"/>
      <c r="X45" s="132" t="str">
        <f t="shared" ref="X45" si="371">IF(W45="","",IF($B$7="Menor valor",($E$4/$A$4)*($B45/W45),IF(W45&lt;=$B45,($E$4/$A$4)*(1-(($B45-W45)/$B45)),($E$4*60%/$A$4)*(1-2*((ABS($B45-W45))/$B45)))))</f>
        <v/>
      </c>
      <c r="Y45" s="131"/>
      <c r="Z45" s="132" t="str">
        <f t="shared" ref="Z45" si="372">IF(Y45="","",IF($B$7="Menor valor",($E$4/$A$4)*($B45/Y45),IF(Y45&lt;=$B45,($E$4/$A$4)*(1-(($B45-Y45)/$B45)),($E$4*60%/$A$4)*(1-2*((ABS($B45-Y45))/$B45)))))</f>
        <v/>
      </c>
      <c r="AA45" s="129">
        <v>1</v>
      </c>
    </row>
    <row r="46" spans="1:27" s="129" customFormat="1" ht="21" customHeight="1">
      <c r="A46" s="204" t="str">
        <f>+'Presupuesto Consolidado'!A58</f>
        <v>2.2.3</v>
      </c>
      <c r="B46" s="130">
        <f t="shared" si="312"/>
        <v>3360971</v>
      </c>
      <c r="C46" s="131">
        <f>IF($C$7="Habilitado",ROUND('Presupuesto Consolidado'!E58,2),"")</f>
        <v>3360971</v>
      </c>
      <c r="D46" s="132">
        <f t="shared" si="1"/>
        <v>0.78125</v>
      </c>
      <c r="E46" s="131" t="str">
        <f>IF($E$7="Habilitado",ROUND('Presupuesto Consolidado'!L58,2),"")</f>
        <v/>
      </c>
      <c r="F46" s="132" t="str">
        <f t="shared" si="1"/>
        <v/>
      </c>
      <c r="G46" s="131"/>
      <c r="H46" s="132" t="str">
        <f t="shared" ref="H46" si="373">IF(G46="","",IF($B$7="Menor valor",($E$4/$A$4)*($B46/G46),IF(G46&lt;=$B46,($E$4/$A$4)*(1-(($B46-G46)/$B46)),($E$4*60%/$A$4)*(1-2*((ABS($B46-G46))/$B46)))))</f>
        <v/>
      </c>
      <c r="I46" s="131"/>
      <c r="J46" s="132" t="str">
        <f t="shared" ref="J46" si="374">IF(I46="","",IF($B$7="Menor valor",($E$4/$A$4)*($B46/I46),IF(I46&lt;=$B46,($E$4/$A$4)*(1-(($B46-I46)/$B46)),($E$4*60%/$A$4)*(1-2*((ABS($B46-I46))/$B46)))))</f>
        <v/>
      </c>
      <c r="K46" s="131"/>
      <c r="L46" s="132" t="str">
        <f t="shared" ref="L46" si="375">IF(K46="","",IF($B$7="Menor valor",($E$4/$A$4)*($B46/K46),IF(K46&lt;=$B46,($E$4/$A$4)*(1-(($B46-K46)/$B46)),($E$4*60%/$A$4)*(1-2*((ABS($B46-K46))/$B46)))))</f>
        <v/>
      </c>
      <c r="M46" s="131"/>
      <c r="N46" s="132" t="str">
        <f t="shared" ref="N46" si="376">IF(M46="","",IF($B$7="Menor valor",($E$4/$A$4)*($B46/M46),IF(M46&lt;=$B46,($E$4/$A$4)*(1-(($B46-M46)/$B46)),($E$4*60%/$A$4)*(1-2*((ABS($B46-M46))/$B46)))))</f>
        <v/>
      </c>
      <c r="O46" s="131"/>
      <c r="P46" s="132" t="str">
        <f t="shared" ref="P46" si="377">IF(O46="","",IF($B$7="Menor valor",($E$4/$A$4)*($B46/O46),IF(O46&lt;=$B46,($E$4/$A$4)*(1-(($B46-O46)/$B46)),($E$4*60%/$A$4)*(1-2*((ABS($B46-O46))/$B46)))))</f>
        <v/>
      </c>
      <c r="Q46" s="131"/>
      <c r="R46" s="132" t="str">
        <f t="shared" ref="R46" si="378">IF(Q46="","",IF($B$7="Menor valor",($E$4/$A$4)*($B46/Q46),IF(Q46&lt;=$B46,($E$4/$A$4)*(1-(($B46-Q46)/$B46)),($E$4*60%/$A$4)*(1-2*((ABS($B46-Q46))/$B46)))))</f>
        <v/>
      </c>
      <c r="S46" s="131"/>
      <c r="T46" s="132" t="str">
        <f t="shared" ref="T46" si="379">IF(S46="","",IF($B$7="Menor valor",($E$4/$A$4)*($B46/S46),IF(S46&lt;=$B46,($E$4/$A$4)*(1-(($B46-S46)/$B46)),($E$4*60%/$A$4)*(1-2*((ABS($B46-S46))/$B46)))))</f>
        <v/>
      </c>
      <c r="U46" s="131"/>
      <c r="V46" s="132" t="str">
        <f t="shared" ref="V46" si="380">IF(U46="","",IF($B$7="Menor valor",($E$4/$A$4)*($B46/U46),IF(U46&lt;=$B46,($E$4/$A$4)*(1-(($B46-U46)/$B46)),($E$4*60%/$A$4)*(1-2*((ABS($B46-U46))/$B46)))))</f>
        <v/>
      </c>
      <c r="W46" s="131"/>
      <c r="X46" s="132" t="str">
        <f t="shared" ref="X46" si="381">IF(W46="","",IF($B$7="Menor valor",($E$4/$A$4)*($B46/W46),IF(W46&lt;=$B46,($E$4/$A$4)*(1-(($B46-W46)/$B46)),($E$4*60%/$A$4)*(1-2*((ABS($B46-W46))/$B46)))))</f>
        <v/>
      </c>
      <c r="Y46" s="131"/>
      <c r="Z46" s="132" t="str">
        <f t="shared" ref="Z46" si="382">IF(Y46="","",IF($B$7="Menor valor",($E$4/$A$4)*($B46/Y46),IF(Y46&lt;=$B46,($E$4/$A$4)*(1-(($B46-Y46)/$B46)),($E$4*60%/$A$4)*(1-2*((ABS($B46-Y46))/$B46)))))</f>
        <v/>
      </c>
      <c r="AA46" s="129">
        <v>1</v>
      </c>
    </row>
    <row r="47" spans="1:27" s="129" customFormat="1" ht="21" customHeight="1">
      <c r="A47" s="204" t="str">
        <f>+'Presupuesto Consolidado'!A59</f>
        <v>2.2.4</v>
      </c>
      <c r="B47" s="130">
        <f t="shared" si="312"/>
        <v>443078</v>
      </c>
      <c r="C47" s="131">
        <f>IF($C$7="Habilitado",ROUND('Presupuesto Consolidado'!E59,2),"")</f>
        <v>443078</v>
      </c>
      <c r="D47" s="132">
        <f t="shared" si="1"/>
        <v>0.78125</v>
      </c>
      <c r="E47" s="131" t="str">
        <f>IF($E$7="Habilitado",ROUND('Presupuesto Consolidado'!L59,2),"")</f>
        <v/>
      </c>
      <c r="F47" s="132" t="str">
        <f t="shared" si="1"/>
        <v/>
      </c>
      <c r="G47" s="131"/>
      <c r="H47" s="132" t="str">
        <f t="shared" ref="H47" si="383">IF(G47="","",IF($B$7="Menor valor",($E$4/$A$4)*($B47/G47),IF(G47&lt;=$B47,($E$4/$A$4)*(1-(($B47-G47)/$B47)),($E$4*60%/$A$4)*(1-2*((ABS($B47-G47))/$B47)))))</f>
        <v/>
      </c>
      <c r="I47" s="131"/>
      <c r="J47" s="132" t="str">
        <f t="shared" ref="J47" si="384">IF(I47="","",IF($B$7="Menor valor",($E$4/$A$4)*($B47/I47),IF(I47&lt;=$B47,($E$4/$A$4)*(1-(($B47-I47)/$B47)),($E$4*60%/$A$4)*(1-2*((ABS($B47-I47))/$B47)))))</f>
        <v/>
      </c>
      <c r="K47" s="131"/>
      <c r="L47" s="132" t="str">
        <f t="shared" ref="L47" si="385">IF(K47="","",IF($B$7="Menor valor",($E$4/$A$4)*($B47/K47),IF(K47&lt;=$B47,($E$4/$A$4)*(1-(($B47-K47)/$B47)),($E$4*60%/$A$4)*(1-2*((ABS($B47-K47))/$B47)))))</f>
        <v/>
      </c>
      <c r="M47" s="131"/>
      <c r="N47" s="132" t="str">
        <f t="shared" ref="N47" si="386">IF(M47="","",IF($B$7="Menor valor",($E$4/$A$4)*($B47/M47),IF(M47&lt;=$B47,($E$4/$A$4)*(1-(($B47-M47)/$B47)),($E$4*60%/$A$4)*(1-2*((ABS($B47-M47))/$B47)))))</f>
        <v/>
      </c>
      <c r="O47" s="131"/>
      <c r="P47" s="132" t="str">
        <f t="shared" ref="P47" si="387">IF(O47="","",IF($B$7="Menor valor",($E$4/$A$4)*($B47/O47),IF(O47&lt;=$B47,($E$4/$A$4)*(1-(($B47-O47)/$B47)),($E$4*60%/$A$4)*(1-2*((ABS($B47-O47))/$B47)))))</f>
        <v/>
      </c>
      <c r="Q47" s="131"/>
      <c r="R47" s="132" t="str">
        <f t="shared" ref="R47" si="388">IF(Q47="","",IF($B$7="Menor valor",($E$4/$A$4)*($B47/Q47),IF(Q47&lt;=$B47,($E$4/$A$4)*(1-(($B47-Q47)/$B47)),($E$4*60%/$A$4)*(1-2*((ABS($B47-Q47))/$B47)))))</f>
        <v/>
      </c>
      <c r="S47" s="131"/>
      <c r="T47" s="132" t="str">
        <f t="shared" ref="T47" si="389">IF(S47="","",IF($B$7="Menor valor",($E$4/$A$4)*($B47/S47),IF(S47&lt;=$B47,($E$4/$A$4)*(1-(($B47-S47)/$B47)),($E$4*60%/$A$4)*(1-2*((ABS($B47-S47))/$B47)))))</f>
        <v/>
      </c>
      <c r="U47" s="131"/>
      <c r="V47" s="132" t="str">
        <f t="shared" ref="V47" si="390">IF(U47="","",IF($B$7="Menor valor",($E$4/$A$4)*($B47/U47),IF(U47&lt;=$B47,($E$4/$A$4)*(1-(($B47-U47)/$B47)),($E$4*60%/$A$4)*(1-2*((ABS($B47-U47))/$B47)))))</f>
        <v/>
      </c>
      <c r="W47" s="131"/>
      <c r="X47" s="132" t="str">
        <f t="shared" ref="X47" si="391">IF(W47="","",IF($B$7="Menor valor",($E$4/$A$4)*($B47/W47),IF(W47&lt;=$B47,($E$4/$A$4)*(1-(($B47-W47)/$B47)),($E$4*60%/$A$4)*(1-2*((ABS($B47-W47))/$B47)))))</f>
        <v/>
      </c>
      <c r="Y47" s="131"/>
      <c r="Z47" s="132" t="str">
        <f t="shared" ref="Z47" si="392">IF(Y47="","",IF($B$7="Menor valor",($E$4/$A$4)*($B47/Y47),IF(Y47&lt;=$B47,($E$4/$A$4)*(1-(($B47-Y47)/$B47)),($E$4*60%/$A$4)*(1-2*((ABS($B47-Y47))/$B47)))))</f>
        <v/>
      </c>
      <c r="AA47" s="129">
        <v>1</v>
      </c>
    </row>
    <row r="48" spans="1:27" s="129" customFormat="1" ht="21" customHeight="1">
      <c r="A48" s="204" t="str">
        <f>+'Presupuesto Consolidado'!A60</f>
        <v>2.2.5</v>
      </c>
      <c r="B48" s="130">
        <f t="shared" si="312"/>
        <v>1424582</v>
      </c>
      <c r="C48" s="131">
        <f>IF($C$7="Habilitado",ROUND('Presupuesto Consolidado'!E60,2),"")</f>
        <v>1424582</v>
      </c>
      <c r="D48" s="132">
        <f t="shared" si="1"/>
        <v>0.78125</v>
      </c>
      <c r="E48" s="131" t="str">
        <f>IF($E$7="Habilitado",ROUND('Presupuesto Consolidado'!L60,2),"")</f>
        <v/>
      </c>
      <c r="F48" s="132" t="str">
        <f t="shared" si="1"/>
        <v/>
      </c>
      <c r="G48" s="131"/>
      <c r="H48" s="132" t="str">
        <f t="shared" ref="H48" si="393">IF(G48="","",IF($B$7="Menor valor",($E$4/$A$4)*($B48/G48),IF(G48&lt;=$B48,($E$4/$A$4)*(1-(($B48-G48)/$B48)),($E$4*60%/$A$4)*(1-2*((ABS($B48-G48))/$B48)))))</f>
        <v/>
      </c>
      <c r="I48" s="131"/>
      <c r="J48" s="132" t="str">
        <f t="shared" ref="J48" si="394">IF(I48="","",IF($B$7="Menor valor",($E$4/$A$4)*($B48/I48),IF(I48&lt;=$B48,($E$4/$A$4)*(1-(($B48-I48)/$B48)),($E$4*60%/$A$4)*(1-2*((ABS($B48-I48))/$B48)))))</f>
        <v/>
      </c>
      <c r="K48" s="131"/>
      <c r="L48" s="132" t="str">
        <f t="shared" ref="L48" si="395">IF(K48="","",IF($B$7="Menor valor",($E$4/$A$4)*($B48/K48),IF(K48&lt;=$B48,($E$4/$A$4)*(1-(($B48-K48)/$B48)),($E$4*60%/$A$4)*(1-2*((ABS($B48-K48))/$B48)))))</f>
        <v/>
      </c>
      <c r="M48" s="131"/>
      <c r="N48" s="132" t="str">
        <f t="shared" ref="N48" si="396">IF(M48="","",IF($B$7="Menor valor",($E$4/$A$4)*($B48/M48),IF(M48&lt;=$B48,($E$4/$A$4)*(1-(($B48-M48)/$B48)),($E$4*60%/$A$4)*(1-2*((ABS($B48-M48))/$B48)))))</f>
        <v/>
      </c>
      <c r="O48" s="131"/>
      <c r="P48" s="132" t="str">
        <f t="shared" ref="P48" si="397">IF(O48="","",IF($B$7="Menor valor",($E$4/$A$4)*($B48/O48),IF(O48&lt;=$B48,($E$4/$A$4)*(1-(($B48-O48)/$B48)),($E$4*60%/$A$4)*(1-2*((ABS($B48-O48))/$B48)))))</f>
        <v/>
      </c>
      <c r="Q48" s="131"/>
      <c r="R48" s="132" t="str">
        <f t="shared" ref="R48" si="398">IF(Q48="","",IF($B$7="Menor valor",($E$4/$A$4)*($B48/Q48),IF(Q48&lt;=$B48,($E$4/$A$4)*(1-(($B48-Q48)/$B48)),($E$4*60%/$A$4)*(1-2*((ABS($B48-Q48))/$B48)))))</f>
        <v/>
      </c>
      <c r="S48" s="131"/>
      <c r="T48" s="132" t="str">
        <f t="shared" ref="T48" si="399">IF(S48="","",IF($B$7="Menor valor",($E$4/$A$4)*($B48/S48),IF(S48&lt;=$B48,($E$4/$A$4)*(1-(($B48-S48)/$B48)),($E$4*60%/$A$4)*(1-2*((ABS($B48-S48))/$B48)))))</f>
        <v/>
      </c>
      <c r="U48" s="131"/>
      <c r="V48" s="132" t="str">
        <f t="shared" ref="V48" si="400">IF(U48="","",IF($B$7="Menor valor",($E$4/$A$4)*($B48/U48),IF(U48&lt;=$B48,($E$4/$A$4)*(1-(($B48-U48)/$B48)),($E$4*60%/$A$4)*(1-2*((ABS($B48-U48))/$B48)))))</f>
        <v/>
      </c>
      <c r="W48" s="131"/>
      <c r="X48" s="132" t="str">
        <f t="shared" ref="X48" si="401">IF(W48="","",IF($B$7="Menor valor",($E$4/$A$4)*($B48/W48),IF(W48&lt;=$B48,($E$4/$A$4)*(1-(($B48-W48)/$B48)),($E$4*60%/$A$4)*(1-2*((ABS($B48-W48))/$B48)))))</f>
        <v/>
      </c>
      <c r="Y48" s="131"/>
      <c r="Z48" s="132" t="str">
        <f t="shared" ref="Z48" si="402">IF(Y48="","",IF($B$7="Menor valor",($E$4/$A$4)*($B48/Y48),IF(Y48&lt;=$B48,($E$4/$A$4)*(1-(($B48-Y48)/$B48)),($E$4*60%/$A$4)*(1-2*((ABS($B48-Y48))/$B48)))))</f>
        <v/>
      </c>
      <c r="AA48" s="129">
        <v>1</v>
      </c>
    </row>
    <row r="49" spans="1:27" s="129" customFormat="1" ht="21" customHeight="1">
      <c r="A49" s="204" t="str">
        <f>+'Presupuesto Consolidado'!A61</f>
        <v>2.2.6</v>
      </c>
      <c r="B49" s="130">
        <f t="shared" si="312"/>
        <v>1526428</v>
      </c>
      <c r="C49" s="131">
        <f>IF($C$7="Habilitado",ROUND('Presupuesto Consolidado'!E61,2),"")</f>
        <v>1526428</v>
      </c>
      <c r="D49" s="132">
        <f t="shared" si="1"/>
        <v>0.78125</v>
      </c>
      <c r="E49" s="131" t="str">
        <f>IF($E$7="Habilitado",ROUND('Presupuesto Consolidado'!L61,2),"")</f>
        <v/>
      </c>
      <c r="F49" s="132" t="str">
        <f t="shared" si="1"/>
        <v/>
      </c>
      <c r="G49" s="131"/>
      <c r="H49" s="132" t="str">
        <f t="shared" ref="H49" si="403">IF(G49="","",IF($B$7="Menor valor",($E$4/$A$4)*($B49/G49),IF(G49&lt;=$B49,($E$4/$A$4)*(1-(($B49-G49)/$B49)),($E$4*60%/$A$4)*(1-2*((ABS($B49-G49))/$B49)))))</f>
        <v/>
      </c>
      <c r="I49" s="131"/>
      <c r="J49" s="132" t="str">
        <f t="shared" ref="J49" si="404">IF(I49="","",IF($B$7="Menor valor",($E$4/$A$4)*($B49/I49),IF(I49&lt;=$B49,($E$4/$A$4)*(1-(($B49-I49)/$B49)),($E$4*60%/$A$4)*(1-2*((ABS($B49-I49))/$B49)))))</f>
        <v/>
      </c>
      <c r="K49" s="131"/>
      <c r="L49" s="132" t="str">
        <f t="shared" ref="L49" si="405">IF(K49="","",IF($B$7="Menor valor",($E$4/$A$4)*($B49/K49),IF(K49&lt;=$B49,($E$4/$A$4)*(1-(($B49-K49)/$B49)),($E$4*60%/$A$4)*(1-2*((ABS($B49-K49))/$B49)))))</f>
        <v/>
      </c>
      <c r="M49" s="131"/>
      <c r="N49" s="132" t="str">
        <f t="shared" ref="N49" si="406">IF(M49="","",IF($B$7="Menor valor",($E$4/$A$4)*($B49/M49),IF(M49&lt;=$B49,($E$4/$A$4)*(1-(($B49-M49)/$B49)),($E$4*60%/$A$4)*(1-2*((ABS($B49-M49))/$B49)))))</f>
        <v/>
      </c>
      <c r="O49" s="131"/>
      <c r="P49" s="132" t="str">
        <f t="shared" ref="P49" si="407">IF(O49="","",IF($B$7="Menor valor",($E$4/$A$4)*($B49/O49),IF(O49&lt;=$B49,($E$4/$A$4)*(1-(($B49-O49)/$B49)),($E$4*60%/$A$4)*(1-2*((ABS($B49-O49))/$B49)))))</f>
        <v/>
      </c>
      <c r="Q49" s="131"/>
      <c r="R49" s="132" t="str">
        <f t="shared" ref="R49" si="408">IF(Q49="","",IF($B$7="Menor valor",($E$4/$A$4)*($B49/Q49),IF(Q49&lt;=$B49,($E$4/$A$4)*(1-(($B49-Q49)/$B49)),($E$4*60%/$A$4)*(1-2*((ABS($B49-Q49))/$B49)))))</f>
        <v/>
      </c>
      <c r="S49" s="131"/>
      <c r="T49" s="132" t="str">
        <f t="shared" ref="T49" si="409">IF(S49="","",IF($B$7="Menor valor",($E$4/$A$4)*($B49/S49),IF(S49&lt;=$B49,($E$4/$A$4)*(1-(($B49-S49)/$B49)),($E$4*60%/$A$4)*(1-2*((ABS($B49-S49))/$B49)))))</f>
        <v/>
      </c>
      <c r="U49" s="131"/>
      <c r="V49" s="132" t="str">
        <f t="shared" ref="V49" si="410">IF(U49="","",IF($B$7="Menor valor",($E$4/$A$4)*($B49/U49),IF(U49&lt;=$B49,($E$4/$A$4)*(1-(($B49-U49)/$B49)),($E$4*60%/$A$4)*(1-2*((ABS($B49-U49))/$B49)))))</f>
        <v/>
      </c>
      <c r="W49" s="131"/>
      <c r="X49" s="132" t="str">
        <f t="shared" ref="X49" si="411">IF(W49="","",IF($B$7="Menor valor",($E$4/$A$4)*($B49/W49),IF(W49&lt;=$B49,($E$4/$A$4)*(1-(($B49-W49)/$B49)),($E$4*60%/$A$4)*(1-2*((ABS($B49-W49))/$B49)))))</f>
        <v/>
      </c>
      <c r="Y49" s="131"/>
      <c r="Z49" s="132" t="str">
        <f t="shared" ref="Z49" si="412">IF(Y49="","",IF($B$7="Menor valor",($E$4/$A$4)*($B49/Y49),IF(Y49&lt;=$B49,($E$4/$A$4)*(1-(($B49-Y49)/$B49)),($E$4*60%/$A$4)*(1-2*((ABS($B49-Y49))/$B49)))))</f>
        <v/>
      </c>
      <c r="AA49" s="129">
        <v>1</v>
      </c>
    </row>
    <row r="50" spans="1:27" s="129" customFormat="1" ht="21" customHeight="1">
      <c r="A50" s="204" t="str">
        <f>+'Presupuesto Consolidado'!A62</f>
        <v>2.2.7</v>
      </c>
      <c r="B50" s="130">
        <f t="shared" si="312"/>
        <v>6219052</v>
      </c>
      <c r="C50" s="131">
        <f>IF($C$7="Habilitado",ROUND('Presupuesto Consolidado'!E62,2),"")</f>
        <v>6219052</v>
      </c>
      <c r="D50" s="132">
        <f t="shared" si="1"/>
        <v>0.78125</v>
      </c>
      <c r="E50" s="131" t="str">
        <f>IF($E$7="Habilitado",ROUND('Presupuesto Consolidado'!L62,2),"")</f>
        <v/>
      </c>
      <c r="F50" s="132" t="str">
        <f t="shared" si="1"/>
        <v/>
      </c>
      <c r="G50" s="131"/>
      <c r="H50" s="132" t="str">
        <f t="shared" ref="H50" si="413">IF(G50="","",IF($B$7="Menor valor",($E$4/$A$4)*($B50/G50),IF(G50&lt;=$B50,($E$4/$A$4)*(1-(($B50-G50)/$B50)),($E$4*60%/$A$4)*(1-2*((ABS($B50-G50))/$B50)))))</f>
        <v/>
      </c>
      <c r="I50" s="131"/>
      <c r="J50" s="132" t="str">
        <f t="shared" ref="J50" si="414">IF(I50="","",IF($B$7="Menor valor",($E$4/$A$4)*($B50/I50),IF(I50&lt;=$B50,($E$4/$A$4)*(1-(($B50-I50)/$B50)),($E$4*60%/$A$4)*(1-2*((ABS($B50-I50))/$B50)))))</f>
        <v/>
      </c>
      <c r="K50" s="131"/>
      <c r="L50" s="132" t="str">
        <f t="shared" ref="L50" si="415">IF(K50="","",IF($B$7="Menor valor",($E$4/$A$4)*($B50/K50),IF(K50&lt;=$B50,($E$4/$A$4)*(1-(($B50-K50)/$B50)),($E$4*60%/$A$4)*(1-2*((ABS($B50-K50))/$B50)))))</f>
        <v/>
      </c>
      <c r="M50" s="131"/>
      <c r="N50" s="132" t="str">
        <f t="shared" ref="N50" si="416">IF(M50="","",IF($B$7="Menor valor",($E$4/$A$4)*($B50/M50),IF(M50&lt;=$B50,($E$4/$A$4)*(1-(($B50-M50)/$B50)),($E$4*60%/$A$4)*(1-2*((ABS($B50-M50))/$B50)))))</f>
        <v/>
      </c>
      <c r="O50" s="131"/>
      <c r="P50" s="132" t="str">
        <f t="shared" ref="P50" si="417">IF(O50="","",IF($B$7="Menor valor",($E$4/$A$4)*($B50/O50),IF(O50&lt;=$B50,($E$4/$A$4)*(1-(($B50-O50)/$B50)),($E$4*60%/$A$4)*(1-2*((ABS($B50-O50))/$B50)))))</f>
        <v/>
      </c>
      <c r="Q50" s="131"/>
      <c r="R50" s="132" t="str">
        <f t="shared" ref="R50" si="418">IF(Q50="","",IF($B$7="Menor valor",($E$4/$A$4)*($B50/Q50),IF(Q50&lt;=$B50,($E$4/$A$4)*(1-(($B50-Q50)/$B50)),($E$4*60%/$A$4)*(1-2*((ABS($B50-Q50))/$B50)))))</f>
        <v/>
      </c>
      <c r="S50" s="131"/>
      <c r="T50" s="132" t="str">
        <f t="shared" ref="T50" si="419">IF(S50="","",IF($B$7="Menor valor",($E$4/$A$4)*($B50/S50),IF(S50&lt;=$B50,($E$4/$A$4)*(1-(($B50-S50)/$B50)),($E$4*60%/$A$4)*(1-2*((ABS($B50-S50))/$B50)))))</f>
        <v/>
      </c>
      <c r="U50" s="131"/>
      <c r="V50" s="132" t="str">
        <f t="shared" ref="V50" si="420">IF(U50="","",IF($B$7="Menor valor",($E$4/$A$4)*($B50/U50),IF(U50&lt;=$B50,($E$4/$A$4)*(1-(($B50-U50)/$B50)),($E$4*60%/$A$4)*(1-2*((ABS($B50-U50))/$B50)))))</f>
        <v/>
      </c>
      <c r="W50" s="131"/>
      <c r="X50" s="132" t="str">
        <f t="shared" ref="X50" si="421">IF(W50="","",IF($B$7="Menor valor",($E$4/$A$4)*($B50/W50),IF(W50&lt;=$B50,($E$4/$A$4)*(1-(($B50-W50)/$B50)),($E$4*60%/$A$4)*(1-2*((ABS($B50-W50))/$B50)))))</f>
        <v/>
      </c>
      <c r="Y50" s="131"/>
      <c r="Z50" s="132" t="str">
        <f t="shared" ref="Z50" si="422">IF(Y50="","",IF($B$7="Menor valor",($E$4/$A$4)*($B50/Y50),IF(Y50&lt;=$B50,($E$4/$A$4)*(1-(($B50-Y50)/$B50)),($E$4*60%/$A$4)*(1-2*((ABS($B50-Y50))/$B50)))))</f>
        <v/>
      </c>
      <c r="AA50" s="129">
        <v>1</v>
      </c>
    </row>
    <row r="51" spans="1:27" s="129" customFormat="1" ht="21" customHeight="1">
      <c r="A51" s="204" t="str">
        <f>+'Presupuesto Consolidado'!A63</f>
        <v>2.2.8</v>
      </c>
      <c r="B51" s="130">
        <f t="shared" si="312"/>
        <v>133382</v>
      </c>
      <c r="C51" s="131">
        <f>IF($C$7="Habilitado",ROUND('Presupuesto Consolidado'!E63,2),"")</f>
        <v>133382</v>
      </c>
      <c r="D51" s="132">
        <f t="shared" si="1"/>
        <v>0.78125</v>
      </c>
      <c r="E51" s="131" t="str">
        <f>IF($E$7="Habilitado",ROUND('Presupuesto Consolidado'!L63,2),"")</f>
        <v/>
      </c>
      <c r="F51" s="132" t="str">
        <f t="shared" si="1"/>
        <v/>
      </c>
      <c r="G51" s="131"/>
      <c r="H51" s="132" t="str">
        <f t="shared" ref="H51" si="423">IF(G51="","",IF($B$7="Menor valor",($E$4/$A$4)*($B51/G51),IF(G51&lt;=$B51,($E$4/$A$4)*(1-(($B51-G51)/$B51)),($E$4*60%/$A$4)*(1-2*((ABS($B51-G51))/$B51)))))</f>
        <v/>
      </c>
      <c r="I51" s="131"/>
      <c r="J51" s="132" t="str">
        <f t="shared" ref="J51" si="424">IF(I51="","",IF($B$7="Menor valor",($E$4/$A$4)*($B51/I51),IF(I51&lt;=$B51,($E$4/$A$4)*(1-(($B51-I51)/$B51)),($E$4*60%/$A$4)*(1-2*((ABS($B51-I51))/$B51)))))</f>
        <v/>
      </c>
      <c r="K51" s="131"/>
      <c r="L51" s="132" t="str">
        <f t="shared" ref="L51" si="425">IF(K51="","",IF($B$7="Menor valor",($E$4/$A$4)*($B51/K51),IF(K51&lt;=$B51,($E$4/$A$4)*(1-(($B51-K51)/$B51)),($E$4*60%/$A$4)*(1-2*((ABS($B51-K51))/$B51)))))</f>
        <v/>
      </c>
      <c r="M51" s="131"/>
      <c r="N51" s="132" t="str">
        <f t="shared" ref="N51" si="426">IF(M51="","",IF($B$7="Menor valor",($E$4/$A$4)*($B51/M51),IF(M51&lt;=$B51,($E$4/$A$4)*(1-(($B51-M51)/$B51)),($E$4*60%/$A$4)*(1-2*((ABS($B51-M51))/$B51)))))</f>
        <v/>
      </c>
      <c r="O51" s="131"/>
      <c r="P51" s="132" t="str">
        <f t="shared" ref="P51" si="427">IF(O51="","",IF($B$7="Menor valor",($E$4/$A$4)*($B51/O51),IF(O51&lt;=$B51,($E$4/$A$4)*(1-(($B51-O51)/$B51)),($E$4*60%/$A$4)*(1-2*((ABS($B51-O51))/$B51)))))</f>
        <v/>
      </c>
      <c r="Q51" s="131"/>
      <c r="R51" s="132" t="str">
        <f t="shared" ref="R51" si="428">IF(Q51="","",IF($B$7="Menor valor",($E$4/$A$4)*($B51/Q51),IF(Q51&lt;=$B51,($E$4/$A$4)*(1-(($B51-Q51)/$B51)),($E$4*60%/$A$4)*(1-2*((ABS($B51-Q51))/$B51)))))</f>
        <v/>
      </c>
      <c r="S51" s="131"/>
      <c r="T51" s="132" t="str">
        <f t="shared" ref="T51" si="429">IF(S51="","",IF($B$7="Menor valor",($E$4/$A$4)*($B51/S51),IF(S51&lt;=$B51,($E$4/$A$4)*(1-(($B51-S51)/$B51)),($E$4*60%/$A$4)*(1-2*((ABS($B51-S51))/$B51)))))</f>
        <v/>
      </c>
      <c r="U51" s="131"/>
      <c r="V51" s="132" t="str">
        <f t="shared" ref="V51" si="430">IF(U51="","",IF($B$7="Menor valor",($E$4/$A$4)*($B51/U51),IF(U51&lt;=$B51,($E$4/$A$4)*(1-(($B51-U51)/$B51)),($E$4*60%/$A$4)*(1-2*((ABS($B51-U51))/$B51)))))</f>
        <v/>
      </c>
      <c r="W51" s="131"/>
      <c r="X51" s="132" t="str">
        <f t="shared" ref="X51" si="431">IF(W51="","",IF($B$7="Menor valor",($E$4/$A$4)*($B51/W51),IF(W51&lt;=$B51,($E$4/$A$4)*(1-(($B51-W51)/$B51)),($E$4*60%/$A$4)*(1-2*((ABS($B51-W51))/$B51)))))</f>
        <v/>
      </c>
      <c r="Y51" s="131"/>
      <c r="Z51" s="132" t="str">
        <f t="shared" ref="Z51" si="432">IF(Y51="","",IF($B$7="Menor valor",($E$4/$A$4)*($B51/Y51),IF(Y51&lt;=$B51,($E$4/$A$4)*(1-(($B51-Y51)/$B51)),($E$4*60%/$A$4)*(1-2*((ABS($B51-Y51))/$B51)))))</f>
        <v/>
      </c>
      <c r="AA51" s="129">
        <v>1</v>
      </c>
    </row>
    <row r="52" spans="1:27" s="129" customFormat="1" ht="21" customHeight="1">
      <c r="A52" s="204" t="str">
        <f>+'Presupuesto Consolidado'!A64</f>
        <v>2.2.9</v>
      </c>
      <c r="B52" s="130">
        <f t="shared" si="312"/>
        <v>103469</v>
      </c>
      <c r="C52" s="131">
        <f>IF($C$7="Habilitado",ROUND('Presupuesto Consolidado'!E64,2),"")</f>
        <v>103469</v>
      </c>
      <c r="D52" s="132">
        <f t="shared" si="1"/>
        <v>0.78125</v>
      </c>
      <c r="E52" s="131" t="str">
        <f>IF($E$7="Habilitado",ROUND('Presupuesto Consolidado'!L64,2),"")</f>
        <v/>
      </c>
      <c r="F52" s="132" t="str">
        <f t="shared" si="1"/>
        <v/>
      </c>
      <c r="G52" s="285"/>
      <c r="H52" s="132" t="str">
        <f t="shared" ref="H52" si="433">IF(G52="","",IF($B$7="Menor valor",($E$4/$A$4)*($B52/G52),IF(G52&lt;=$B52,($E$4/$A$4)*(1-(($B52-G52)/$B52)),($E$4*60%/$A$4)*(1-2*((ABS($B52-G52))/$B52)))))</f>
        <v/>
      </c>
      <c r="I52" s="285"/>
      <c r="J52" s="132" t="str">
        <f t="shared" ref="J52" si="434">IF(I52="","",IF($B$7="Menor valor",($E$4/$A$4)*($B52/I52),IF(I52&lt;=$B52,($E$4/$A$4)*(1-(($B52-I52)/$B52)),($E$4*60%/$A$4)*(1-2*((ABS($B52-I52))/$B52)))))</f>
        <v/>
      </c>
      <c r="K52" s="285"/>
      <c r="L52" s="132" t="str">
        <f t="shared" ref="L52" si="435">IF(K52="","",IF($B$7="Menor valor",($E$4/$A$4)*($B52/K52),IF(K52&lt;=$B52,($E$4/$A$4)*(1-(($B52-K52)/$B52)),($E$4*60%/$A$4)*(1-2*((ABS($B52-K52))/$B52)))))</f>
        <v/>
      </c>
      <c r="M52" s="285"/>
      <c r="N52" s="132" t="str">
        <f t="shared" ref="N52" si="436">IF(M52="","",IF($B$7="Menor valor",($E$4/$A$4)*($B52/M52),IF(M52&lt;=$B52,($E$4/$A$4)*(1-(($B52-M52)/$B52)),($E$4*60%/$A$4)*(1-2*((ABS($B52-M52))/$B52)))))</f>
        <v/>
      </c>
      <c r="O52" s="285"/>
      <c r="P52" s="132" t="str">
        <f t="shared" ref="P52" si="437">IF(O52="","",IF($B$7="Menor valor",($E$4/$A$4)*($B52/O52),IF(O52&lt;=$B52,($E$4/$A$4)*(1-(($B52-O52)/$B52)),($E$4*60%/$A$4)*(1-2*((ABS($B52-O52))/$B52)))))</f>
        <v/>
      </c>
      <c r="Q52" s="285"/>
      <c r="R52" s="132" t="str">
        <f t="shared" ref="R52" si="438">IF(Q52="","",IF($B$7="Menor valor",($E$4/$A$4)*($B52/Q52),IF(Q52&lt;=$B52,($E$4/$A$4)*(1-(($B52-Q52)/$B52)),($E$4*60%/$A$4)*(1-2*((ABS($B52-Q52))/$B52)))))</f>
        <v/>
      </c>
      <c r="S52" s="285"/>
      <c r="T52" s="132" t="str">
        <f t="shared" ref="T52" si="439">IF(S52="","",IF($B$7="Menor valor",($E$4/$A$4)*($B52/S52),IF(S52&lt;=$B52,($E$4/$A$4)*(1-(($B52-S52)/$B52)),($E$4*60%/$A$4)*(1-2*((ABS($B52-S52))/$B52)))))</f>
        <v/>
      </c>
      <c r="U52" s="285"/>
      <c r="V52" s="132" t="str">
        <f t="shared" ref="V52" si="440">IF(U52="","",IF($B$7="Menor valor",($E$4/$A$4)*($B52/U52),IF(U52&lt;=$B52,($E$4/$A$4)*(1-(($B52-U52)/$B52)),($E$4*60%/$A$4)*(1-2*((ABS($B52-U52))/$B52)))))</f>
        <v/>
      </c>
      <c r="W52" s="285"/>
      <c r="X52" s="132" t="str">
        <f t="shared" ref="X52" si="441">IF(W52="","",IF($B$7="Menor valor",($E$4/$A$4)*($B52/W52),IF(W52&lt;=$B52,($E$4/$A$4)*(1-(($B52-W52)/$B52)),($E$4*60%/$A$4)*(1-2*((ABS($B52-W52))/$B52)))))</f>
        <v/>
      </c>
      <c r="Y52" s="285"/>
      <c r="Z52" s="132" t="str">
        <f t="shared" ref="Z52" si="442">IF(Y52="","",IF($B$7="Menor valor",($E$4/$A$4)*($B52/Y52),IF(Y52&lt;=$B52,($E$4/$A$4)*(1-(($B52-Y52)/$B52)),($E$4*60%/$A$4)*(1-2*((ABS($B52-Y52))/$B52)))))</f>
        <v/>
      </c>
      <c r="AA52" s="129">
        <v>1</v>
      </c>
    </row>
    <row r="53" spans="1:27" s="129" customFormat="1" ht="21" customHeight="1">
      <c r="A53" s="204" t="str">
        <f>+'Presupuesto Consolidado'!A65</f>
        <v>2.2.10</v>
      </c>
      <c r="B53" s="130">
        <f t="shared" si="312"/>
        <v>90240</v>
      </c>
      <c r="C53" s="131">
        <f>IF($C$7="Habilitado",ROUND('Presupuesto Consolidado'!E65,2),"")</f>
        <v>90240</v>
      </c>
      <c r="D53" s="132">
        <f t="shared" si="1"/>
        <v>0.78125</v>
      </c>
      <c r="E53" s="131" t="str">
        <f>IF($E$7="Habilitado",ROUND('Presupuesto Consolidado'!L65,2),"")</f>
        <v/>
      </c>
      <c r="F53" s="132" t="str">
        <f t="shared" si="1"/>
        <v/>
      </c>
      <c r="G53" s="285"/>
      <c r="H53" s="132" t="str">
        <f t="shared" ref="H53" si="443">IF(G53="","",IF($B$7="Menor valor",($E$4/$A$4)*($B53/G53),IF(G53&lt;=$B53,($E$4/$A$4)*(1-(($B53-G53)/$B53)),($E$4*60%/$A$4)*(1-2*((ABS($B53-G53))/$B53)))))</f>
        <v/>
      </c>
      <c r="I53" s="285"/>
      <c r="J53" s="132" t="str">
        <f t="shared" ref="J53" si="444">IF(I53="","",IF($B$7="Menor valor",($E$4/$A$4)*($B53/I53),IF(I53&lt;=$B53,($E$4/$A$4)*(1-(($B53-I53)/$B53)),($E$4*60%/$A$4)*(1-2*((ABS($B53-I53))/$B53)))))</f>
        <v/>
      </c>
      <c r="K53" s="285"/>
      <c r="L53" s="132" t="str">
        <f t="shared" ref="L53" si="445">IF(K53="","",IF($B$7="Menor valor",($E$4/$A$4)*($B53/K53),IF(K53&lt;=$B53,($E$4/$A$4)*(1-(($B53-K53)/$B53)),($E$4*60%/$A$4)*(1-2*((ABS($B53-K53))/$B53)))))</f>
        <v/>
      </c>
      <c r="M53" s="285"/>
      <c r="N53" s="132" t="str">
        <f t="shared" ref="N53" si="446">IF(M53="","",IF($B$7="Menor valor",($E$4/$A$4)*($B53/M53),IF(M53&lt;=$B53,($E$4/$A$4)*(1-(($B53-M53)/$B53)),($E$4*60%/$A$4)*(1-2*((ABS($B53-M53))/$B53)))))</f>
        <v/>
      </c>
      <c r="O53" s="285"/>
      <c r="P53" s="132" t="str">
        <f t="shared" ref="P53" si="447">IF(O53="","",IF($B$7="Menor valor",($E$4/$A$4)*($B53/O53),IF(O53&lt;=$B53,($E$4/$A$4)*(1-(($B53-O53)/$B53)),($E$4*60%/$A$4)*(1-2*((ABS($B53-O53))/$B53)))))</f>
        <v/>
      </c>
      <c r="Q53" s="285"/>
      <c r="R53" s="132" t="str">
        <f t="shared" ref="R53" si="448">IF(Q53="","",IF($B$7="Menor valor",($E$4/$A$4)*($B53/Q53),IF(Q53&lt;=$B53,($E$4/$A$4)*(1-(($B53-Q53)/$B53)),($E$4*60%/$A$4)*(1-2*((ABS($B53-Q53))/$B53)))))</f>
        <v/>
      </c>
      <c r="S53" s="285"/>
      <c r="T53" s="132" t="str">
        <f t="shared" ref="T53" si="449">IF(S53="","",IF($B$7="Menor valor",($E$4/$A$4)*($B53/S53),IF(S53&lt;=$B53,($E$4/$A$4)*(1-(($B53-S53)/$B53)),($E$4*60%/$A$4)*(1-2*((ABS($B53-S53))/$B53)))))</f>
        <v/>
      </c>
      <c r="U53" s="285"/>
      <c r="V53" s="132" t="str">
        <f t="shared" ref="V53" si="450">IF(U53="","",IF($B$7="Menor valor",($E$4/$A$4)*($B53/U53),IF(U53&lt;=$B53,($E$4/$A$4)*(1-(($B53-U53)/$B53)),($E$4*60%/$A$4)*(1-2*((ABS($B53-U53))/$B53)))))</f>
        <v/>
      </c>
      <c r="W53" s="285"/>
      <c r="X53" s="132" t="str">
        <f t="shared" ref="X53" si="451">IF(W53="","",IF($B$7="Menor valor",($E$4/$A$4)*($B53/W53),IF(W53&lt;=$B53,($E$4/$A$4)*(1-(($B53-W53)/$B53)),($E$4*60%/$A$4)*(1-2*((ABS($B53-W53))/$B53)))))</f>
        <v/>
      </c>
      <c r="Y53" s="285"/>
      <c r="Z53" s="132" t="str">
        <f t="shared" ref="Z53" si="452">IF(Y53="","",IF($B$7="Menor valor",($E$4/$A$4)*($B53/Y53),IF(Y53&lt;=$B53,($E$4/$A$4)*(1-(($B53-Y53)/$B53)),($E$4*60%/$A$4)*(1-2*((ABS($B53-Y53))/$B53)))))</f>
        <v/>
      </c>
      <c r="AA53" s="129">
        <v>1</v>
      </c>
    </row>
    <row r="54" spans="1:27" s="129" customFormat="1" ht="21" customHeight="1">
      <c r="A54" s="204" t="str">
        <f>+'Presupuesto Consolidado'!A66</f>
        <v>2.2.11</v>
      </c>
      <c r="B54" s="130">
        <f t="shared" si="312"/>
        <v>73026</v>
      </c>
      <c r="C54" s="131">
        <f>IF($C$7="Habilitado",ROUND('Presupuesto Consolidado'!E66,2),"")</f>
        <v>73026</v>
      </c>
      <c r="D54" s="132">
        <f t="shared" si="1"/>
        <v>0.78125</v>
      </c>
      <c r="E54" s="131" t="str">
        <f>IF($E$7="Habilitado",ROUND('Presupuesto Consolidado'!L66,2),"")</f>
        <v/>
      </c>
      <c r="F54" s="132" t="str">
        <f t="shared" si="1"/>
        <v/>
      </c>
      <c r="G54" s="285"/>
      <c r="H54" s="132" t="str">
        <f t="shared" ref="H54" si="453">IF(G54="","",IF($B$7="Menor valor",($E$4/$A$4)*($B54/G54),IF(G54&lt;=$B54,($E$4/$A$4)*(1-(($B54-G54)/$B54)),($E$4*60%/$A$4)*(1-2*((ABS($B54-G54))/$B54)))))</f>
        <v/>
      </c>
      <c r="I54" s="285"/>
      <c r="J54" s="132" t="str">
        <f t="shared" ref="J54" si="454">IF(I54="","",IF($B$7="Menor valor",($E$4/$A$4)*($B54/I54),IF(I54&lt;=$B54,($E$4/$A$4)*(1-(($B54-I54)/$B54)),($E$4*60%/$A$4)*(1-2*((ABS($B54-I54))/$B54)))))</f>
        <v/>
      </c>
      <c r="K54" s="285"/>
      <c r="L54" s="132" t="str">
        <f t="shared" ref="L54" si="455">IF(K54="","",IF($B$7="Menor valor",($E$4/$A$4)*($B54/K54),IF(K54&lt;=$B54,($E$4/$A$4)*(1-(($B54-K54)/$B54)),($E$4*60%/$A$4)*(1-2*((ABS($B54-K54))/$B54)))))</f>
        <v/>
      </c>
      <c r="M54" s="285"/>
      <c r="N54" s="132" t="str">
        <f t="shared" ref="N54" si="456">IF(M54="","",IF($B$7="Menor valor",($E$4/$A$4)*($B54/M54),IF(M54&lt;=$B54,($E$4/$A$4)*(1-(($B54-M54)/$B54)),($E$4*60%/$A$4)*(1-2*((ABS($B54-M54))/$B54)))))</f>
        <v/>
      </c>
      <c r="O54" s="285"/>
      <c r="P54" s="132" t="str">
        <f t="shared" ref="P54" si="457">IF(O54="","",IF($B$7="Menor valor",($E$4/$A$4)*($B54/O54),IF(O54&lt;=$B54,($E$4/$A$4)*(1-(($B54-O54)/$B54)),($E$4*60%/$A$4)*(1-2*((ABS($B54-O54))/$B54)))))</f>
        <v/>
      </c>
      <c r="Q54" s="285"/>
      <c r="R54" s="132" t="str">
        <f t="shared" ref="R54" si="458">IF(Q54="","",IF($B$7="Menor valor",($E$4/$A$4)*($B54/Q54),IF(Q54&lt;=$B54,($E$4/$A$4)*(1-(($B54-Q54)/$B54)),($E$4*60%/$A$4)*(1-2*((ABS($B54-Q54))/$B54)))))</f>
        <v/>
      </c>
      <c r="S54" s="285"/>
      <c r="T54" s="132" t="str">
        <f t="shared" ref="T54" si="459">IF(S54="","",IF($B$7="Menor valor",($E$4/$A$4)*($B54/S54),IF(S54&lt;=$B54,($E$4/$A$4)*(1-(($B54-S54)/$B54)),($E$4*60%/$A$4)*(1-2*((ABS($B54-S54))/$B54)))))</f>
        <v/>
      </c>
      <c r="U54" s="285"/>
      <c r="V54" s="132" t="str">
        <f t="shared" ref="V54" si="460">IF(U54="","",IF($B$7="Menor valor",($E$4/$A$4)*($B54/U54),IF(U54&lt;=$B54,($E$4/$A$4)*(1-(($B54-U54)/$B54)),($E$4*60%/$A$4)*(1-2*((ABS($B54-U54))/$B54)))))</f>
        <v/>
      </c>
      <c r="W54" s="285"/>
      <c r="X54" s="132" t="str">
        <f t="shared" ref="X54" si="461">IF(W54="","",IF($B$7="Menor valor",($E$4/$A$4)*($B54/W54),IF(W54&lt;=$B54,($E$4/$A$4)*(1-(($B54-W54)/$B54)),($E$4*60%/$A$4)*(1-2*((ABS($B54-W54))/$B54)))))</f>
        <v/>
      </c>
      <c r="Y54" s="285"/>
      <c r="Z54" s="132" t="str">
        <f t="shared" ref="Z54" si="462">IF(Y54="","",IF($B$7="Menor valor",($E$4/$A$4)*($B54/Y54),IF(Y54&lt;=$B54,($E$4/$A$4)*(1-(($B54-Y54)/$B54)),($E$4*60%/$A$4)*(1-2*((ABS($B54-Y54))/$B54)))))</f>
        <v/>
      </c>
      <c r="AA54" s="129">
        <v>1</v>
      </c>
    </row>
    <row r="55" spans="1:27" s="129" customFormat="1" ht="21" customHeight="1">
      <c r="A55" s="204" t="str">
        <f>+'Presupuesto Consolidado'!A67</f>
        <v>2.2.12</v>
      </c>
      <c r="B55" s="130">
        <f t="shared" si="312"/>
        <v>58918</v>
      </c>
      <c r="C55" s="131">
        <f>IF($C$7="Habilitado",ROUND('Presupuesto Consolidado'!E67,2),"")</f>
        <v>58918</v>
      </c>
      <c r="D55" s="132">
        <f t="shared" si="1"/>
        <v>0.78125</v>
      </c>
      <c r="E55" s="131" t="str">
        <f>IF($E$7="Habilitado",ROUND('Presupuesto Consolidado'!L67,2),"")</f>
        <v/>
      </c>
      <c r="F55" s="132" t="str">
        <f t="shared" si="1"/>
        <v/>
      </c>
      <c r="G55" s="285"/>
      <c r="H55" s="132" t="str">
        <f t="shared" ref="H55" si="463">IF(G55="","",IF($B$7="Menor valor",($E$4/$A$4)*($B55/G55),IF(G55&lt;=$B55,($E$4/$A$4)*(1-(($B55-G55)/$B55)),($E$4*60%/$A$4)*(1-2*((ABS($B55-G55))/$B55)))))</f>
        <v/>
      </c>
      <c r="I55" s="285"/>
      <c r="J55" s="132" t="str">
        <f t="shared" ref="J55" si="464">IF(I55="","",IF($B$7="Menor valor",($E$4/$A$4)*($B55/I55),IF(I55&lt;=$B55,($E$4/$A$4)*(1-(($B55-I55)/$B55)),($E$4*60%/$A$4)*(1-2*((ABS($B55-I55))/$B55)))))</f>
        <v/>
      </c>
      <c r="K55" s="285"/>
      <c r="L55" s="132" t="str">
        <f t="shared" ref="L55" si="465">IF(K55="","",IF($B$7="Menor valor",($E$4/$A$4)*($B55/K55),IF(K55&lt;=$B55,($E$4/$A$4)*(1-(($B55-K55)/$B55)),($E$4*60%/$A$4)*(1-2*((ABS($B55-K55))/$B55)))))</f>
        <v/>
      </c>
      <c r="M55" s="285"/>
      <c r="N55" s="132" t="str">
        <f t="shared" ref="N55" si="466">IF(M55="","",IF($B$7="Menor valor",($E$4/$A$4)*($B55/M55),IF(M55&lt;=$B55,($E$4/$A$4)*(1-(($B55-M55)/$B55)),($E$4*60%/$A$4)*(1-2*((ABS($B55-M55))/$B55)))))</f>
        <v/>
      </c>
      <c r="O55" s="285"/>
      <c r="P55" s="132" t="str">
        <f t="shared" ref="P55" si="467">IF(O55="","",IF($B$7="Menor valor",($E$4/$A$4)*($B55/O55),IF(O55&lt;=$B55,($E$4/$A$4)*(1-(($B55-O55)/$B55)),($E$4*60%/$A$4)*(1-2*((ABS($B55-O55))/$B55)))))</f>
        <v/>
      </c>
      <c r="Q55" s="285"/>
      <c r="R55" s="132" t="str">
        <f t="shared" ref="R55" si="468">IF(Q55="","",IF($B$7="Menor valor",($E$4/$A$4)*($B55/Q55),IF(Q55&lt;=$B55,($E$4/$A$4)*(1-(($B55-Q55)/$B55)),($E$4*60%/$A$4)*(1-2*((ABS($B55-Q55))/$B55)))))</f>
        <v/>
      </c>
      <c r="S55" s="285"/>
      <c r="T55" s="132" t="str">
        <f t="shared" ref="T55" si="469">IF(S55="","",IF($B$7="Menor valor",($E$4/$A$4)*($B55/S55),IF(S55&lt;=$B55,($E$4/$A$4)*(1-(($B55-S55)/$B55)),($E$4*60%/$A$4)*(1-2*((ABS($B55-S55))/$B55)))))</f>
        <v/>
      </c>
      <c r="U55" s="285"/>
      <c r="V55" s="132" t="str">
        <f t="shared" ref="V55" si="470">IF(U55="","",IF($B$7="Menor valor",($E$4/$A$4)*($B55/U55),IF(U55&lt;=$B55,($E$4/$A$4)*(1-(($B55-U55)/$B55)),($E$4*60%/$A$4)*(1-2*((ABS($B55-U55))/$B55)))))</f>
        <v/>
      </c>
      <c r="W55" s="285"/>
      <c r="X55" s="132" t="str">
        <f t="shared" ref="X55" si="471">IF(W55="","",IF($B$7="Menor valor",($E$4/$A$4)*($B55/W55),IF(W55&lt;=$B55,($E$4/$A$4)*(1-(($B55-W55)/$B55)),($E$4*60%/$A$4)*(1-2*((ABS($B55-W55))/$B55)))))</f>
        <v/>
      </c>
      <c r="Y55" s="285"/>
      <c r="Z55" s="132" t="str">
        <f t="shared" ref="Z55" si="472">IF(Y55="","",IF($B$7="Menor valor",($E$4/$A$4)*($B55/Y55),IF(Y55&lt;=$B55,($E$4/$A$4)*(1-(($B55-Y55)/$B55)),($E$4*60%/$A$4)*(1-2*((ABS($B55-Y55))/$B55)))))</f>
        <v/>
      </c>
      <c r="AA55" s="129">
        <v>1</v>
      </c>
    </row>
    <row r="56" spans="1:27" s="129" customFormat="1" ht="21" customHeight="1">
      <c r="A56" s="204" t="str">
        <f>+'Presupuesto Consolidado'!A68</f>
        <v>2.2.13</v>
      </c>
      <c r="B56" s="130">
        <f t="shared" si="312"/>
        <v>52264</v>
      </c>
      <c r="C56" s="131">
        <f>IF($C$7="Habilitado",ROUND('Presupuesto Consolidado'!E68,2),"")</f>
        <v>52264</v>
      </c>
      <c r="D56" s="132">
        <f t="shared" si="1"/>
        <v>0.78125</v>
      </c>
      <c r="E56" s="131" t="str">
        <f>IF($E$7="Habilitado",ROUND('Presupuesto Consolidado'!L68,2),"")</f>
        <v/>
      </c>
      <c r="F56" s="132" t="str">
        <f t="shared" si="1"/>
        <v/>
      </c>
      <c r="G56" s="285"/>
      <c r="H56" s="132" t="str">
        <f t="shared" ref="H56" si="473">IF(G56="","",IF($B$7="Menor valor",($E$4/$A$4)*($B56/G56),IF(G56&lt;=$B56,($E$4/$A$4)*(1-(($B56-G56)/$B56)),($E$4*60%/$A$4)*(1-2*((ABS($B56-G56))/$B56)))))</f>
        <v/>
      </c>
      <c r="I56" s="285"/>
      <c r="J56" s="132" t="str">
        <f t="shared" ref="J56" si="474">IF(I56="","",IF($B$7="Menor valor",($E$4/$A$4)*($B56/I56),IF(I56&lt;=$B56,($E$4/$A$4)*(1-(($B56-I56)/$B56)),($E$4*60%/$A$4)*(1-2*((ABS($B56-I56))/$B56)))))</f>
        <v/>
      </c>
      <c r="K56" s="285"/>
      <c r="L56" s="132" t="str">
        <f t="shared" ref="L56" si="475">IF(K56="","",IF($B$7="Menor valor",($E$4/$A$4)*($B56/K56),IF(K56&lt;=$B56,($E$4/$A$4)*(1-(($B56-K56)/$B56)),($E$4*60%/$A$4)*(1-2*((ABS($B56-K56))/$B56)))))</f>
        <v/>
      </c>
      <c r="M56" s="285"/>
      <c r="N56" s="132" t="str">
        <f t="shared" ref="N56" si="476">IF(M56="","",IF($B$7="Menor valor",($E$4/$A$4)*($B56/M56),IF(M56&lt;=$B56,($E$4/$A$4)*(1-(($B56-M56)/$B56)),($E$4*60%/$A$4)*(1-2*((ABS($B56-M56))/$B56)))))</f>
        <v/>
      </c>
      <c r="O56" s="285"/>
      <c r="P56" s="132" t="str">
        <f t="shared" ref="P56" si="477">IF(O56="","",IF($B$7="Menor valor",($E$4/$A$4)*($B56/O56),IF(O56&lt;=$B56,($E$4/$A$4)*(1-(($B56-O56)/$B56)),($E$4*60%/$A$4)*(1-2*((ABS($B56-O56))/$B56)))))</f>
        <v/>
      </c>
      <c r="Q56" s="285"/>
      <c r="R56" s="132" t="str">
        <f t="shared" ref="R56" si="478">IF(Q56="","",IF($B$7="Menor valor",($E$4/$A$4)*($B56/Q56),IF(Q56&lt;=$B56,($E$4/$A$4)*(1-(($B56-Q56)/$B56)),($E$4*60%/$A$4)*(1-2*((ABS($B56-Q56))/$B56)))))</f>
        <v/>
      </c>
      <c r="S56" s="285"/>
      <c r="T56" s="132" t="str">
        <f t="shared" ref="T56" si="479">IF(S56="","",IF($B$7="Menor valor",($E$4/$A$4)*($B56/S56),IF(S56&lt;=$B56,($E$4/$A$4)*(1-(($B56-S56)/$B56)),($E$4*60%/$A$4)*(1-2*((ABS($B56-S56))/$B56)))))</f>
        <v/>
      </c>
      <c r="U56" s="285"/>
      <c r="V56" s="132" t="str">
        <f t="shared" ref="V56" si="480">IF(U56="","",IF($B$7="Menor valor",($E$4/$A$4)*($B56/U56),IF(U56&lt;=$B56,($E$4/$A$4)*(1-(($B56-U56)/$B56)),($E$4*60%/$A$4)*(1-2*((ABS($B56-U56))/$B56)))))</f>
        <v/>
      </c>
      <c r="W56" s="285"/>
      <c r="X56" s="132" t="str">
        <f t="shared" ref="X56" si="481">IF(W56="","",IF($B$7="Menor valor",($E$4/$A$4)*($B56/W56),IF(W56&lt;=$B56,($E$4/$A$4)*(1-(($B56-W56)/$B56)),($E$4*60%/$A$4)*(1-2*((ABS($B56-W56))/$B56)))))</f>
        <v/>
      </c>
      <c r="Y56" s="285"/>
      <c r="Z56" s="132" t="str">
        <f t="shared" ref="Z56" si="482">IF(Y56="","",IF($B$7="Menor valor",($E$4/$A$4)*($B56/Y56),IF(Y56&lt;=$B56,($E$4/$A$4)*(1-(($B56-Y56)/$B56)),($E$4*60%/$A$4)*(1-2*((ABS($B56-Y56))/$B56)))))</f>
        <v/>
      </c>
      <c r="AA56" s="129">
        <v>1</v>
      </c>
    </row>
    <row r="57" spans="1:27" s="129" customFormat="1" ht="21" customHeight="1">
      <c r="A57" s="204" t="str">
        <f>+'Presupuesto Consolidado'!A69</f>
        <v>2.2.14</v>
      </c>
      <c r="B57" s="130">
        <f t="shared" si="312"/>
        <v>46246</v>
      </c>
      <c r="C57" s="131">
        <f>IF($C$7="Habilitado",ROUND('Presupuesto Consolidado'!E69,2),"")</f>
        <v>46246</v>
      </c>
      <c r="D57" s="132">
        <f t="shared" si="1"/>
        <v>0.78125</v>
      </c>
      <c r="E57" s="131" t="str">
        <f>IF($E$7="Habilitado",ROUND('Presupuesto Consolidado'!L69,2),"")</f>
        <v/>
      </c>
      <c r="F57" s="132" t="str">
        <f t="shared" si="1"/>
        <v/>
      </c>
      <c r="G57" s="285"/>
      <c r="H57" s="132" t="str">
        <f t="shared" ref="H57" si="483">IF(G57="","",IF($B$7="Menor valor",($E$4/$A$4)*($B57/G57),IF(G57&lt;=$B57,($E$4/$A$4)*(1-(($B57-G57)/$B57)),($E$4*60%/$A$4)*(1-2*((ABS($B57-G57))/$B57)))))</f>
        <v/>
      </c>
      <c r="I57" s="285"/>
      <c r="J57" s="132" t="str">
        <f t="shared" ref="J57" si="484">IF(I57="","",IF($B$7="Menor valor",($E$4/$A$4)*($B57/I57),IF(I57&lt;=$B57,($E$4/$A$4)*(1-(($B57-I57)/$B57)),($E$4*60%/$A$4)*(1-2*((ABS($B57-I57))/$B57)))))</f>
        <v/>
      </c>
      <c r="K57" s="285"/>
      <c r="L57" s="132" t="str">
        <f t="shared" ref="L57" si="485">IF(K57="","",IF($B$7="Menor valor",($E$4/$A$4)*($B57/K57),IF(K57&lt;=$B57,($E$4/$A$4)*(1-(($B57-K57)/$B57)),($E$4*60%/$A$4)*(1-2*((ABS($B57-K57))/$B57)))))</f>
        <v/>
      </c>
      <c r="M57" s="285"/>
      <c r="N57" s="132" t="str">
        <f t="shared" ref="N57" si="486">IF(M57="","",IF($B$7="Menor valor",($E$4/$A$4)*($B57/M57),IF(M57&lt;=$B57,($E$4/$A$4)*(1-(($B57-M57)/$B57)),($E$4*60%/$A$4)*(1-2*((ABS($B57-M57))/$B57)))))</f>
        <v/>
      </c>
      <c r="O57" s="285"/>
      <c r="P57" s="132" t="str">
        <f t="shared" ref="P57" si="487">IF(O57="","",IF($B$7="Menor valor",($E$4/$A$4)*($B57/O57),IF(O57&lt;=$B57,($E$4/$A$4)*(1-(($B57-O57)/$B57)),($E$4*60%/$A$4)*(1-2*((ABS($B57-O57))/$B57)))))</f>
        <v/>
      </c>
      <c r="Q57" s="285"/>
      <c r="R57" s="132" t="str">
        <f t="shared" ref="R57" si="488">IF(Q57="","",IF($B$7="Menor valor",($E$4/$A$4)*($B57/Q57),IF(Q57&lt;=$B57,($E$4/$A$4)*(1-(($B57-Q57)/$B57)),($E$4*60%/$A$4)*(1-2*((ABS($B57-Q57))/$B57)))))</f>
        <v/>
      </c>
      <c r="S57" s="285"/>
      <c r="T57" s="132" t="str">
        <f t="shared" ref="T57" si="489">IF(S57="","",IF($B$7="Menor valor",($E$4/$A$4)*($B57/S57),IF(S57&lt;=$B57,($E$4/$A$4)*(1-(($B57-S57)/$B57)),($E$4*60%/$A$4)*(1-2*((ABS($B57-S57))/$B57)))))</f>
        <v/>
      </c>
      <c r="U57" s="285"/>
      <c r="V57" s="132" t="str">
        <f t="shared" ref="V57" si="490">IF(U57="","",IF($B$7="Menor valor",($E$4/$A$4)*($B57/U57),IF(U57&lt;=$B57,($E$4/$A$4)*(1-(($B57-U57)/$B57)),($E$4*60%/$A$4)*(1-2*((ABS($B57-U57))/$B57)))))</f>
        <v/>
      </c>
      <c r="W57" s="285"/>
      <c r="X57" s="132" t="str">
        <f t="shared" ref="X57" si="491">IF(W57="","",IF($B$7="Menor valor",($E$4/$A$4)*($B57/W57),IF(W57&lt;=$B57,($E$4/$A$4)*(1-(($B57-W57)/$B57)),($E$4*60%/$A$4)*(1-2*((ABS($B57-W57))/$B57)))))</f>
        <v/>
      </c>
      <c r="Y57" s="285"/>
      <c r="Z57" s="132" t="str">
        <f t="shared" ref="Z57" si="492">IF(Y57="","",IF($B$7="Menor valor",($E$4/$A$4)*($B57/Y57),IF(Y57&lt;=$B57,($E$4/$A$4)*(1-(($B57-Y57)/$B57)),($E$4*60%/$A$4)*(1-2*((ABS($B57-Y57))/$B57)))))</f>
        <v/>
      </c>
      <c r="AA57" s="129">
        <v>1</v>
      </c>
    </row>
    <row r="58" spans="1:27" s="129" customFormat="1" ht="21" customHeight="1">
      <c r="A58" s="204" t="str">
        <f>+'Presupuesto Consolidado'!A70</f>
        <v>2.2.15</v>
      </c>
      <c r="B58" s="130">
        <f t="shared" si="312"/>
        <v>38572</v>
      </c>
      <c r="C58" s="131">
        <f>IF($C$7="Habilitado",ROUND('Presupuesto Consolidado'!E70,2),"")</f>
        <v>38572</v>
      </c>
      <c r="D58" s="132">
        <f t="shared" si="1"/>
        <v>0.78125</v>
      </c>
      <c r="E58" s="131" t="str">
        <f>IF($E$7="Habilitado",ROUND('Presupuesto Consolidado'!L70,2),"")</f>
        <v/>
      </c>
      <c r="F58" s="132" t="str">
        <f t="shared" si="1"/>
        <v/>
      </c>
      <c r="G58" s="285"/>
      <c r="H58" s="132" t="str">
        <f t="shared" ref="H58" si="493">IF(G58="","",IF($B$7="Menor valor",($E$4/$A$4)*($B58/G58),IF(G58&lt;=$B58,($E$4/$A$4)*(1-(($B58-G58)/$B58)),($E$4*60%/$A$4)*(1-2*((ABS($B58-G58))/$B58)))))</f>
        <v/>
      </c>
      <c r="I58" s="285"/>
      <c r="J58" s="132" t="str">
        <f t="shared" ref="J58" si="494">IF(I58="","",IF($B$7="Menor valor",($E$4/$A$4)*($B58/I58),IF(I58&lt;=$B58,($E$4/$A$4)*(1-(($B58-I58)/$B58)),($E$4*60%/$A$4)*(1-2*((ABS($B58-I58))/$B58)))))</f>
        <v/>
      </c>
      <c r="K58" s="285"/>
      <c r="L58" s="132" t="str">
        <f t="shared" ref="L58" si="495">IF(K58="","",IF($B$7="Menor valor",($E$4/$A$4)*($B58/K58),IF(K58&lt;=$B58,($E$4/$A$4)*(1-(($B58-K58)/$B58)),($E$4*60%/$A$4)*(1-2*((ABS($B58-K58))/$B58)))))</f>
        <v/>
      </c>
      <c r="M58" s="285"/>
      <c r="N58" s="132" t="str">
        <f t="shared" ref="N58" si="496">IF(M58="","",IF($B$7="Menor valor",($E$4/$A$4)*($B58/M58),IF(M58&lt;=$B58,($E$4/$A$4)*(1-(($B58-M58)/$B58)),($E$4*60%/$A$4)*(1-2*((ABS($B58-M58))/$B58)))))</f>
        <v/>
      </c>
      <c r="O58" s="285"/>
      <c r="P58" s="132" t="str">
        <f t="shared" ref="P58" si="497">IF(O58="","",IF($B$7="Menor valor",($E$4/$A$4)*($B58/O58),IF(O58&lt;=$B58,($E$4/$A$4)*(1-(($B58-O58)/$B58)),($E$4*60%/$A$4)*(1-2*((ABS($B58-O58))/$B58)))))</f>
        <v/>
      </c>
      <c r="Q58" s="285"/>
      <c r="R58" s="132" t="str">
        <f t="shared" ref="R58" si="498">IF(Q58="","",IF($B$7="Menor valor",($E$4/$A$4)*($B58/Q58),IF(Q58&lt;=$B58,($E$4/$A$4)*(1-(($B58-Q58)/$B58)),($E$4*60%/$A$4)*(1-2*((ABS($B58-Q58))/$B58)))))</f>
        <v/>
      </c>
      <c r="S58" s="285"/>
      <c r="T58" s="132" t="str">
        <f t="shared" ref="T58" si="499">IF(S58="","",IF($B$7="Menor valor",($E$4/$A$4)*($B58/S58),IF(S58&lt;=$B58,($E$4/$A$4)*(1-(($B58-S58)/$B58)),($E$4*60%/$A$4)*(1-2*((ABS($B58-S58))/$B58)))))</f>
        <v/>
      </c>
      <c r="U58" s="285"/>
      <c r="V58" s="132" t="str">
        <f t="shared" ref="V58" si="500">IF(U58="","",IF($B$7="Menor valor",($E$4/$A$4)*($B58/U58),IF(U58&lt;=$B58,($E$4/$A$4)*(1-(($B58-U58)/$B58)),($E$4*60%/$A$4)*(1-2*((ABS($B58-U58))/$B58)))))</f>
        <v/>
      </c>
      <c r="W58" s="285"/>
      <c r="X58" s="132" t="str">
        <f t="shared" ref="X58" si="501">IF(W58="","",IF($B$7="Menor valor",($E$4/$A$4)*($B58/W58),IF(W58&lt;=$B58,($E$4/$A$4)*(1-(($B58-W58)/$B58)),($E$4*60%/$A$4)*(1-2*((ABS($B58-W58))/$B58)))))</f>
        <v/>
      </c>
      <c r="Y58" s="285"/>
      <c r="Z58" s="132" t="str">
        <f t="shared" ref="Z58" si="502">IF(Y58="","",IF($B$7="Menor valor",($E$4/$A$4)*($B58/Y58),IF(Y58&lt;=$B58,($E$4/$A$4)*(1-(($B58-Y58)/$B58)),($E$4*60%/$A$4)*(1-2*((ABS($B58-Y58))/$B58)))))</f>
        <v/>
      </c>
      <c r="AA58" s="129">
        <v>1</v>
      </c>
    </row>
    <row r="59" spans="1:27" s="129" customFormat="1" ht="21" customHeight="1">
      <c r="A59" s="204" t="str">
        <f>+'Presupuesto Consolidado'!A71</f>
        <v>2.2.16</v>
      </c>
      <c r="B59" s="130">
        <f t="shared" si="312"/>
        <v>33787</v>
      </c>
      <c r="C59" s="131">
        <f>IF($C$7="Habilitado",ROUND('Presupuesto Consolidado'!E71,2),"")</f>
        <v>33787</v>
      </c>
      <c r="D59" s="132">
        <f t="shared" si="1"/>
        <v>0.78125</v>
      </c>
      <c r="E59" s="131" t="str">
        <f>IF($E$7="Habilitado",ROUND('Presupuesto Consolidado'!L71,2),"")</f>
        <v/>
      </c>
      <c r="F59" s="132" t="str">
        <f t="shared" si="1"/>
        <v/>
      </c>
      <c r="G59" s="285"/>
      <c r="H59" s="132" t="str">
        <f t="shared" ref="H59" si="503">IF(G59="","",IF($B$7="Menor valor",($E$4/$A$4)*($B59/G59),IF(G59&lt;=$B59,($E$4/$A$4)*(1-(($B59-G59)/$B59)),($E$4*60%/$A$4)*(1-2*((ABS($B59-G59))/$B59)))))</f>
        <v/>
      </c>
      <c r="I59" s="285"/>
      <c r="J59" s="132" t="str">
        <f t="shared" ref="J59" si="504">IF(I59="","",IF($B$7="Menor valor",($E$4/$A$4)*($B59/I59),IF(I59&lt;=$B59,($E$4/$A$4)*(1-(($B59-I59)/$B59)),($E$4*60%/$A$4)*(1-2*((ABS($B59-I59))/$B59)))))</f>
        <v/>
      </c>
      <c r="K59" s="285"/>
      <c r="L59" s="132" t="str">
        <f t="shared" ref="L59" si="505">IF(K59="","",IF($B$7="Menor valor",($E$4/$A$4)*($B59/K59),IF(K59&lt;=$B59,($E$4/$A$4)*(1-(($B59-K59)/$B59)),($E$4*60%/$A$4)*(1-2*((ABS($B59-K59))/$B59)))))</f>
        <v/>
      </c>
      <c r="M59" s="285"/>
      <c r="N59" s="132" t="str">
        <f t="shared" ref="N59" si="506">IF(M59="","",IF($B$7="Menor valor",($E$4/$A$4)*($B59/M59),IF(M59&lt;=$B59,($E$4/$A$4)*(1-(($B59-M59)/$B59)),($E$4*60%/$A$4)*(1-2*((ABS($B59-M59))/$B59)))))</f>
        <v/>
      </c>
      <c r="O59" s="285"/>
      <c r="P59" s="132" t="str">
        <f t="shared" ref="P59" si="507">IF(O59="","",IF($B$7="Menor valor",($E$4/$A$4)*($B59/O59),IF(O59&lt;=$B59,($E$4/$A$4)*(1-(($B59-O59)/$B59)),($E$4*60%/$A$4)*(1-2*((ABS($B59-O59))/$B59)))))</f>
        <v/>
      </c>
      <c r="Q59" s="285"/>
      <c r="R59" s="132" t="str">
        <f t="shared" ref="R59" si="508">IF(Q59="","",IF($B$7="Menor valor",($E$4/$A$4)*($B59/Q59),IF(Q59&lt;=$B59,($E$4/$A$4)*(1-(($B59-Q59)/$B59)),($E$4*60%/$A$4)*(1-2*((ABS($B59-Q59))/$B59)))))</f>
        <v/>
      </c>
      <c r="S59" s="285"/>
      <c r="T59" s="132" t="str">
        <f t="shared" ref="T59" si="509">IF(S59="","",IF($B$7="Menor valor",($E$4/$A$4)*($B59/S59),IF(S59&lt;=$B59,($E$4/$A$4)*(1-(($B59-S59)/$B59)),($E$4*60%/$A$4)*(1-2*((ABS($B59-S59))/$B59)))))</f>
        <v/>
      </c>
      <c r="U59" s="285"/>
      <c r="V59" s="132" t="str">
        <f t="shared" ref="V59" si="510">IF(U59="","",IF($B$7="Menor valor",($E$4/$A$4)*($B59/U59),IF(U59&lt;=$B59,($E$4/$A$4)*(1-(($B59-U59)/$B59)),($E$4*60%/$A$4)*(1-2*((ABS($B59-U59))/$B59)))))</f>
        <v/>
      </c>
      <c r="W59" s="285"/>
      <c r="X59" s="132" t="str">
        <f t="shared" ref="X59" si="511">IF(W59="","",IF($B$7="Menor valor",($E$4/$A$4)*($B59/W59),IF(W59&lt;=$B59,($E$4/$A$4)*(1-(($B59-W59)/$B59)),($E$4*60%/$A$4)*(1-2*((ABS($B59-W59))/$B59)))))</f>
        <v/>
      </c>
      <c r="Y59" s="285"/>
      <c r="Z59" s="132" t="str">
        <f t="shared" ref="Z59" si="512">IF(Y59="","",IF($B$7="Menor valor",($E$4/$A$4)*($B59/Y59),IF(Y59&lt;=$B59,($E$4/$A$4)*(1-(($B59-Y59)/$B59)),($E$4*60%/$A$4)*(1-2*((ABS($B59-Y59))/$B59)))))</f>
        <v/>
      </c>
      <c r="AA59" s="129">
        <v>1</v>
      </c>
    </row>
    <row r="60" spans="1:27" s="129" customFormat="1" ht="21" customHeight="1">
      <c r="A60" s="204" t="str">
        <f>+'Presupuesto Consolidado'!A72</f>
        <v>2.2.17</v>
      </c>
      <c r="B60" s="130">
        <f t="shared" si="312"/>
        <v>560191</v>
      </c>
      <c r="C60" s="131">
        <f>IF($C$7="Habilitado",ROUND('Presupuesto Consolidado'!E72,2),"")</f>
        <v>560191</v>
      </c>
      <c r="D60" s="132">
        <f t="shared" si="1"/>
        <v>0.78125</v>
      </c>
      <c r="E60" s="131" t="str">
        <f>IF($E$7="Habilitado",ROUND('Presupuesto Consolidado'!L72,2),"")</f>
        <v/>
      </c>
      <c r="F60" s="132" t="str">
        <f t="shared" si="1"/>
        <v/>
      </c>
      <c r="G60" s="285"/>
      <c r="H60" s="132" t="str">
        <f t="shared" ref="H60" si="513">IF(G60="","",IF($B$7="Menor valor",($E$4/$A$4)*($B60/G60),IF(G60&lt;=$B60,($E$4/$A$4)*(1-(($B60-G60)/$B60)),($E$4*60%/$A$4)*(1-2*((ABS($B60-G60))/$B60)))))</f>
        <v/>
      </c>
      <c r="I60" s="285"/>
      <c r="J60" s="132" t="str">
        <f t="shared" ref="J60" si="514">IF(I60="","",IF($B$7="Menor valor",($E$4/$A$4)*($B60/I60),IF(I60&lt;=$B60,($E$4/$A$4)*(1-(($B60-I60)/$B60)),($E$4*60%/$A$4)*(1-2*((ABS($B60-I60))/$B60)))))</f>
        <v/>
      </c>
      <c r="K60" s="285"/>
      <c r="L60" s="132" t="str">
        <f t="shared" ref="L60" si="515">IF(K60="","",IF($B$7="Menor valor",($E$4/$A$4)*($B60/K60),IF(K60&lt;=$B60,($E$4/$A$4)*(1-(($B60-K60)/$B60)),($E$4*60%/$A$4)*(1-2*((ABS($B60-K60))/$B60)))))</f>
        <v/>
      </c>
      <c r="M60" s="285"/>
      <c r="N60" s="132" t="str">
        <f t="shared" ref="N60" si="516">IF(M60="","",IF($B$7="Menor valor",($E$4/$A$4)*($B60/M60),IF(M60&lt;=$B60,($E$4/$A$4)*(1-(($B60-M60)/$B60)),($E$4*60%/$A$4)*(1-2*((ABS($B60-M60))/$B60)))))</f>
        <v/>
      </c>
      <c r="O60" s="285"/>
      <c r="P60" s="132" t="str">
        <f t="shared" ref="P60" si="517">IF(O60="","",IF($B$7="Menor valor",($E$4/$A$4)*($B60/O60),IF(O60&lt;=$B60,($E$4/$A$4)*(1-(($B60-O60)/$B60)),($E$4*60%/$A$4)*(1-2*((ABS($B60-O60))/$B60)))))</f>
        <v/>
      </c>
      <c r="Q60" s="285"/>
      <c r="R60" s="132" t="str">
        <f t="shared" ref="R60" si="518">IF(Q60="","",IF($B$7="Menor valor",($E$4/$A$4)*($B60/Q60),IF(Q60&lt;=$B60,($E$4/$A$4)*(1-(($B60-Q60)/$B60)),($E$4*60%/$A$4)*(1-2*((ABS($B60-Q60))/$B60)))))</f>
        <v/>
      </c>
      <c r="S60" s="285"/>
      <c r="T60" s="132" t="str">
        <f t="shared" ref="T60" si="519">IF(S60="","",IF($B$7="Menor valor",($E$4/$A$4)*($B60/S60),IF(S60&lt;=$B60,($E$4/$A$4)*(1-(($B60-S60)/$B60)),($E$4*60%/$A$4)*(1-2*((ABS($B60-S60))/$B60)))))</f>
        <v/>
      </c>
      <c r="U60" s="285"/>
      <c r="V60" s="132" t="str">
        <f t="shared" ref="V60" si="520">IF(U60="","",IF($B$7="Menor valor",($E$4/$A$4)*($B60/U60),IF(U60&lt;=$B60,($E$4/$A$4)*(1-(($B60-U60)/$B60)),($E$4*60%/$A$4)*(1-2*((ABS($B60-U60))/$B60)))))</f>
        <v/>
      </c>
      <c r="W60" s="285"/>
      <c r="X60" s="132" t="str">
        <f t="shared" ref="X60" si="521">IF(W60="","",IF($B$7="Menor valor",($E$4/$A$4)*($B60/W60),IF(W60&lt;=$B60,($E$4/$A$4)*(1-(($B60-W60)/$B60)),($E$4*60%/$A$4)*(1-2*((ABS($B60-W60))/$B60)))))</f>
        <v/>
      </c>
      <c r="Y60" s="285"/>
      <c r="Z60" s="132" t="str">
        <f t="shared" ref="Z60" si="522">IF(Y60="","",IF($B$7="Menor valor",($E$4/$A$4)*($B60/Y60),IF(Y60&lt;=$B60,($E$4/$A$4)*(1-(($B60-Y60)/$B60)),($E$4*60%/$A$4)*(1-2*((ABS($B60-Y60))/$B60)))))</f>
        <v/>
      </c>
      <c r="AA60" s="129">
        <v>1</v>
      </c>
    </row>
    <row r="61" spans="1:27" s="129" customFormat="1" ht="21" customHeight="1">
      <c r="A61" s="204" t="str">
        <f>+'Presupuesto Consolidado'!A73</f>
        <v>2.2.18</v>
      </c>
      <c r="B61" s="130">
        <f t="shared" si="312"/>
        <v>448121</v>
      </c>
      <c r="C61" s="131">
        <f>IF($C$7="Habilitado",ROUND('Presupuesto Consolidado'!E73,2),"")</f>
        <v>448121</v>
      </c>
      <c r="D61" s="132">
        <f t="shared" si="1"/>
        <v>0.78125</v>
      </c>
      <c r="E61" s="131" t="str">
        <f>IF($E$7="Habilitado",ROUND('Presupuesto Consolidado'!L73,2),"")</f>
        <v/>
      </c>
      <c r="F61" s="132" t="str">
        <f t="shared" si="1"/>
        <v/>
      </c>
      <c r="G61" s="285"/>
      <c r="H61" s="132" t="str">
        <f t="shared" ref="H61" si="523">IF(G61="","",IF($B$7="Menor valor",($E$4/$A$4)*($B61/G61),IF(G61&lt;=$B61,($E$4/$A$4)*(1-(($B61-G61)/$B61)),($E$4*60%/$A$4)*(1-2*((ABS($B61-G61))/$B61)))))</f>
        <v/>
      </c>
      <c r="I61" s="285"/>
      <c r="J61" s="132" t="str">
        <f t="shared" ref="J61" si="524">IF(I61="","",IF($B$7="Menor valor",($E$4/$A$4)*($B61/I61),IF(I61&lt;=$B61,($E$4/$A$4)*(1-(($B61-I61)/$B61)),($E$4*60%/$A$4)*(1-2*((ABS($B61-I61))/$B61)))))</f>
        <v/>
      </c>
      <c r="K61" s="285"/>
      <c r="L61" s="132" t="str">
        <f t="shared" ref="L61" si="525">IF(K61="","",IF($B$7="Menor valor",($E$4/$A$4)*($B61/K61),IF(K61&lt;=$B61,($E$4/$A$4)*(1-(($B61-K61)/$B61)),($E$4*60%/$A$4)*(1-2*((ABS($B61-K61))/$B61)))))</f>
        <v/>
      </c>
      <c r="M61" s="285"/>
      <c r="N61" s="132" t="str">
        <f t="shared" ref="N61" si="526">IF(M61="","",IF($B$7="Menor valor",($E$4/$A$4)*($B61/M61),IF(M61&lt;=$B61,($E$4/$A$4)*(1-(($B61-M61)/$B61)),($E$4*60%/$A$4)*(1-2*((ABS($B61-M61))/$B61)))))</f>
        <v/>
      </c>
      <c r="O61" s="285"/>
      <c r="P61" s="132" t="str">
        <f t="shared" ref="P61" si="527">IF(O61="","",IF($B$7="Menor valor",($E$4/$A$4)*($B61/O61),IF(O61&lt;=$B61,($E$4/$A$4)*(1-(($B61-O61)/$B61)),($E$4*60%/$A$4)*(1-2*((ABS($B61-O61))/$B61)))))</f>
        <v/>
      </c>
      <c r="Q61" s="285"/>
      <c r="R61" s="132" t="str">
        <f t="shared" ref="R61" si="528">IF(Q61="","",IF($B$7="Menor valor",($E$4/$A$4)*($B61/Q61),IF(Q61&lt;=$B61,($E$4/$A$4)*(1-(($B61-Q61)/$B61)),($E$4*60%/$A$4)*(1-2*((ABS($B61-Q61))/$B61)))))</f>
        <v/>
      </c>
      <c r="S61" s="285"/>
      <c r="T61" s="132" t="str">
        <f t="shared" ref="T61" si="529">IF(S61="","",IF($B$7="Menor valor",($E$4/$A$4)*($B61/S61),IF(S61&lt;=$B61,($E$4/$A$4)*(1-(($B61-S61)/$B61)),($E$4*60%/$A$4)*(1-2*((ABS($B61-S61))/$B61)))))</f>
        <v/>
      </c>
      <c r="U61" s="285"/>
      <c r="V61" s="132" t="str">
        <f t="shared" ref="V61" si="530">IF(U61="","",IF($B$7="Menor valor",($E$4/$A$4)*($B61/U61),IF(U61&lt;=$B61,($E$4/$A$4)*(1-(($B61-U61)/$B61)),($E$4*60%/$A$4)*(1-2*((ABS($B61-U61))/$B61)))))</f>
        <v/>
      </c>
      <c r="W61" s="285"/>
      <c r="X61" s="132" t="str">
        <f t="shared" ref="X61" si="531">IF(W61="","",IF($B$7="Menor valor",($E$4/$A$4)*($B61/W61),IF(W61&lt;=$B61,($E$4/$A$4)*(1-(($B61-W61)/$B61)),($E$4*60%/$A$4)*(1-2*((ABS($B61-W61))/$B61)))))</f>
        <v/>
      </c>
      <c r="Y61" s="285"/>
      <c r="Z61" s="132" t="str">
        <f t="shared" ref="Z61" si="532">IF(Y61="","",IF($B$7="Menor valor",($E$4/$A$4)*($B61/Y61),IF(Y61&lt;=$B61,($E$4/$A$4)*(1-(($B61-Y61)/$B61)),($E$4*60%/$A$4)*(1-2*((ABS($B61-Y61))/$B61)))))</f>
        <v/>
      </c>
      <c r="AA61" s="129">
        <v>1</v>
      </c>
    </row>
    <row r="62" spans="1:27" s="129" customFormat="1" ht="21" customHeight="1">
      <c r="A62" s="204" t="str">
        <f>+'Presupuesto Consolidado'!A74</f>
        <v>2.2.19</v>
      </c>
      <c r="B62" s="130">
        <f t="shared" si="312"/>
        <v>400275</v>
      </c>
      <c r="C62" s="131">
        <f>IF($C$7="Habilitado",ROUND('Presupuesto Consolidado'!E74,2),"")</f>
        <v>400275</v>
      </c>
      <c r="D62" s="132">
        <f t="shared" si="1"/>
        <v>0.78125</v>
      </c>
      <c r="E62" s="131" t="str">
        <f>IF($E$7="Habilitado",ROUND('Presupuesto Consolidado'!L74,2),"")</f>
        <v/>
      </c>
      <c r="F62" s="132" t="str">
        <f t="shared" si="1"/>
        <v/>
      </c>
      <c r="G62" s="285"/>
      <c r="H62" s="132" t="str">
        <f t="shared" ref="H62" si="533">IF(G62="","",IF($B$7="Menor valor",($E$4/$A$4)*($B62/G62),IF(G62&lt;=$B62,($E$4/$A$4)*(1-(($B62-G62)/$B62)),($E$4*60%/$A$4)*(1-2*((ABS($B62-G62))/$B62)))))</f>
        <v/>
      </c>
      <c r="I62" s="285"/>
      <c r="J62" s="132" t="str">
        <f t="shared" ref="J62" si="534">IF(I62="","",IF($B$7="Menor valor",($E$4/$A$4)*($B62/I62),IF(I62&lt;=$B62,($E$4/$A$4)*(1-(($B62-I62)/$B62)),($E$4*60%/$A$4)*(1-2*((ABS($B62-I62))/$B62)))))</f>
        <v/>
      </c>
      <c r="K62" s="285"/>
      <c r="L62" s="132" t="str">
        <f t="shared" ref="L62" si="535">IF(K62="","",IF($B$7="Menor valor",($E$4/$A$4)*($B62/K62),IF(K62&lt;=$B62,($E$4/$A$4)*(1-(($B62-K62)/$B62)),($E$4*60%/$A$4)*(1-2*((ABS($B62-K62))/$B62)))))</f>
        <v/>
      </c>
      <c r="M62" s="285"/>
      <c r="N62" s="132" t="str">
        <f t="shared" ref="N62" si="536">IF(M62="","",IF($B$7="Menor valor",($E$4/$A$4)*($B62/M62),IF(M62&lt;=$B62,($E$4/$A$4)*(1-(($B62-M62)/$B62)),($E$4*60%/$A$4)*(1-2*((ABS($B62-M62))/$B62)))))</f>
        <v/>
      </c>
      <c r="O62" s="285"/>
      <c r="P62" s="132" t="str">
        <f t="shared" ref="P62" si="537">IF(O62="","",IF($B$7="Menor valor",($E$4/$A$4)*($B62/O62),IF(O62&lt;=$B62,($E$4/$A$4)*(1-(($B62-O62)/$B62)),($E$4*60%/$A$4)*(1-2*((ABS($B62-O62))/$B62)))))</f>
        <v/>
      </c>
      <c r="Q62" s="285"/>
      <c r="R62" s="132" t="str">
        <f t="shared" ref="R62" si="538">IF(Q62="","",IF($B$7="Menor valor",($E$4/$A$4)*($B62/Q62),IF(Q62&lt;=$B62,($E$4/$A$4)*(1-(($B62-Q62)/$B62)),($E$4*60%/$A$4)*(1-2*((ABS($B62-Q62))/$B62)))))</f>
        <v/>
      </c>
      <c r="S62" s="285"/>
      <c r="T62" s="132" t="str">
        <f t="shared" ref="T62" si="539">IF(S62="","",IF($B$7="Menor valor",($E$4/$A$4)*($B62/S62),IF(S62&lt;=$B62,($E$4/$A$4)*(1-(($B62-S62)/$B62)),($E$4*60%/$A$4)*(1-2*((ABS($B62-S62))/$B62)))))</f>
        <v/>
      </c>
      <c r="U62" s="285"/>
      <c r="V62" s="132" t="str">
        <f t="shared" ref="V62" si="540">IF(U62="","",IF($B$7="Menor valor",($E$4/$A$4)*($B62/U62),IF(U62&lt;=$B62,($E$4/$A$4)*(1-(($B62-U62)/$B62)),($E$4*60%/$A$4)*(1-2*((ABS($B62-U62))/$B62)))))</f>
        <v/>
      </c>
      <c r="W62" s="285"/>
      <c r="X62" s="132" t="str">
        <f t="shared" ref="X62" si="541">IF(W62="","",IF($B$7="Menor valor",($E$4/$A$4)*($B62/W62),IF(W62&lt;=$B62,($E$4/$A$4)*(1-(($B62-W62)/$B62)),($E$4*60%/$A$4)*(1-2*((ABS($B62-W62))/$B62)))))</f>
        <v/>
      </c>
      <c r="Y62" s="285"/>
      <c r="Z62" s="132" t="str">
        <f t="shared" ref="Z62" si="542">IF(Y62="","",IF($B$7="Menor valor",($E$4/$A$4)*($B62/Y62),IF(Y62&lt;=$B62,($E$4/$A$4)*(1-(($B62-Y62)/$B62)),($E$4*60%/$A$4)*(1-2*((ABS($B62-Y62))/$B62)))))</f>
        <v/>
      </c>
      <c r="AA62" s="129">
        <v>1</v>
      </c>
    </row>
    <row r="63" spans="1:27" s="129" customFormat="1" ht="21" customHeight="1">
      <c r="A63" s="204" t="str">
        <f>+'Presupuesto Consolidado'!A75</f>
        <v>2.2.20</v>
      </c>
      <c r="B63" s="130">
        <f t="shared" si="312"/>
        <v>400275</v>
      </c>
      <c r="C63" s="131">
        <f>IF($C$7="Habilitado",ROUND('Presupuesto Consolidado'!E75,2),"")</f>
        <v>400275</v>
      </c>
      <c r="D63" s="132">
        <f t="shared" si="1"/>
        <v>0.78125</v>
      </c>
      <c r="E63" s="131" t="str">
        <f>IF($E$7="Habilitado",ROUND('Presupuesto Consolidado'!L75,2),"")</f>
        <v/>
      </c>
      <c r="F63" s="132" t="str">
        <f t="shared" si="1"/>
        <v/>
      </c>
      <c r="G63" s="285"/>
      <c r="H63" s="132" t="str">
        <f t="shared" ref="H63" si="543">IF(G63="","",IF($B$7="Menor valor",($E$4/$A$4)*($B63/G63),IF(G63&lt;=$B63,($E$4/$A$4)*(1-(($B63-G63)/$B63)),($E$4*60%/$A$4)*(1-2*((ABS($B63-G63))/$B63)))))</f>
        <v/>
      </c>
      <c r="I63" s="285"/>
      <c r="J63" s="132" t="str">
        <f t="shared" ref="J63" si="544">IF(I63="","",IF($B$7="Menor valor",($E$4/$A$4)*($B63/I63),IF(I63&lt;=$B63,($E$4/$A$4)*(1-(($B63-I63)/$B63)),($E$4*60%/$A$4)*(1-2*((ABS($B63-I63))/$B63)))))</f>
        <v/>
      </c>
      <c r="K63" s="285"/>
      <c r="L63" s="132" t="str">
        <f t="shared" ref="L63" si="545">IF(K63="","",IF($B$7="Menor valor",($E$4/$A$4)*($B63/K63),IF(K63&lt;=$B63,($E$4/$A$4)*(1-(($B63-K63)/$B63)),($E$4*60%/$A$4)*(1-2*((ABS($B63-K63))/$B63)))))</f>
        <v/>
      </c>
      <c r="M63" s="285"/>
      <c r="N63" s="132" t="str">
        <f t="shared" ref="N63" si="546">IF(M63="","",IF($B$7="Menor valor",($E$4/$A$4)*($B63/M63),IF(M63&lt;=$B63,($E$4/$A$4)*(1-(($B63-M63)/$B63)),($E$4*60%/$A$4)*(1-2*((ABS($B63-M63))/$B63)))))</f>
        <v/>
      </c>
      <c r="O63" s="285"/>
      <c r="P63" s="132" t="str">
        <f t="shared" ref="P63" si="547">IF(O63="","",IF($B$7="Menor valor",($E$4/$A$4)*($B63/O63),IF(O63&lt;=$B63,($E$4/$A$4)*(1-(($B63-O63)/$B63)),($E$4*60%/$A$4)*(1-2*((ABS($B63-O63))/$B63)))))</f>
        <v/>
      </c>
      <c r="Q63" s="285"/>
      <c r="R63" s="132" t="str">
        <f t="shared" ref="R63" si="548">IF(Q63="","",IF($B$7="Menor valor",($E$4/$A$4)*($B63/Q63),IF(Q63&lt;=$B63,($E$4/$A$4)*(1-(($B63-Q63)/$B63)),($E$4*60%/$A$4)*(1-2*((ABS($B63-Q63))/$B63)))))</f>
        <v/>
      </c>
      <c r="S63" s="285"/>
      <c r="T63" s="132" t="str">
        <f t="shared" ref="T63" si="549">IF(S63="","",IF($B$7="Menor valor",($E$4/$A$4)*($B63/S63),IF(S63&lt;=$B63,($E$4/$A$4)*(1-(($B63-S63)/$B63)),($E$4*60%/$A$4)*(1-2*((ABS($B63-S63))/$B63)))))</f>
        <v/>
      </c>
      <c r="U63" s="285"/>
      <c r="V63" s="132" t="str">
        <f t="shared" ref="V63" si="550">IF(U63="","",IF($B$7="Menor valor",($E$4/$A$4)*($B63/U63),IF(U63&lt;=$B63,($E$4/$A$4)*(1-(($B63-U63)/$B63)),($E$4*60%/$A$4)*(1-2*((ABS($B63-U63))/$B63)))))</f>
        <v/>
      </c>
      <c r="W63" s="285"/>
      <c r="X63" s="132" t="str">
        <f t="shared" ref="X63" si="551">IF(W63="","",IF($B$7="Menor valor",($E$4/$A$4)*($B63/W63),IF(W63&lt;=$B63,($E$4/$A$4)*(1-(($B63-W63)/$B63)),($E$4*60%/$A$4)*(1-2*((ABS($B63-W63))/$B63)))))</f>
        <v/>
      </c>
      <c r="Y63" s="285"/>
      <c r="Z63" s="132" t="str">
        <f t="shared" ref="Z63" si="552">IF(Y63="","",IF($B$7="Menor valor",($E$4/$A$4)*($B63/Y63),IF(Y63&lt;=$B63,($E$4/$A$4)*(1-(($B63-Y63)/$B63)),($E$4*60%/$A$4)*(1-2*((ABS($B63-Y63))/$B63)))))</f>
        <v/>
      </c>
      <c r="AA63" s="129">
        <v>1</v>
      </c>
    </row>
    <row r="64" spans="1:27" s="129" customFormat="1" ht="21" customHeight="1">
      <c r="A64" s="204" t="str">
        <f>+'Presupuesto Consolidado'!A76</f>
        <v>2.2.21</v>
      </c>
      <c r="B64" s="130">
        <f t="shared" si="312"/>
        <v>496150</v>
      </c>
      <c r="C64" s="131">
        <f>IF($C$7="Habilitado",ROUND('Presupuesto Consolidado'!E76,2),"")</f>
        <v>496150</v>
      </c>
      <c r="D64" s="132">
        <f t="shared" si="1"/>
        <v>0.78125</v>
      </c>
      <c r="E64" s="131" t="str">
        <f>IF($E$7="Habilitado",ROUND('Presupuesto Consolidado'!L76,2),"")</f>
        <v/>
      </c>
      <c r="F64" s="132" t="str">
        <f t="shared" si="1"/>
        <v/>
      </c>
      <c r="G64" s="285"/>
      <c r="H64" s="132" t="str">
        <f t="shared" ref="H64" si="553">IF(G64="","",IF($B$7="Menor valor",($E$4/$A$4)*($B64/G64),IF(G64&lt;=$B64,($E$4/$A$4)*(1-(($B64-G64)/$B64)),($E$4*60%/$A$4)*(1-2*((ABS($B64-G64))/$B64)))))</f>
        <v/>
      </c>
      <c r="I64" s="285"/>
      <c r="J64" s="132" t="str">
        <f t="shared" ref="J64" si="554">IF(I64="","",IF($B$7="Menor valor",($E$4/$A$4)*($B64/I64),IF(I64&lt;=$B64,($E$4/$A$4)*(1-(($B64-I64)/$B64)),($E$4*60%/$A$4)*(1-2*((ABS($B64-I64))/$B64)))))</f>
        <v/>
      </c>
      <c r="K64" s="285"/>
      <c r="L64" s="132" t="str">
        <f t="shared" ref="L64" si="555">IF(K64="","",IF($B$7="Menor valor",($E$4/$A$4)*($B64/K64),IF(K64&lt;=$B64,($E$4/$A$4)*(1-(($B64-K64)/$B64)),($E$4*60%/$A$4)*(1-2*((ABS($B64-K64))/$B64)))))</f>
        <v/>
      </c>
      <c r="M64" s="285"/>
      <c r="N64" s="132" t="str">
        <f t="shared" ref="N64" si="556">IF(M64="","",IF($B$7="Menor valor",($E$4/$A$4)*($B64/M64),IF(M64&lt;=$B64,($E$4/$A$4)*(1-(($B64-M64)/$B64)),($E$4*60%/$A$4)*(1-2*((ABS($B64-M64))/$B64)))))</f>
        <v/>
      </c>
      <c r="O64" s="285"/>
      <c r="P64" s="132" t="str">
        <f t="shared" ref="P64" si="557">IF(O64="","",IF($B$7="Menor valor",($E$4/$A$4)*($B64/O64),IF(O64&lt;=$B64,($E$4/$A$4)*(1-(($B64-O64)/$B64)),($E$4*60%/$A$4)*(1-2*((ABS($B64-O64))/$B64)))))</f>
        <v/>
      </c>
      <c r="Q64" s="285"/>
      <c r="R64" s="132" t="str">
        <f t="shared" ref="R64" si="558">IF(Q64="","",IF($B$7="Menor valor",($E$4/$A$4)*($B64/Q64),IF(Q64&lt;=$B64,($E$4/$A$4)*(1-(($B64-Q64)/$B64)),($E$4*60%/$A$4)*(1-2*((ABS($B64-Q64))/$B64)))))</f>
        <v/>
      </c>
      <c r="S64" s="285"/>
      <c r="T64" s="132" t="str">
        <f t="shared" ref="T64" si="559">IF(S64="","",IF($B$7="Menor valor",($E$4/$A$4)*($B64/S64),IF(S64&lt;=$B64,($E$4/$A$4)*(1-(($B64-S64)/$B64)),($E$4*60%/$A$4)*(1-2*((ABS($B64-S64))/$B64)))))</f>
        <v/>
      </c>
      <c r="U64" s="285"/>
      <c r="V64" s="132" t="str">
        <f t="shared" ref="V64" si="560">IF(U64="","",IF($B$7="Menor valor",($E$4/$A$4)*($B64/U64),IF(U64&lt;=$B64,($E$4/$A$4)*(1-(($B64-U64)/$B64)),($E$4*60%/$A$4)*(1-2*((ABS($B64-U64))/$B64)))))</f>
        <v/>
      </c>
      <c r="W64" s="285"/>
      <c r="X64" s="132" t="str">
        <f t="shared" ref="X64" si="561">IF(W64="","",IF($B$7="Menor valor",($E$4/$A$4)*($B64/W64),IF(W64&lt;=$B64,($E$4/$A$4)*(1-(($B64-W64)/$B64)),($E$4*60%/$A$4)*(1-2*((ABS($B64-W64))/$B64)))))</f>
        <v/>
      </c>
      <c r="Y64" s="285"/>
      <c r="Z64" s="132" t="str">
        <f t="shared" ref="Z64" si="562">IF(Y64="","",IF($B$7="Menor valor",($E$4/$A$4)*($B64/Y64),IF(Y64&lt;=$B64,($E$4/$A$4)*(1-(($B64-Y64)/$B64)),($E$4*60%/$A$4)*(1-2*((ABS($B64-Y64))/$B64)))))</f>
        <v/>
      </c>
      <c r="AA64" s="129">
        <v>1</v>
      </c>
    </row>
    <row r="65" spans="1:27" s="129" customFormat="1" ht="21" customHeight="1">
      <c r="A65" s="204" t="str">
        <f>+'Presupuesto Consolidado'!A77</f>
        <v>2.2.22</v>
      </c>
      <c r="B65" s="130">
        <f t="shared" si="312"/>
        <v>496150</v>
      </c>
      <c r="C65" s="131">
        <f>IF($C$7="Habilitado",ROUND('Presupuesto Consolidado'!E77,2),"")</f>
        <v>496150</v>
      </c>
      <c r="D65" s="132">
        <f t="shared" si="1"/>
        <v>0.78125</v>
      </c>
      <c r="E65" s="131" t="str">
        <f>IF($E$7="Habilitado",ROUND('Presupuesto Consolidado'!L77,2),"")</f>
        <v/>
      </c>
      <c r="F65" s="132" t="str">
        <f t="shared" si="1"/>
        <v/>
      </c>
      <c r="G65" s="285"/>
      <c r="H65" s="132" t="str">
        <f t="shared" ref="H65" si="563">IF(G65="","",IF($B$7="Menor valor",($E$4/$A$4)*($B65/G65),IF(G65&lt;=$B65,($E$4/$A$4)*(1-(($B65-G65)/$B65)),($E$4*60%/$A$4)*(1-2*((ABS($B65-G65))/$B65)))))</f>
        <v/>
      </c>
      <c r="I65" s="285"/>
      <c r="J65" s="132" t="str">
        <f t="shared" ref="J65" si="564">IF(I65="","",IF($B$7="Menor valor",($E$4/$A$4)*($B65/I65),IF(I65&lt;=$B65,($E$4/$A$4)*(1-(($B65-I65)/$B65)),($E$4*60%/$A$4)*(1-2*((ABS($B65-I65))/$B65)))))</f>
        <v/>
      </c>
      <c r="K65" s="285"/>
      <c r="L65" s="132" t="str">
        <f t="shared" ref="L65" si="565">IF(K65="","",IF($B$7="Menor valor",($E$4/$A$4)*($B65/K65),IF(K65&lt;=$B65,($E$4/$A$4)*(1-(($B65-K65)/$B65)),($E$4*60%/$A$4)*(1-2*((ABS($B65-K65))/$B65)))))</f>
        <v/>
      </c>
      <c r="M65" s="285"/>
      <c r="N65" s="132" t="str">
        <f t="shared" ref="N65" si="566">IF(M65="","",IF($B$7="Menor valor",($E$4/$A$4)*($B65/M65),IF(M65&lt;=$B65,($E$4/$A$4)*(1-(($B65-M65)/$B65)),($E$4*60%/$A$4)*(1-2*((ABS($B65-M65))/$B65)))))</f>
        <v/>
      </c>
      <c r="O65" s="285"/>
      <c r="P65" s="132" t="str">
        <f t="shared" ref="P65" si="567">IF(O65="","",IF($B$7="Menor valor",($E$4/$A$4)*($B65/O65),IF(O65&lt;=$B65,($E$4/$A$4)*(1-(($B65-O65)/$B65)),($E$4*60%/$A$4)*(1-2*((ABS($B65-O65))/$B65)))))</f>
        <v/>
      </c>
      <c r="Q65" s="285"/>
      <c r="R65" s="132" t="str">
        <f t="shared" ref="R65" si="568">IF(Q65="","",IF($B$7="Menor valor",($E$4/$A$4)*($B65/Q65),IF(Q65&lt;=$B65,($E$4/$A$4)*(1-(($B65-Q65)/$B65)),($E$4*60%/$A$4)*(1-2*((ABS($B65-Q65))/$B65)))))</f>
        <v/>
      </c>
      <c r="S65" s="285"/>
      <c r="T65" s="132" t="str">
        <f t="shared" ref="T65" si="569">IF(S65="","",IF($B$7="Menor valor",($E$4/$A$4)*($B65/S65),IF(S65&lt;=$B65,($E$4/$A$4)*(1-(($B65-S65)/$B65)),($E$4*60%/$A$4)*(1-2*((ABS($B65-S65))/$B65)))))</f>
        <v/>
      </c>
      <c r="U65" s="285"/>
      <c r="V65" s="132" t="str">
        <f t="shared" ref="V65" si="570">IF(U65="","",IF($B$7="Menor valor",($E$4/$A$4)*($B65/U65),IF(U65&lt;=$B65,($E$4/$A$4)*(1-(($B65-U65)/$B65)),($E$4*60%/$A$4)*(1-2*((ABS($B65-U65))/$B65)))))</f>
        <v/>
      </c>
      <c r="W65" s="285"/>
      <c r="X65" s="132" t="str">
        <f t="shared" ref="X65" si="571">IF(W65="","",IF($B$7="Menor valor",($E$4/$A$4)*($B65/W65),IF(W65&lt;=$B65,($E$4/$A$4)*(1-(($B65-W65)/$B65)),($E$4*60%/$A$4)*(1-2*((ABS($B65-W65))/$B65)))))</f>
        <v/>
      </c>
      <c r="Y65" s="285"/>
      <c r="Z65" s="132" t="str">
        <f t="shared" ref="Z65" si="572">IF(Y65="","",IF($B$7="Menor valor",($E$4/$A$4)*($B65/Y65),IF(Y65&lt;=$B65,($E$4/$A$4)*(1-(($B65-Y65)/$B65)),($E$4*60%/$A$4)*(1-2*((ABS($B65-Y65))/$B65)))))</f>
        <v/>
      </c>
      <c r="AA65" s="129">
        <v>1</v>
      </c>
    </row>
    <row r="66" spans="1:27" s="129" customFormat="1" ht="21" customHeight="1">
      <c r="A66" s="204" t="str">
        <f>+'Presupuesto Consolidado'!A78</f>
        <v>2.2.23</v>
      </c>
      <c r="B66" s="130">
        <f t="shared" si="312"/>
        <v>20716</v>
      </c>
      <c r="C66" s="131">
        <f>IF($C$7="Habilitado",ROUND('Presupuesto Consolidado'!E78,2),"")</f>
        <v>20716</v>
      </c>
      <c r="D66" s="132">
        <f t="shared" si="1"/>
        <v>0.78125</v>
      </c>
      <c r="E66" s="131" t="str">
        <f>IF($E$7="Habilitado",ROUND('Presupuesto Consolidado'!L78,2),"")</f>
        <v/>
      </c>
      <c r="F66" s="132" t="str">
        <f t="shared" si="1"/>
        <v/>
      </c>
      <c r="G66" s="285"/>
      <c r="H66" s="132" t="str">
        <f t="shared" ref="H66" si="573">IF(G66="","",IF($B$7="Menor valor",($E$4/$A$4)*($B66/G66),IF(G66&lt;=$B66,($E$4/$A$4)*(1-(($B66-G66)/$B66)),($E$4*60%/$A$4)*(1-2*((ABS($B66-G66))/$B66)))))</f>
        <v/>
      </c>
      <c r="I66" s="285"/>
      <c r="J66" s="132" t="str">
        <f t="shared" ref="J66" si="574">IF(I66="","",IF($B$7="Menor valor",($E$4/$A$4)*($B66/I66),IF(I66&lt;=$B66,($E$4/$A$4)*(1-(($B66-I66)/$B66)),($E$4*60%/$A$4)*(1-2*((ABS($B66-I66))/$B66)))))</f>
        <v/>
      </c>
      <c r="K66" s="285"/>
      <c r="L66" s="132" t="str">
        <f t="shared" ref="L66" si="575">IF(K66="","",IF($B$7="Menor valor",($E$4/$A$4)*($B66/K66),IF(K66&lt;=$B66,($E$4/$A$4)*(1-(($B66-K66)/$B66)),($E$4*60%/$A$4)*(1-2*((ABS($B66-K66))/$B66)))))</f>
        <v/>
      </c>
      <c r="M66" s="285"/>
      <c r="N66" s="132" t="str">
        <f t="shared" ref="N66" si="576">IF(M66="","",IF($B$7="Menor valor",($E$4/$A$4)*($B66/M66),IF(M66&lt;=$B66,($E$4/$A$4)*(1-(($B66-M66)/$B66)),($E$4*60%/$A$4)*(1-2*((ABS($B66-M66))/$B66)))))</f>
        <v/>
      </c>
      <c r="O66" s="285"/>
      <c r="P66" s="132" t="str">
        <f t="shared" ref="P66" si="577">IF(O66="","",IF($B$7="Menor valor",($E$4/$A$4)*($B66/O66),IF(O66&lt;=$B66,($E$4/$A$4)*(1-(($B66-O66)/$B66)),($E$4*60%/$A$4)*(1-2*((ABS($B66-O66))/$B66)))))</f>
        <v/>
      </c>
      <c r="Q66" s="285"/>
      <c r="R66" s="132" t="str">
        <f t="shared" ref="R66" si="578">IF(Q66="","",IF($B$7="Menor valor",($E$4/$A$4)*($B66/Q66),IF(Q66&lt;=$B66,($E$4/$A$4)*(1-(($B66-Q66)/$B66)),($E$4*60%/$A$4)*(1-2*((ABS($B66-Q66))/$B66)))))</f>
        <v/>
      </c>
      <c r="S66" s="285"/>
      <c r="T66" s="132" t="str">
        <f t="shared" ref="T66" si="579">IF(S66="","",IF($B$7="Menor valor",($E$4/$A$4)*($B66/S66),IF(S66&lt;=$B66,($E$4/$A$4)*(1-(($B66-S66)/$B66)),($E$4*60%/$A$4)*(1-2*((ABS($B66-S66))/$B66)))))</f>
        <v/>
      </c>
      <c r="U66" s="285"/>
      <c r="V66" s="132" t="str">
        <f t="shared" ref="V66" si="580">IF(U66="","",IF($B$7="Menor valor",($E$4/$A$4)*($B66/U66),IF(U66&lt;=$B66,($E$4/$A$4)*(1-(($B66-U66)/$B66)),($E$4*60%/$A$4)*(1-2*((ABS($B66-U66))/$B66)))))</f>
        <v/>
      </c>
      <c r="W66" s="285"/>
      <c r="X66" s="132" t="str">
        <f t="shared" ref="X66" si="581">IF(W66="","",IF($B$7="Menor valor",($E$4/$A$4)*($B66/W66),IF(W66&lt;=$B66,($E$4/$A$4)*(1-(($B66-W66)/$B66)),($E$4*60%/$A$4)*(1-2*((ABS($B66-W66))/$B66)))))</f>
        <v/>
      </c>
      <c r="Y66" s="285"/>
      <c r="Z66" s="132" t="str">
        <f t="shared" ref="Z66" si="582">IF(Y66="","",IF($B$7="Menor valor",($E$4/$A$4)*($B66/Y66),IF(Y66&lt;=$B66,($E$4/$A$4)*(1-(($B66-Y66)/$B66)),($E$4*60%/$A$4)*(1-2*((ABS($B66-Y66))/$B66)))))</f>
        <v/>
      </c>
      <c r="AA66" s="129">
        <v>1</v>
      </c>
    </row>
    <row r="67" spans="1:27" s="129" customFormat="1" ht="21" customHeight="1">
      <c r="A67" s="204" t="str">
        <f>+'Presupuesto Consolidado'!A79</f>
        <v>2.2.24</v>
      </c>
      <c r="B67" s="130">
        <f t="shared" si="312"/>
        <v>214965</v>
      </c>
      <c r="C67" s="131">
        <f>IF($C$7="Habilitado",ROUND('Presupuesto Consolidado'!E79,2),"")</f>
        <v>214965</v>
      </c>
      <c r="D67" s="132">
        <f t="shared" si="1"/>
        <v>0.78125</v>
      </c>
      <c r="E67" s="131" t="str">
        <f>IF($E$7="Habilitado",ROUND('Presupuesto Consolidado'!L79,2),"")</f>
        <v/>
      </c>
      <c r="F67" s="132" t="str">
        <f t="shared" si="1"/>
        <v/>
      </c>
      <c r="G67" s="285"/>
      <c r="H67" s="132" t="str">
        <f t="shared" ref="H67" si="583">IF(G67="","",IF($B$7="Menor valor",($E$4/$A$4)*($B67/G67),IF(G67&lt;=$B67,($E$4/$A$4)*(1-(($B67-G67)/$B67)),($E$4*60%/$A$4)*(1-2*((ABS($B67-G67))/$B67)))))</f>
        <v/>
      </c>
      <c r="I67" s="285"/>
      <c r="J67" s="132" t="str">
        <f t="shared" ref="J67" si="584">IF(I67="","",IF($B$7="Menor valor",($E$4/$A$4)*($B67/I67),IF(I67&lt;=$B67,($E$4/$A$4)*(1-(($B67-I67)/$B67)),($E$4*60%/$A$4)*(1-2*((ABS($B67-I67))/$B67)))))</f>
        <v/>
      </c>
      <c r="K67" s="285"/>
      <c r="L67" s="132" t="str">
        <f t="shared" ref="L67" si="585">IF(K67="","",IF($B$7="Menor valor",($E$4/$A$4)*($B67/K67),IF(K67&lt;=$B67,($E$4/$A$4)*(1-(($B67-K67)/$B67)),($E$4*60%/$A$4)*(1-2*((ABS($B67-K67))/$B67)))))</f>
        <v/>
      </c>
      <c r="M67" s="285"/>
      <c r="N67" s="132" t="str">
        <f t="shared" ref="N67" si="586">IF(M67="","",IF($B$7="Menor valor",($E$4/$A$4)*($B67/M67),IF(M67&lt;=$B67,($E$4/$A$4)*(1-(($B67-M67)/$B67)),($E$4*60%/$A$4)*(1-2*((ABS($B67-M67))/$B67)))))</f>
        <v/>
      </c>
      <c r="O67" s="285"/>
      <c r="P67" s="132" t="str">
        <f t="shared" ref="P67" si="587">IF(O67="","",IF($B$7="Menor valor",($E$4/$A$4)*($B67/O67),IF(O67&lt;=$B67,($E$4/$A$4)*(1-(($B67-O67)/$B67)),($E$4*60%/$A$4)*(1-2*((ABS($B67-O67))/$B67)))))</f>
        <v/>
      </c>
      <c r="Q67" s="285"/>
      <c r="R67" s="132" t="str">
        <f t="shared" ref="R67" si="588">IF(Q67="","",IF($B$7="Menor valor",($E$4/$A$4)*($B67/Q67),IF(Q67&lt;=$B67,($E$4/$A$4)*(1-(($B67-Q67)/$B67)),($E$4*60%/$A$4)*(1-2*((ABS($B67-Q67))/$B67)))))</f>
        <v/>
      </c>
      <c r="S67" s="285"/>
      <c r="T67" s="132" t="str">
        <f t="shared" ref="T67" si="589">IF(S67="","",IF($B$7="Menor valor",($E$4/$A$4)*($B67/S67),IF(S67&lt;=$B67,($E$4/$A$4)*(1-(($B67-S67)/$B67)),($E$4*60%/$A$4)*(1-2*((ABS($B67-S67))/$B67)))))</f>
        <v/>
      </c>
      <c r="U67" s="285"/>
      <c r="V67" s="132" t="str">
        <f t="shared" ref="V67" si="590">IF(U67="","",IF($B$7="Menor valor",($E$4/$A$4)*($B67/U67),IF(U67&lt;=$B67,($E$4/$A$4)*(1-(($B67-U67)/$B67)),($E$4*60%/$A$4)*(1-2*((ABS($B67-U67))/$B67)))))</f>
        <v/>
      </c>
      <c r="W67" s="285"/>
      <c r="X67" s="132" t="str">
        <f t="shared" ref="X67" si="591">IF(W67="","",IF($B$7="Menor valor",($E$4/$A$4)*($B67/W67),IF(W67&lt;=$B67,($E$4/$A$4)*(1-(($B67-W67)/$B67)),($E$4*60%/$A$4)*(1-2*((ABS($B67-W67))/$B67)))))</f>
        <v/>
      </c>
      <c r="Y67" s="285"/>
      <c r="Z67" s="132" t="str">
        <f t="shared" ref="Z67" si="592">IF(Y67="","",IF($B$7="Menor valor",($E$4/$A$4)*($B67/Y67),IF(Y67&lt;=$B67,($E$4/$A$4)*(1-(($B67-Y67)/$B67)),($E$4*60%/$A$4)*(1-2*((ABS($B67-Y67))/$B67)))))</f>
        <v/>
      </c>
      <c r="AA67" s="129">
        <v>1</v>
      </c>
    </row>
    <row r="68" spans="1:27" s="129" customFormat="1" ht="21" customHeight="1">
      <c r="A68" s="204" t="str">
        <f>+'Presupuesto Consolidado'!A80</f>
        <v>2.2.25</v>
      </c>
      <c r="B68" s="130">
        <f t="shared" si="312"/>
        <v>227032</v>
      </c>
      <c r="C68" s="131">
        <f>IF($C$7="Habilitado",ROUND('Presupuesto Consolidado'!E80,2),"")</f>
        <v>227032</v>
      </c>
      <c r="D68" s="132">
        <f t="shared" si="1"/>
        <v>0.78125</v>
      </c>
      <c r="E68" s="131" t="str">
        <f>IF($E$7="Habilitado",ROUND('Presupuesto Consolidado'!L80,2),"")</f>
        <v/>
      </c>
      <c r="F68" s="132" t="str">
        <f t="shared" si="1"/>
        <v/>
      </c>
      <c r="G68" s="285"/>
      <c r="H68" s="132" t="str">
        <f t="shared" ref="H68" si="593">IF(G68="","",IF($B$7="Menor valor",($E$4/$A$4)*($B68/G68),IF(G68&lt;=$B68,($E$4/$A$4)*(1-(($B68-G68)/$B68)),($E$4*60%/$A$4)*(1-2*((ABS($B68-G68))/$B68)))))</f>
        <v/>
      </c>
      <c r="I68" s="285"/>
      <c r="J68" s="132" t="str">
        <f t="shared" ref="J68" si="594">IF(I68="","",IF($B$7="Menor valor",($E$4/$A$4)*($B68/I68),IF(I68&lt;=$B68,($E$4/$A$4)*(1-(($B68-I68)/$B68)),($E$4*60%/$A$4)*(1-2*((ABS($B68-I68))/$B68)))))</f>
        <v/>
      </c>
      <c r="K68" s="285"/>
      <c r="L68" s="132" t="str">
        <f t="shared" ref="L68" si="595">IF(K68="","",IF($B$7="Menor valor",($E$4/$A$4)*($B68/K68),IF(K68&lt;=$B68,($E$4/$A$4)*(1-(($B68-K68)/$B68)),($E$4*60%/$A$4)*(1-2*((ABS($B68-K68))/$B68)))))</f>
        <v/>
      </c>
      <c r="M68" s="285"/>
      <c r="N68" s="132" t="str">
        <f t="shared" ref="N68" si="596">IF(M68="","",IF($B$7="Menor valor",($E$4/$A$4)*($B68/M68),IF(M68&lt;=$B68,($E$4/$A$4)*(1-(($B68-M68)/$B68)),($E$4*60%/$A$4)*(1-2*((ABS($B68-M68))/$B68)))))</f>
        <v/>
      </c>
      <c r="O68" s="285"/>
      <c r="P68" s="132" t="str">
        <f t="shared" ref="P68" si="597">IF(O68="","",IF($B$7="Menor valor",($E$4/$A$4)*($B68/O68),IF(O68&lt;=$B68,($E$4/$A$4)*(1-(($B68-O68)/$B68)),($E$4*60%/$A$4)*(1-2*((ABS($B68-O68))/$B68)))))</f>
        <v/>
      </c>
      <c r="Q68" s="285"/>
      <c r="R68" s="132" t="str">
        <f t="shared" ref="R68" si="598">IF(Q68="","",IF($B$7="Menor valor",($E$4/$A$4)*($B68/Q68),IF(Q68&lt;=$B68,($E$4/$A$4)*(1-(($B68-Q68)/$B68)),($E$4*60%/$A$4)*(1-2*((ABS($B68-Q68))/$B68)))))</f>
        <v/>
      </c>
      <c r="S68" s="285"/>
      <c r="T68" s="132" t="str">
        <f t="shared" ref="T68" si="599">IF(S68="","",IF($B$7="Menor valor",($E$4/$A$4)*($B68/S68),IF(S68&lt;=$B68,($E$4/$A$4)*(1-(($B68-S68)/$B68)),($E$4*60%/$A$4)*(1-2*((ABS($B68-S68))/$B68)))))</f>
        <v/>
      </c>
      <c r="U68" s="285"/>
      <c r="V68" s="132" t="str">
        <f t="shared" ref="V68" si="600">IF(U68="","",IF($B$7="Menor valor",($E$4/$A$4)*($B68/U68),IF(U68&lt;=$B68,($E$4/$A$4)*(1-(($B68-U68)/$B68)),($E$4*60%/$A$4)*(1-2*((ABS($B68-U68))/$B68)))))</f>
        <v/>
      </c>
      <c r="W68" s="285"/>
      <c r="X68" s="132" t="str">
        <f t="shared" ref="X68" si="601">IF(W68="","",IF($B$7="Menor valor",($E$4/$A$4)*($B68/W68),IF(W68&lt;=$B68,($E$4/$A$4)*(1-(($B68-W68)/$B68)),($E$4*60%/$A$4)*(1-2*((ABS($B68-W68))/$B68)))))</f>
        <v/>
      </c>
      <c r="Y68" s="285"/>
      <c r="Z68" s="132" t="str">
        <f t="shared" ref="Z68" si="602">IF(Y68="","",IF($B$7="Menor valor",($E$4/$A$4)*($B68/Y68),IF(Y68&lt;=$B68,($E$4/$A$4)*(1-(($B68-Y68)/$B68)),($E$4*60%/$A$4)*(1-2*((ABS($B68-Y68))/$B68)))))</f>
        <v/>
      </c>
      <c r="AA68" s="129">
        <v>1</v>
      </c>
    </row>
    <row r="69" spans="1:27" s="129" customFormat="1" ht="21" customHeight="1">
      <c r="A69" s="204" t="str">
        <f>+'Presupuesto Consolidado'!A81</f>
        <v>2.2.26</v>
      </c>
      <c r="B69" s="130">
        <f t="shared" si="312"/>
        <v>464120</v>
      </c>
      <c r="C69" s="131">
        <f>IF($C$7="Habilitado",ROUND('Presupuesto Consolidado'!E81,2),"")</f>
        <v>464120</v>
      </c>
      <c r="D69" s="132">
        <f t="shared" si="1"/>
        <v>0.78125</v>
      </c>
      <c r="E69" s="131" t="str">
        <f>IF($E$7="Habilitado",ROUND('Presupuesto Consolidado'!L81,2),"")</f>
        <v/>
      </c>
      <c r="F69" s="132" t="str">
        <f t="shared" si="1"/>
        <v/>
      </c>
      <c r="G69" s="285"/>
      <c r="H69" s="132" t="str">
        <f t="shared" ref="H69" si="603">IF(G69="","",IF($B$7="Menor valor",($E$4/$A$4)*($B69/G69),IF(G69&lt;=$B69,($E$4/$A$4)*(1-(($B69-G69)/$B69)),($E$4*60%/$A$4)*(1-2*((ABS($B69-G69))/$B69)))))</f>
        <v/>
      </c>
      <c r="I69" s="285"/>
      <c r="J69" s="132" t="str">
        <f t="shared" ref="J69" si="604">IF(I69="","",IF($B$7="Menor valor",($E$4/$A$4)*($B69/I69),IF(I69&lt;=$B69,($E$4/$A$4)*(1-(($B69-I69)/$B69)),($E$4*60%/$A$4)*(1-2*((ABS($B69-I69))/$B69)))))</f>
        <v/>
      </c>
      <c r="K69" s="285"/>
      <c r="L69" s="132" t="str">
        <f t="shared" ref="L69" si="605">IF(K69="","",IF($B$7="Menor valor",($E$4/$A$4)*($B69/K69),IF(K69&lt;=$B69,($E$4/$A$4)*(1-(($B69-K69)/$B69)),($E$4*60%/$A$4)*(1-2*((ABS($B69-K69))/$B69)))))</f>
        <v/>
      </c>
      <c r="M69" s="285"/>
      <c r="N69" s="132" t="str">
        <f t="shared" ref="N69" si="606">IF(M69="","",IF($B$7="Menor valor",($E$4/$A$4)*($B69/M69),IF(M69&lt;=$B69,($E$4/$A$4)*(1-(($B69-M69)/$B69)),($E$4*60%/$A$4)*(1-2*((ABS($B69-M69))/$B69)))))</f>
        <v/>
      </c>
      <c r="O69" s="285"/>
      <c r="P69" s="132" t="str">
        <f t="shared" ref="P69" si="607">IF(O69="","",IF($B$7="Menor valor",($E$4/$A$4)*($B69/O69),IF(O69&lt;=$B69,($E$4/$A$4)*(1-(($B69-O69)/$B69)),($E$4*60%/$A$4)*(1-2*((ABS($B69-O69))/$B69)))))</f>
        <v/>
      </c>
      <c r="Q69" s="285"/>
      <c r="R69" s="132" t="str">
        <f t="shared" ref="R69" si="608">IF(Q69="","",IF($B$7="Menor valor",($E$4/$A$4)*($B69/Q69),IF(Q69&lt;=$B69,($E$4/$A$4)*(1-(($B69-Q69)/$B69)),($E$4*60%/$A$4)*(1-2*((ABS($B69-Q69))/$B69)))))</f>
        <v/>
      </c>
      <c r="S69" s="285"/>
      <c r="T69" s="132" t="str">
        <f t="shared" ref="T69" si="609">IF(S69="","",IF($B$7="Menor valor",($E$4/$A$4)*($B69/S69),IF(S69&lt;=$B69,($E$4/$A$4)*(1-(($B69-S69)/$B69)),($E$4*60%/$A$4)*(1-2*((ABS($B69-S69))/$B69)))))</f>
        <v/>
      </c>
      <c r="U69" s="285"/>
      <c r="V69" s="132" t="str">
        <f t="shared" ref="V69" si="610">IF(U69="","",IF($B$7="Menor valor",($E$4/$A$4)*($B69/U69),IF(U69&lt;=$B69,($E$4/$A$4)*(1-(($B69-U69)/$B69)),($E$4*60%/$A$4)*(1-2*((ABS($B69-U69))/$B69)))))</f>
        <v/>
      </c>
      <c r="W69" s="285"/>
      <c r="X69" s="132" t="str">
        <f t="shared" ref="X69" si="611">IF(W69="","",IF($B$7="Menor valor",($E$4/$A$4)*($B69/W69),IF(W69&lt;=$B69,($E$4/$A$4)*(1-(($B69-W69)/$B69)),($E$4*60%/$A$4)*(1-2*((ABS($B69-W69))/$B69)))))</f>
        <v/>
      </c>
      <c r="Y69" s="285"/>
      <c r="Z69" s="132" t="str">
        <f t="shared" ref="Z69" si="612">IF(Y69="","",IF($B$7="Menor valor",($E$4/$A$4)*($B69/Y69),IF(Y69&lt;=$B69,($E$4/$A$4)*(1-(($B69-Y69)/$B69)),($E$4*60%/$A$4)*(1-2*((ABS($B69-Y69))/$B69)))))</f>
        <v/>
      </c>
      <c r="AA69" s="129">
        <v>1</v>
      </c>
    </row>
    <row r="70" spans="1:27" s="129" customFormat="1" ht="21" customHeight="1">
      <c r="A70" s="204" t="str">
        <f>+'Presupuesto Consolidado'!A82</f>
        <v>2.2.27</v>
      </c>
      <c r="B70" s="130">
        <f t="shared" si="312"/>
        <v>11603</v>
      </c>
      <c r="C70" s="131">
        <f>IF($C$7="Habilitado",ROUND('Presupuesto Consolidado'!E82,2),"")</f>
        <v>11603</v>
      </c>
      <c r="D70" s="132">
        <f t="shared" si="1"/>
        <v>0.78125</v>
      </c>
      <c r="E70" s="131" t="str">
        <f>IF($E$7="Habilitado",ROUND('Presupuesto Consolidado'!L82,2),"")</f>
        <v/>
      </c>
      <c r="F70" s="132" t="str">
        <f t="shared" si="1"/>
        <v/>
      </c>
      <c r="G70" s="285"/>
      <c r="H70" s="132" t="str">
        <f t="shared" ref="H70" si="613">IF(G70="","",IF($B$7="Menor valor",($E$4/$A$4)*($B70/G70),IF(G70&lt;=$B70,($E$4/$A$4)*(1-(($B70-G70)/$B70)),($E$4*60%/$A$4)*(1-2*((ABS($B70-G70))/$B70)))))</f>
        <v/>
      </c>
      <c r="I70" s="285"/>
      <c r="J70" s="132" t="str">
        <f t="shared" ref="J70" si="614">IF(I70="","",IF($B$7="Menor valor",($E$4/$A$4)*($B70/I70),IF(I70&lt;=$B70,($E$4/$A$4)*(1-(($B70-I70)/$B70)),($E$4*60%/$A$4)*(1-2*((ABS($B70-I70))/$B70)))))</f>
        <v/>
      </c>
      <c r="K70" s="285"/>
      <c r="L70" s="132" t="str">
        <f t="shared" ref="L70" si="615">IF(K70="","",IF($B$7="Menor valor",($E$4/$A$4)*($B70/K70),IF(K70&lt;=$B70,($E$4/$A$4)*(1-(($B70-K70)/$B70)),($E$4*60%/$A$4)*(1-2*((ABS($B70-K70))/$B70)))))</f>
        <v/>
      </c>
      <c r="M70" s="285"/>
      <c r="N70" s="132" t="str">
        <f t="shared" ref="N70" si="616">IF(M70="","",IF($B$7="Menor valor",($E$4/$A$4)*($B70/M70),IF(M70&lt;=$B70,($E$4/$A$4)*(1-(($B70-M70)/$B70)),($E$4*60%/$A$4)*(1-2*((ABS($B70-M70))/$B70)))))</f>
        <v/>
      </c>
      <c r="O70" s="285"/>
      <c r="P70" s="132" t="str">
        <f t="shared" ref="P70" si="617">IF(O70="","",IF($B$7="Menor valor",($E$4/$A$4)*($B70/O70),IF(O70&lt;=$B70,($E$4/$A$4)*(1-(($B70-O70)/$B70)),($E$4*60%/$A$4)*(1-2*((ABS($B70-O70))/$B70)))))</f>
        <v/>
      </c>
      <c r="Q70" s="285"/>
      <c r="R70" s="132" t="str">
        <f t="shared" ref="R70" si="618">IF(Q70="","",IF($B$7="Menor valor",($E$4/$A$4)*($B70/Q70),IF(Q70&lt;=$B70,($E$4/$A$4)*(1-(($B70-Q70)/$B70)),($E$4*60%/$A$4)*(1-2*((ABS($B70-Q70))/$B70)))))</f>
        <v/>
      </c>
      <c r="S70" s="285"/>
      <c r="T70" s="132" t="str">
        <f t="shared" ref="T70" si="619">IF(S70="","",IF($B$7="Menor valor",($E$4/$A$4)*($B70/S70),IF(S70&lt;=$B70,($E$4/$A$4)*(1-(($B70-S70)/$B70)),($E$4*60%/$A$4)*(1-2*((ABS($B70-S70))/$B70)))))</f>
        <v/>
      </c>
      <c r="U70" s="285"/>
      <c r="V70" s="132" t="str">
        <f t="shared" ref="V70" si="620">IF(U70="","",IF($B$7="Menor valor",($E$4/$A$4)*($B70/U70),IF(U70&lt;=$B70,($E$4/$A$4)*(1-(($B70-U70)/$B70)),($E$4*60%/$A$4)*(1-2*((ABS($B70-U70))/$B70)))))</f>
        <v/>
      </c>
      <c r="W70" s="285"/>
      <c r="X70" s="132" t="str">
        <f t="shared" ref="X70" si="621">IF(W70="","",IF($B$7="Menor valor",($E$4/$A$4)*($B70/W70),IF(W70&lt;=$B70,($E$4/$A$4)*(1-(($B70-W70)/$B70)),($E$4*60%/$A$4)*(1-2*((ABS($B70-W70))/$B70)))))</f>
        <v/>
      </c>
      <c r="Y70" s="285"/>
      <c r="Z70" s="132" t="str">
        <f t="shared" ref="Z70" si="622">IF(Y70="","",IF($B$7="Menor valor",($E$4/$A$4)*($B70/Y70),IF(Y70&lt;=$B70,($E$4/$A$4)*(1-(($B70-Y70)/$B70)),($E$4*60%/$A$4)*(1-2*((ABS($B70-Y70))/$B70)))))</f>
        <v/>
      </c>
      <c r="AA70" s="129">
        <v>1</v>
      </c>
    </row>
    <row r="71" spans="1:27" s="129" customFormat="1" ht="21" customHeight="1">
      <c r="A71" s="204" t="str">
        <f>+'Presupuesto Consolidado'!A83</f>
        <v>2.2.28</v>
      </c>
      <c r="B71" s="130">
        <f t="shared" si="312"/>
        <v>19063</v>
      </c>
      <c r="C71" s="131">
        <f>IF($C$7="Habilitado",ROUND('Presupuesto Consolidado'!E83,2),"")</f>
        <v>19063</v>
      </c>
      <c r="D71" s="132">
        <f t="shared" si="1"/>
        <v>0.78125</v>
      </c>
      <c r="E71" s="131" t="str">
        <f>IF($E$7="Habilitado",ROUND('Presupuesto Consolidado'!L83,2),"")</f>
        <v/>
      </c>
      <c r="F71" s="132" t="str">
        <f t="shared" si="1"/>
        <v/>
      </c>
      <c r="G71" s="285"/>
      <c r="H71" s="132" t="str">
        <f t="shared" ref="H71" si="623">IF(G71="","",IF($B$7="Menor valor",($E$4/$A$4)*($B71/G71),IF(G71&lt;=$B71,($E$4/$A$4)*(1-(($B71-G71)/$B71)),($E$4*60%/$A$4)*(1-2*((ABS($B71-G71))/$B71)))))</f>
        <v/>
      </c>
      <c r="I71" s="285"/>
      <c r="J71" s="132" t="str">
        <f t="shared" ref="J71" si="624">IF(I71="","",IF($B$7="Menor valor",($E$4/$A$4)*($B71/I71),IF(I71&lt;=$B71,($E$4/$A$4)*(1-(($B71-I71)/$B71)),($E$4*60%/$A$4)*(1-2*((ABS($B71-I71))/$B71)))))</f>
        <v/>
      </c>
      <c r="K71" s="285"/>
      <c r="L71" s="132" t="str">
        <f t="shared" ref="L71" si="625">IF(K71="","",IF($B$7="Menor valor",($E$4/$A$4)*($B71/K71),IF(K71&lt;=$B71,($E$4/$A$4)*(1-(($B71-K71)/$B71)),($E$4*60%/$A$4)*(1-2*((ABS($B71-K71))/$B71)))))</f>
        <v/>
      </c>
      <c r="M71" s="285"/>
      <c r="N71" s="132" t="str">
        <f t="shared" ref="N71" si="626">IF(M71="","",IF($B$7="Menor valor",($E$4/$A$4)*($B71/M71),IF(M71&lt;=$B71,($E$4/$A$4)*(1-(($B71-M71)/$B71)),($E$4*60%/$A$4)*(1-2*((ABS($B71-M71))/$B71)))))</f>
        <v/>
      </c>
      <c r="O71" s="285"/>
      <c r="P71" s="132" t="str">
        <f t="shared" ref="P71" si="627">IF(O71="","",IF($B$7="Menor valor",($E$4/$A$4)*($B71/O71),IF(O71&lt;=$B71,($E$4/$A$4)*(1-(($B71-O71)/$B71)),($E$4*60%/$A$4)*(1-2*((ABS($B71-O71))/$B71)))))</f>
        <v/>
      </c>
      <c r="Q71" s="285"/>
      <c r="R71" s="132" t="str">
        <f t="shared" ref="R71" si="628">IF(Q71="","",IF($B$7="Menor valor",($E$4/$A$4)*($B71/Q71),IF(Q71&lt;=$B71,($E$4/$A$4)*(1-(($B71-Q71)/$B71)),($E$4*60%/$A$4)*(1-2*((ABS($B71-Q71))/$B71)))))</f>
        <v/>
      </c>
      <c r="S71" s="285"/>
      <c r="T71" s="132" t="str">
        <f t="shared" ref="T71" si="629">IF(S71="","",IF($B$7="Menor valor",($E$4/$A$4)*($B71/S71),IF(S71&lt;=$B71,($E$4/$A$4)*(1-(($B71-S71)/$B71)),($E$4*60%/$A$4)*(1-2*((ABS($B71-S71))/$B71)))))</f>
        <v/>
      </c>
      <c r="U71" s="285"/>
      <c r="V71" s="132" t="str">
        <f t="shared" ref="V71" si="630">IF(U71="","",IF($B$7="Menor valor",($E$4/$A$4)*($B71/U71),IF(U71&lt;=$B71,($E$4/$A$4)*(1-(($B71-U71)/$B71)),($E$4*60%/$A$4)*(1-2*((ABS($B71-U71))/$B71)))))</f>
        <v/>
      </c>
      <c r="W71" s="285"/>
      <c r="X71" s="132" t="str">
        <f t="shared" ref="X71" si="631">IF(W71="","",IF($B$7="Menor valor",($E$4/$A$4)*($B71/W71),IF(W71&lt;=$B71,($E$4/$A$4)*(1-(($B71-W71)/$B71)),($E$4*60%/$A$4)*(1-2*((ABS($B71-W71))/$B71)))))</f>
        <v/>
      </c>
      <c r="Y71" s="285"/>
      <c r="Z71" s="132" t="str">
        <f t="shared" ref="Z71" si="632">IF(Y71="","",IF($B$7="Menor valor",($E$4/$A$4)*($B71/Y71),IF(Y71&lt;=$B71,($E$4/$A$4)*(1-(($B71-Y71)/$B71)),($E$4*60%/$A$4)*(1-2*((ABS($B71-Y71))/$B71)))))</f>
        <v/>
      </c>
      <c r="AA71" s="129">
        <v>1</v>
      </c>
    </row>
    <row r="72" spans="1:27" s="129" customFormat="1" ht="21" customHeight="1">
      <c r="A72" s="204" t="str">
        <f>+'Presupuesto Consolidado'!A84</f>
        <v>2.2.29</v>
      </c>
      <c r="B72" s="130">
        <f t="shared" ref="B72:B103" si="633">IF($B$7="Menor valor"=3,MIN(C72,E72,G72,I72,K72,M72,O72,Q72,S72,U72,W72,Y72),IF($B$7="Media aritmética alta",(MAX(C72,E72,G72,I72,K72,M72,O72,Q72,S72,U72,W72,Y72)+AVERAGE(C72,E72,G72,I72,K72,M72,O72,Q72,S72,U72,W72,Y72))/2,AVERAGE(C72,E72,G72,I72,K72,M72,O72,Q72,S72,U72,W72,Y72)))</f>
        <v>17017</v>
      </c>
      <c r="C72" s="131">
        <f>IF($C$7="Habilitado",ROUND('Presupuesto Consolidado'!E84,2),"")</f>
        <v>17017</v>
      </c>
      <c r="D72" s="132">
        <f t="shared" si="1"/>
        <v>0.78125</v>
      </c>
      <c r="E72" s="131" t="str">
        <f>IF($E$7="Habilitado",ROUND('Presupuesto Consolidado'!L84,2),"")</f>
        <v/>
      </c>
      <c r="F72" s="132" t="str">
        <f t="shared" si="1"/>
        <v/>
      </c>
      <c r="G72" s="285"/>
      <c r="H72" s="132" t="str">
        <f t="shared" ref="H72" si="634">IF(G72="","",IF($B$7="Menor valor",($E$4/$A$4)*($B72/G72),IF(G72&lt;=$B72,($E$4/$A$4)*(1-(($B72-G72)/$B72)),($E$4*60%/$A$4)*(1-2*((ABS($B72-G72))/$B72)))))</f>
        <v/>
      </c>
      <c r="I72" s="285"/>
      <c r="J72" s="132" t="str">
        <f t="shared" ref="J72" si="635">IF(I72="","",IF($B$7="Menor valor",($E$4/$A$4)*($B72/I72),IF(I72&lt;=$B72,($E$4/$A$4)*(1-(($B72-I72)/$B72)),($E$4*60%/$A$4)*(1-2*((ABS($B72-I72))/$B72)))))</f>
        <v/>
      </c>
      <c r="K72" s="285"/>
      <c r="L72" s="132" t="str">
        <f t="shared" ref="L72" si="636">IF(K72="","",IF($B$7="Menor valor",($E$4/$A$4)*($B72/K72),IF(K72&lt;=$B72,($E$4/$A$4)*(1-(($B72-K72)/$B72)),($E$4*60%/$A$4)*(1-2*((ABS($B72-K72))/$B72)))))</f>
        <v/>
      </c>
      <c r="M72" s="285"/>
      <c r="N72" s="132" t="str">
        <f t="shared" ref="N72" si="637">IF(M72="","",IF($B$7="Menor valor",($E$4/$A$4)*($B72/M72),IF(M72&lt;=$B72,($E$4/$A$4)*(1-(($B72-M72)/$B72)),($E$4*60%/$A$4)*(1-2*((ABS($B72-M72))/$B72)))))</f>
        <v/>
      </c>
      <c r="O72" s="285"/>
      <c r="P72" s="132" t="str">
        <f t="shared" ref="P72" si="638">IF(O72="","",IF($B$7="Menor valor",($E$4/$A$4)*($B72/O72),IF(O72&lt;=$B72,($E$4/$A$4)*(1-(($B72-O72)/$B72)),($E$4*60%/$A$4)*(1-2*((ABS($B72-O72))/$B72)))))</f>
        <v/>
      </c>
      <c r="Q72" s="285"/>
      <c r="R72" s="132" t="str">
        <f t="shared" ref="R72" si="639">IF(Q72="","",IF($B$7="Menor valor",($E$4/$A$4)*($B72/Q72),IF(Q72&lt;=$B72,($E$4/$A$4)*(1-(($B72-Q72)/$B72)),($E$4*60%/$A$4)*(1-2*((ABS($B72-Q72))/$B72)))))</f>
        <v/>
      </c>
      <c r="S72" s="285"/>
      <c r="T72" s="132" t="str">
        <f t="shared" ref="T72" si="640">IF(S72="","",IF($B$7="Menor valor",($E$4/$A$4)*($B72/S72),IF(S72&lt;=$B72,($E$4/$A$4)*(1-(($B72-S72)/$B72)),($E$4*60%/$A$4)*(1-2*((ABS($B72-S72))/$B72)))))</f>
        <v/>
      </c>
      <c r="U72" s="285"/>
      <c r="V72" s="132" t="str">
        <f t="shared" ref="V72" si="641">IF(U72="","",IF($B$7="Menor valor",($E$4/$A$4)*($B72/U72),IF(U72&lt;=$B72,($E$4/$A$4)*(1-(($B72-U72)/$B72)),($E$4*60%/$A$4)*(1-2*((ABS($B72-U72))/$B72)))))</f>
        <v/>
      </c>
      <c r="W72" s="285"/>
      <c r="X72" s="132" t="str">
        <f t="shared" ref="X72" si="642">IF(W72="","",IF($B$7="Menor valor",($E$4/$A$4)*($B72/W72),IF(W72&lt;=$B72,($E$4/$A$4)*(1-(($B72-W72)/$B72)),($E$4*60%/$A$4)*(1-2*((ABS($B72-W72))/$B72)))))</f>
        <v/>
      </c>
      <c r="Y72" s="285"/>
      <c r="Z72" s="132" t="str">
        <f t="shared" ref="Z72" si="643">IF(Y72="","",IF($B$7="Menor valor",($E$4/$A$4)*($B72/Y72),IF(Y72&lt;=$B72,($E$4/$A$4)*(1-(($B72-Y72)/$B72)),($E$4*60%/$A$4)*(1-2*((ABS($B72-Y72))/$B72)))))</f>
        <v/>
      </c>
      <c r="AA72" s="129">
        <v>1</v>
      </c>
    </row>
    <row r="73" spans="1:27" s="129" customFormat="1" ht="21" customHeight="1">
      <c r="A73" s="204" t="str">
        <f>+'Presupuesto Consolidado'!A85</f>
        <v>2.2.30</v>
      </c>
      <c r="B73" s="130">
        <f t="shared" si="633"/>
        <v>66516</v>
      </c>
      <c r="C73" s="131">
        <f>IF($C$7="Habilitado",ROUND('Presupuesto Consolidado'!E85,2),"")</f>
        <v>66516</v>
      </c>
      <c r="D73" s="132">
        <f t="shared" ref="D73:F135" si="644">IF(C73="","",IF($B$7="Menor valor",($E$4/$A$4)*($B73/C73),IF(C73&lt;=$B73,($E$4/$A$4)*(1-(($B73-C73)/$B73)),($E$4*60%/$A$4)*(1-2*((ABS($B73-C73))/$B73)))))</f>
        <v>0.78125</v>
      </c>
      <c r="E73" s="131" t="str">
        <f>IF($E$7="Habilitado",ROUND('Presupuesto Consolidado'!L85,2),"")</f>
        <v/>
      </c>
      <c r="F73" s="132" t="str">
        <f t="shared" si="644"/>
        <v/>
      </c>
      <c r="G73" s="285"/>
      <c r="H73" s="132" t="str">
        <f t="shared" ref="H73" si="645">IF(G73="","",IF($B$7="Menor valor",($E$4/$A$4)*($B73/G73),IF(G73&lt;=$B73,($E$4/$A$4)*(1-(($B73-G73)/$B73)),($E$4*60%/$A$4)*(1-2*((ABS($B73-G73))/$B73)))))</f>
        <v/>
      </c>
      <c r="I73" s="285"/>
      <c r="J73" s="132" t="str">
        <f t="shared" ref="J73" si="646">IF(I73="","",IF($B$7="Menor valor",($E$4/$A$4)*($B73/I73),IF(I73&lt;=$B73,($E$4/$A$4)*(1-(($B73-I73)/$B73)),($E$4*60%/$A$4)*(1-2*((ABS($B73-I73))/$B73)))))</f>
        <v/>
      </c>
      <c r="K73" s="285"/>
      <c r="L73" s="132" t="str">
        <f t="shared" ref="L73" si="647">IF(K73="","",IF($B$7="Menor valor",($E$4/$A$4)*($B73/K73),IF(K73&lt;=$B73,($E$4/$A$4)*(1-(($B73-K73)/$B73)),($E$4*60%/$A$4)*(1-2*((ABS($B73-K73))/$B73)))))</f>
        <v/>
      </c>
      <c r="M73" s="285"/>
      <c r="N73" s="132" t="str">
        <f t="shared" ref="N73" si="648">IF(M73="","",IF($B$7="Menor valor",($E$4/$A$4)*($B73/M73),IF(M73&lt;=$B73,($E$4/$A$4)*(1-(($B73-M73)/$B73)),($E$4*60%/$A$4)*(1-2*((ABS($B73-M73))/$B73)))))</f>
        <v/>
      </c>
      <c r="O73" s="285"/>
      <c r="P73" s="132" t="str">
        <f t="shared" ref="P73" si="649">IF(O73="","",IF($B$7="Menor valor",($E$4/$A$4)*($B73/O73),IF(O73&lt;=$B73,($E$4/$A$4)*(1-(($B73-O73)/$B73)),($E$4*60%/$A$4)*(1-2*((ABS($B73-O73))/$B73)))))</f>
        <v/>
      </c>
      <c r="Q73" s="285"/>
      <c r="R73" s="132" t="str">
        <f t="shared" ref="R73" si="650">IF(Q73="","",IF($B$7="Menor valor",($E$4/$A$4)*($B73/Q73),IF(Q73&lt;=$B73,($E$4/$A$4)*(1-(($B73-Q73)/$B73)),($E$4*60%/$A$4)*(1-2*((ABS($B73-Q73))/$B73)))))</f>
        <v/>
      </c>
      <c r="S73" s="285"/>
      <c r="T73" s="132" t="str">
        <f t="shared" ref="T73" si="651">IF(S73="","",IF($B$7="Menor valor",($E$4/$A$4)*($B73/S73),IF(S73&lt;=$B73,($E$4/$A$4)*(1-(($B73-S73)/$B73)),($E$4*60%/$A$4)*(1-2*((ABS($B73-S73))/$B73)))))</f>
        <v/>
      </c>
      <c r="U73" s="285"/>
      <c r="V73" s="132" t="str">
        <f t="shared" ref="V73" si="652">IF(U73="","",IF($B$7="Menor valor",($E$4/$A$4)*($B73/U73),IF(U73&lt;=$B73,($E$4/$A$4)*(1-(($B73-U73)/$B73)),($E$4*60%/$A$4)*(1-2*((ABS($B73-U73))/$B73)))))</f>
        <v/>
      </c>
      <c r="W73" s="285"/>
      <c r="X73" s="132" t="str">
        <f t="shared" ref="X73" si="653">IF(W73="","",IF($B$7="Menor valor",($E$4/$A$4)*($B73/W73),IF(W73&lt;=$B73,($E$4/$A$4)*(1-(($B73-W73)/$B73)),($E$4*60%/$A$4)*(1-2*((ABS($B73-W73))/$B73)))))</f>
        <v/>
      </c>
      <c r="Y73" s="285"/>
      <c r="Z73" s="132" t="str">
        <f t="shared" ref="Z73" si="654">IF(Y73="","",IF($B$7="Menor valor",($E$4/$A$4)*($B73/Y73),IF(Y73&lt;=$B73,($E$4/$A$4)*(1-(($B73-Y73)/$B73)),($E$4*60%/$A$4)*(1-2*((ABS($B73-Y73))/$B73)))))</f>
        <v/>
      </c>
      <c r="AA73" s="129">
        <v>1</v>
      </c>
    </row>
    <row r="74" spans="1:27" s="129" customFormat="1" ht="21" customHeight="1">
      <c r="A74" s="204" t="str">
        <f>+'Presupuesto Consolidado'!A88</f>
        <v>2.3.1</v>
      </c>
      <c r="B74" s="130">
        <f t="shared" si="633"/>
        <v>20639</v>
      </c>
      <c r="C74" s="131">
        <f>IF($C$7="Habilitado",ROUND('Presupuesto Consolidado'!E88,2),"")</f>
        <v>20639</v>
      </c>
      <c r="D74" s="132">
        <f t="shared" si="644"/>
        <v>0.78125</v>
      </c>
      <c r="E74" s="131" t="str">
        <f>IF($E$7="Habilitado",ROUND('Presupuesto Consolidado'!L88,2),"")</f>
        <v/>
      </c>
      <c r="F74" s="132" t="str">
        <f t="shared" si="644"/>
        <v/>
      </c>
      <c r="G74" s="285"/>
      <c r="H74" s="132" t="str">
        <f t="shared" ref="H74" si="655">IF(G74="","",IF($B$7="Menor valor",($E$4/$A$4)*($B74/G74),IF(G74&lt;=$B74,($E$4/$A$4)*(1-(($B74-G74)/$B74)),($E$4*60%/$A$4)*(1-2*((ABS($B74-G74))/$B74)))))</f>
        <v/>
      </c>
      <c r="I74" s="285"/>
      <c r="J74" s="132" t="str">
        <f t="shared" ref="J74" si="656">IF(I74="","",IF($B$7="Menor valor",($E$4/$A$4)*($B74/I74),IF(I74&lt;=$B74,($E$4/$A$4)*(1-(($B74-I74)/$B74)),($E$4*60%/$A$4)*(1-2*((ABS($B74-I74))/$B74)))))</f>
        <v/>
      </c>
      <c r="K74" s="285"/>
      <c r="L74" s="132" t="str">
        <f t="shared" ref="L74" si="657">IF(K74="","",IF($B$7="Menor valor",($E$4/$A$4)*($B74/K74),IF(K74&lt;=$B74,($E$4/$A$4)*(1-(($B74-K74)/$B74)),($E$4*60%/$A$4)*(1-2*((ABS($B74-K74))/$B74)))))</f>
        <v/>
      </c>
      <c r="M74" s="285"/>
      <c r="N74" s="132" t="str">
        <f t="shared" ref="N74" si="658">IF(M74="","",IF($B$7="Menor valor",($E$4/$A$4)*($B74/M74),IF(M74&lt;=$B74,($E$4/$A$4)*(1-(($B74-M74)/$B74)),($E$4*60%/$A$4)*(1-2*((ABS($B74-M74))/$B74)))))</f>
        <v/>
      </c>
      <c r="O74" s="285"/>
      <c r="P74" s="132" t="str">
        <f t="shared" ref="P74" si="659">IF(O74="","",IF($B$7="Menor valor",($E$4/$A$4)*($B74/O74),IF(O74&lt;=$B74,($E$4/$A$4)*(1-(($B74-O74)/$B74)),($E$4*60%/$A$4)*(1-2*((ABS($B74-O74))/$B74)))))</f>
        <v/>
      </c>
      <c r="Q74" s="285"/>
      <c r="R74" s="132" t="str">
        <f t="shared" ref="R74" si="660">IF(Q74="","",IF($B$7="Menor valor",($E$4/$A$4)*($B74/Q74),IF(Q74&lt;=$B74,($E$4/$A$4)*(1-(($B74-Q74)/$B74)),($E$4*60%/$A$4)*(1-2*((ABS($B74-Q74))/$B74)))))</f>
        <v/>
      </c>
      <c r="S74" s="285"/>
      <c r="T74" s="132" t="str">
        <f t="shared" ref="T74" si="661">IF(S74="","",IF($B$7="Menor valor",($E$4/$A$4)*($B74/S74),IF(S74&lt;=$B74,($E$4/$A$4)*(1-(($B74-S74)/$B74)),($E$4*60%/$A$4)*(1-2*((ABS($B74-S74))/$B74)))))</f>
        <v/>
      </c>
      <c r="U74" s="285"/>
      <c r="V74" s="132" t="str">
        <f t="shared" ref="V74" si="662">IF(U74="","",IF($B$7="Menor valor",($E$4/$A$4)*($B74/U74),IF(U74&lt;=$B74,($E$4/$A$4)*(1-(($B74-U74)/$B74)),($E$4*60%/$A$4)*(1-2*((ABS($B74-U74))/$B74)))))</f>
        <v/>
      </c>
      <c r="W74" s="285"/>
      <c r="X74" s="132" t="str">
        <f t="shared" ref="X74" si="663">IF(W74="","",IF($B$7="Menor valor",($E$4/$A$4)*($B74/W74),IF(W74&lt;=$B74,($E$4/$A$4)*(1-(($B74-W74)/$B74)),($E$4*60%/$A$4)*(1-2*((ABS($B74-W74))/$B74)))))</f>
        <v/>
      </c>
      <c r="Y74" s="285"/>
      <c r="Z74" s="132" t="str">
        <f t="shared" ref="Z74" si="664">IF(Y74="","",IF($B$7="Menor valor",($E$4/$A$4)*($B74/Y74),IF(Y74&lt;=$B74,($E$4/$A$4)*(1-(($B74-Y74)/$B74)),($E$4*60%/$A$4)*(1-2*((ABS($B74-Y74))/$B74)))))</f>
        <v/>
      </c>
      <c r="AA74" s="129">
        <v>1</v>
      </c>
    </row>
    <row r="75" spans="1:27" s="129" customFormat="1" ht="21" customHeight="1">
      <c r="A75" s="204" t="str">
        <f>+'Presupuesto Consolidado'!A89</f>
        <v>2.3.2</v>
      </c>
      <c r="B75" s="130">
        <f t="shared" si="633"/>
        <v>26147</v>
      </c>
      <c r="C75" s="131">
        <f>IF($C$7="Habilitado",ROUND('Presupuesto Consolidado'!E89,2),"")</f>
        <v>26147</v>
      </c>
      <c r="D75" s="132">
        <f t="shared" si="644"/>
        <v>0.78125</v>
      </c>
      <c r="E75" s="131" t="str">
        <f>IF($E$7="Habilitado",ROUND('Presupuesto Consolidado'!L89,2),"")</f>
        <v/>
      </c>
      <c r="F75" s="132" t="str">
        <f t="shared" si="644"/>
        <v/>
      </c>
      <c r="G75" s="285"/>
      <c r="H75" s="132" t="str">
        <f t="shared" ref="H75" si="665">IF(G75="","",IF($B$7="Menor valor",($E$4/$A$4)*($B75/G75),IF(G75&lt;=$B75,($E$4/$A$4)*(1-(($B75-G75)/$B75)),($E$4*60%/$A$4)*(1-2*((ABS($B75-G75))/$B75)))))</f>
        <v/>
      </c>
      <c r="I75" s="285"/>
      <c r="J75" s="132" t="str">
        <f t="shared" ref="J75" si="666">IF(I75="","",IF($B$7="Menor valor",($E$4/$A$4)*($B75/I75),IF(I75&lt;=$B75,($E$4/$A$4)*(1-(($B75-I75)/$B75)),($E$4*60%/$A$4)*(1-2*((ABS($B75-I75))/$B75)))))</f>
        <v/>
      </c>
      <c r="K75" s="285"/>
      <c r="L75" s="132" t="str">
        <f t="shared" ref="L75" si="667">IF(K75="","",IF($B$7="Menor valor",($E$4/$A$4)*($B75/K75),IF(K75&lt;=$B75,($E$4/$A$4)*(1-(($B75-K75)/$B75)),($E$4*60%/$A$4)*(1-2*((ABS($B75-K75))/$B75)))))</f>
        <v/>
      </c>
      <c r="M75" s="285"/>
      <c r="N75" s="132" t="str">
        <f t="shared" ref="N75" si="668">IF(M75="","",IF($B$7="Menor valor",($E$4/$A$4)*($B75/M75),IF(M75&lt;=$B75,($E$4/$A$4)*(1-(($B75-M75)/$B75)),($E$4*60%/$A$4)*(1-2*((ABS($B75-M75))/$B75)))))</f>
        <v/>
      </c>
      <c r="O75" s="285"/>
      <c r="P75" s="132" t="str">
        <f t="shared" ref="P75" si="669">IF(O75="","",IF($B$7="Menor valor",($E$4/$A$4)*($B75/O75),IF(O75&lt;=$B75,($E$4/$A$4)*(1-(($B75-O75)/$B75)),($E$4*60%/$A$4)*(1-2*((ABS($B75-O75))/$B75)))))</f>
        <v/>
      </c>
      <c r="Q75" s="285"/>
      <c r="R75" s="132" t="str">
        <f t="shared" ref="R75" si="670">IF(Q75="","",IF($B$7="Menor valor",($E$4/$A$4)*($B75/Q75),IF(Q75&lt;=$B75,($E$4/$A$4)*(1-(($B75-Q75)/$B75)),($E$4*60%/$A$4)*(1-2*((ABS($B75-Q75))/$B75)))))</f>
        <v/>
      </c>
      <c r="S75" s="285"/>
      <c r="T75" s="132" t="str">
        <f t="shared" ref="T75" si="671">IF(S75="","",IF($B$7="Menor valor",($E$4/$A$4)*($B75/S75),IF(S75&lt;=$B75,($E$4/$A$4)*(1-(($B75-S75)/$B75)),($E$4*60%/$A$4)*(1-2*((ABS($B75-S75))/$B75)))))</f>
        <v/>
      </c>
      <c r="U75" s="285"/>
      <c r="V75" s="132" t="str">
        <f t="shared" ref="V75" si="672">IF(U75="","",IF($B$7="Menor valor",($E$4/$A$4)*($B75/U75),IF(U75&lt;=$B75,($E$4/$A$4)*(1-(($B75-U75)/$B75)),($E$4*60%/$A$4)*(1-2*((ABS($B75-U75))/$B75)))))</f>
        <v/>
      </c>
      <c r="W75" s="285"/>
      <c r="X75" s="132" t="str">
        <f t="shared" ref="X75" si="673">IF(W75="","",IF($B$7="Menor valor",($E$4/$A$4)*($B75/W75),IF(W75&lt;=$B75,($E$4/$A$4)*(1-(($B75-W75)/$B75)),($E$4*60%/$A$4)*(1-2*((ABS($B75-W75))/$B75)))))</f>
        <v/>
      </c>
      <c r="Y75" s="285"/>
      <c r="Z75" s="132" t="str">
        <f t="shared" ref="Z75" si="674">IF(Y75="","",IF($B$7="Menor valor",($E$4/$A$4)*($B75/Y75),IF(Y75&lt;=$B75,($E$4/$A$4)*(1-(($B75-Y75)/$B75)),($E$4*60%/$A$4)*(1-2*((ABS($B75-Y75))/$B75)))))</f>
        <v/>
      </c>
      <c r="AA75" s="129">
        <v>1</v>
      </c>
    </row>
    <row r="76" spans="1:27" s="129" customFormat="1" ht="21" customHeight="1">
      <c r="A76" s="204" t="str">
        <f>+'Presupuesto Consolidado'!A90</f>
        <v>2.3.3</v>
      </c>
      <c r="B76" s="130">
        <f t="shared" si="633"/>
        <v>166939</v>
      </c>
      <c r="C76" s="131">
        <f>IF($C$7="Habilitado",ROUND('Presupuesto Consolidado'!E90,2),"")</f>
        <v>166939</v>
      </c>
      <c r="D76" s="132">
        <f t="shared" si="644"/>
        <v>0.78125</v>
      </c>
      <c r="E76" s="131" t="str">
        <f>IF($E$7="Habilitado",ROUND('Presupuesto Consolidado'!L90,2),"")</f>
        <v/>
      </c>
      <c r="F76" s="132" t="str">
        <f t="shared" si="644"/>
        <v/>
      </c>
      <c r="G76" s="285"/>
      <c r="H76" s="132" t="str">
        <f t="shared" ref="H76" si="675">IF(G76="","",IF($B$7="Menor valor",($E$4/$A$4)*($B76/G76),IF(G76&lt;=$B76,($E$4/$A$4)*(1-(($B76-G76)/$B76)),($E$4*60%/$A$4)*(1-2*((ABS($B76-G76))/$B76)))))</f>
        <v/>
      </c>
      <c r="I76" s="285"/>
      <c r="J76" s="132" t="str">
        <f t="shared" ref="J76" si="676">IF(I76="","",IF($B$7="Menor valor",($E$4/$A$4)*($B76/I76),IF(I76&lt;=$B76,($E$4/$A$4)*(1-(($B76-I76)/$B76)),($E$4*60%/$A$4)*(1-2*((ABS($B76-I76))/$B76)))))</f>
        <v/>
      </c>
      <c r="K76" s="285"/>
      <c r="L76" s="132" t="str">
        <f t="shared" ref="L76" si="677">IF(K76="","",IF($B$7="Menor valor",($E$4/$A$4)*($B76/K76),IF(K76&lt;=$B76,($E$4/$A$4)*(1-(($B76-K76)/$B76)),($E$4*60%/$A$4)*(1-2*((ABS($B76-K76))/$B76)))))</f>
        <v/>
      </c>
      <c r="M76" s="285"/>
      <c r="N76" s="132" t="str">
        <f t="shared" ref="N76" si="678">IF(M76="","",IF($B$7="Menor valor",($E$4/$A$4)*($B76/M76),IF(M76&lt;=$B76,($E$4/$A$4)*(1-(($B76-M76)/$B76)),($E$4*60%/$A$4)*(1-2*((ABS($B76-M76))/$B76)))))</f>
        <v/>
      </c>
      <c r="O76" s="285"/>
      <c r="P76" s="132" t="str">
        <f t="shared" ref="P76" si="679">IF(O76="","",IF($B$7="Menor valor",($E$4/$A$4)*($B76/O76),IF(O76&lt;=$B76,($E$4/$A$4)*(1-(($B76-O76)/$B76)),($E$4*60%/$A$4)*(1-2*((ABS($B76-O76))/$B76)))))</f>
        <v/>
      </c>
      <c r="Q76" s="285"/>
      <c r="R76" s="132" t="str">
        <f t="shared" ref="R76" si="680">IF(Q76="","",IF($B$7="Menor valor",($E$4/$A$4)*($B76/Q76),IF(Q76&lt;=$B76,($E$4/$A$4)*(1-(($B76-Q76)/$B76)),($E$4*60%/$A$4)*(1-2*((ABS($B76-Q76))/$B76)))))</f>
        <v/>
      </c>
      <c r="S76" s="285"/>
      <c r="T76" s="132" t="str">
        <f t="shared" ref="T76" si="681">IF(S76="","",IF($B$7="Menor valor",($E$4/$A$4)*($B76/S76),IF(S76&lt;=$B76,($E$4/$A$4)*(1-(($B76-S76)/$B76)),($E$4*60%/$A$4)*(1-2*((ABS($B76-S76))/$B76)))))</f>
        <v/>
      </c>
      <c r="U76" s="285"/>
      <c r="V76" s="132" t="str">
        <f t="shared" ref="V76" si="682">IF(U76="","",IF($B$7="Menor valor",($E$4/$A$4)*($B76/U76),IF(U76&lt;=$B76,($E$4/$A$4)*(1-(($B76-U76)/$B76)),($E$4*60%/$A$4)*(1-2*((ABS($B76-U76))/$B76)))))</f>
        <v/>
      </c>
      <c r="W76" s="285"/>
      <c r="X76" s="132" t="str">
        <f t="shared" ref="X76" si="683">IF(W76="","",IF($B$7="Menor valor",($E$4/$A$4)*($B76/W76),IF(W76&lt;=$B76,($E$4/$A$4)*(1-(($B76-W76)/$B76)),($E$4*60%/$A$4)*(1-2*((ABS($B76-W76))/$B76)))))</f>
        <v/>
      </c>
      <c r="Y76" s="285"/>
      <c r="Z76" s="132" t="str">
        <f t="shared" ref="Z76" si="684">IF(Y76="","",IF($B$7="Menor valor",($E$4/$A$4)*($B76/Y76),IF(Y76&lt;=$B76,($E$4/$A$4)*(1-(($B76-Y76)/$B76)),($E$4*60%/$A$4)*(1-2*((ABS($B76-Y76))/$B76)))))</f>
        <v/>
      </c>
      <c r="AA76" s="129">
        <v>1</v>
      </c>
    </row>
    <row r="77" spans="1:27" s="129" customFormat="1" ht="21" customHeight="1">
      <c r="A77" s="204" t="str">
        <f>+'Presupuesto Consolidado'!A91</f>
        <v>2.3.4</v>
      </c>
      <c r="B77" s="130">
        <f t="shared" si="633"/>
        <v>139724</v>
      </c>
      <c r="C77" s="131">
        <f>IF($C$7="Habilitado",ROUND('Presupuesto Consolidado'!E91,2),"")</f>
        <v>139724</v>
      </c>
      <c r="D77" s="132">
        <f t="shared" si="644"/>
        <v>0.78125</v>
      </c>
      <c r="E77" s="131" t="str">
        <f>IF($E$7="Habilitado",ROUND('Presupuesto Consolidado'!L91,2),"")</f>
        <v/>
      </c>
      <c r="F77" s="132" t="str">
        <f t="shared" si="644"/>
        <v/>
      </c>
      <c r="G77" s="285"/>
      <c r="H77" s="132" t="str">
        <f t="shared" ref="H77" si="685">IF(G77="","",IF($B$7="Menor valor",($E$4/$A$4)*($B77/G77),IF(G77&lt;=$B77,($E$4/$A$4)*(1-(($B77-G77)/$B77)),($E$4*60%/$A$4)*(1-2*((ABS($B77-G77))/$B77)))))</f>
        <v/>
      </c>
      <c r="I77" s="285"/>
      <c r="J77" s="132" t="str">
        <f t="shared" ref="J77" si="686">IF(I77="","",IF($B$7="Menor valor",($E$4/$A$4)*($B77/I77),IF(I77&lt;=$B77,($E$4/$A$4)*(1-(($B77-I77)/$B77)),($E$4*60%/$A$4)*(1-2*((ABS($B77-I77))/$B77)))))</f>
        <v/>
      </c>
      <c r="K77" s="285"/>
      <c r="L77" s="132" t="str">
        <f t="shared" ref="L77" si="687">IF(K77="","",IF($B$7="Menor valor",($E$4/$A$4)*($B77/K77),IF(K77&lt;=$B77,($E$4/$A$4)*(1-(($B77-K77)/$B77)),($E$4*60%/$A$4)*(1-2*((ABS($B77-K77))/$B77)))))</f>
        <v/>
      </c>
      <c r="M77" s="285"/>
      <c r="N77" s="132" t="str">
        <f t="shared" ref="N77" si="688">IF(M77="","",IF($B$7="Menor valor",($E$4/$A$4)*($B77/M77),IF(M77&lt;=$B77,($E$4/$A$4)*(1-(($B77-M77)/$B77)),($E$4*60%/$A$4)*(1-2*((ABS($B77-M77))/$B77)))))</f>
        <v/>
      </c>
      <c r="O77" s="285"/>
      <c r="P77" s="132" t="str">
        <f t="shared" ref="P77" si="689">IF(O77="","",IF($B$7="Menor valor",($E$4/$A$4)*($B77/O77),IF(O77&lt;=$B77,($E$4/$A$4)*(1-(($B77-O77)/$B77)),($E$4*60%/$A$4)*(1-2*((ABS($B77-O77))/$B77)))))</f>
        <v/>
      </c>
      <c r="Q77" s="285"/>
      <c r="R77" s="132" t="str">
        <f t="shared" ref="R77" si="690">IF(Q77="","",IF($B$7="Menor valor",($E$4/$A$4)*($B77/Q77),IF(Q77&lt;=$B77,($E$4/$A$4)*(1-(($B77-Q77)/$B77)),($E$4*60%/$A$4)*(1-2*((ABS($B77-Q77))/$B77)))))</f>
        <v/>
      </c>
      <c r="S77" s="285"/>
      <c r="T77" s="132" t="str">
        <f t="shared" ref="T77" si="691">IF(S77="","",IF($B$7="Menor valor",($E$4/$A$4)*($B77/S77),IF(S77&lt;=$B77,($E$4/$A$4)*(1-(($B77-S77)/$B77)),($E$4*60%/$A$4)*(1-2*((ABS($B77-S77))/$B77)))))</f>
        <v/>
      </c>
      <c r="U77" s="285"/>
      <c r="V77" s="132" t="str">
        <f t="shared" ref="V77" si="692">IF(U77="","",IF($B$7="Menor valor",($E$4/$A$4)*($B77/U77),IF(U77&lt;=$B77,($E$4/$A$4)*(1-(($B77-U77)/$B77)),($E$4*60%/$A$4)*(1-2*((ABS($B77-U77))/$B77)))))</f>
        <v/>
      </c>
      <c r="W77" s="285"/>
      <c r="X77" s="132" t="str">
        <f t="shared" ref="X77" si="693">IF(W77="","",IF($B$7="Menor valor",($E$4/$A$4)*($B77/W77),IF(W77&lt;=$B77,($E$4/$A$4)*(1-(($B77-W77)/$B77)),($E$4*60%/$A$4)*(1-2*((ABS($B77-W77))/$B77)))))</f>
        <v/>
      </c>
      <c r="Y77" s="285"/>
      <c r="Z77" s="132" t="str">
        <f t="shared" ref="Z77" si="694">IF(Y77="","",IF($B$7="Menor valor",($E$4/$A$4)*($B77/Y77),IF(Y77&lt;=$B77,($E$4/$A$4)*(1-(($B77-Y77)/$B77)),($E$4*60%/$A$4)*(1-2*((ABS($B77-Y77))/$B77)))))</f>
        <v/>
      </c>
      <c r="AA77" s="129">
        <v>1</v>
      </c>
    </row>
    <row r="78" spans="1:27" s="129" customFormat="1" ht="21" customHeight="1">
      <c r="A78" s="204" t="str">
        <f>+'Presupuesto Consolidado'!A92</f>
        <v>2.3.5</v>
      </c>
      <c r="B78" s="130">
        <f t="shared" si="633"/>
        <v>95498</v>
      </c>
      <c r="C78" s="131">
        <f>IF($C$7="Habilitado",ROUND('Presupuesto Consolidado'!E92,2),"")</f>
        <v>95498</v>
      </c>
      <c r="D78" s="132">
        <f t="shared" si="644"/>
        <v>0.78125</v>
      </c>
      <c r="E78" s="131" t="str">
        <f>IF($E$7="Habilitado",ROUND('Presupuesto Consolidado'!L92,2),"")</f>
        <v/>
      </c>
      <c r="F78" s="132" t="str">
        <f t="shared" si="644"/>
        <v/>
      </c>
      <c r="G78" s="285"/>
      <c r="H78" s="132" t="str">
        <f t="shared" ref="H78" si="695">IF(G78="","",IF($B$7="Menor valor",($E$4/$A$4)*($B78/G78),IF(G78&lt;=$B78,($E$4/$A$4)*(1-(($B78-G78)/$B78)),($E$4*60%/$A$4)*(1-2*((ABS($B78-G78))/$B78)))))</f>
        <v/>
      </c>
      <c r="I78" s="285"/>
      <c r="J78" s="132" t="str">
        <f t="shared" ref="J78" si="696">IF(I78="","",IF($B$7="Menor valor",($E$4/$A$4)*($B78/I78),IF(I78&lt;=$B78,($E$4/$A$4)*(1-(($B78-I78)/$B78)),($E$4*60%/$A$4)*(1-2*((ABS($B78-I78))/$B78)))))</f>
        <v/>
      </c>
      <c r="K78" s="285"/>
      <c r="L78" s="132" t="str">
        <f t="shared" ref="L78" si="697">IF(K78="","",IF($B$7="Menor valor",($E$4/$A$4)*($B78/K78),IF(K78&lt;=$B78,($E$4/$A$4)*(1-(($B78-K78)/$B78)),($E$4*60%/$A$4)*(1-2*((ABS($B78-K78))/$B78)))))</f>
        <v/>
      </c>
      <c r="M78" s="285"/>
      <c r="N78" s="132" t="str">
        <f t="shared" ref="N78" si="698">IF(M78="","",IF($B$7="Menor valor",($E$4/$A$4)*($B78/M78),IF(M78&lt;=$B78,($E$4/$A$4)*(1-(($B78-M78)/$B78)),($E$4*60%/$A$4)*(1-2*((ABS($B78-M78))/$B78)))))</f>
        <v/>
      </c>
      <c r="O78" s="285"/>
      <c r="P78" s="132" t="str">
        <f t="shared" ref="P78" si="699">IF(O78="","",IF($B$7="Menor valor",($E$4/$A$4)*($B78/O78),IF(O78&lt;=$B78,($E$4/$A$4)*(1-(($B78-O78)/$B78)),($E$4*60%/$A$4)*(1-2*((ABS($B78-O78))/$B78)))))</f>
        <v/>
      </c>
      <c r="Q78" s="285"/>
      <c r="R78" s="132" t="str">
        <f t="shared" ref="R78" si="700">IF(Q78="","",IF($B$7="Menor valor",($E$4/$A$4)*($B78/Q78),IF(Q78&lt;=$B78,($E$4/$A$4)*(1-(($B78-Q78)/$B78)),($E$4*60%/$A$4)*(1-2*((ABS($B78-Q78))/$B78)))))</f>
        <v/>
      </c>
      <c r="S78" s="285"/>
      <c r="T78" s="132" t="str">
        <f t="shared" ref="T78" si="701">IF(S78="","",IF($B$7="Menor valor",($E$4/$A$4)*($B78/S78),IF(S78&lt;=$B78,($E$4/$A$4)*(1-(($B78-S78)/$B78)),($E$4*60%/$A$4)*(1-2*((ABS($B78-S78))/$B78)))))</f>
        <v/>
      </c>
      <c r="U78" s="285"/>
      <c r="V78" s="132" t="str">
        <f t="shared" ref="V78" si="702">IF(U78="","",IF($B$7="Menor valor",($E$4/$A$4)*($B78/U78),IF(U78&lt;=$B78,($E$4/$A$4)*(1-(($B78-U78)/$B78)),($E$4*60%/$A$4)*(1-2*((ABS($B78-U78))/$B78)))))</f>
        <v/>
      </c>
      <c r="W78" s="285"/>
      <c r="X78" s="132" t="str">
        <f t="shared" ref="X78" si="703">IF(W78="","",IF($B$7="Menor valor",($E$4/$A$4)*($B78/W78),IF(W78&lt;=$B78,($E$4/$A$4)*(1-(($B78-W78)/$B78)),($E$4*60%/$A$4)*(1-2*((ABS($B78-W78))/$B78)))))</f>
        <v/>
      </c>
      <c r="Y78" s="285"/>
      <c r="Z78" s="132" t="str">
        <f t="shared" ref="Z78" si="704">IF(Y78="","",IF($B$7="Menor valor",($E$4/$A$4)*($B78/Y78),IF(Y78&lt;=$B78,($E$4/$A$4)*(1-(($B78-Y78)/$B78)),($E$4*60%/$A$4)*(1-2*((ABS($B78-Y78))/$B78)))))</f>
        <v/>
      </c>
      <c r="AA78" s="129">
        <v>1</v>
      </c>
    </row>
    <row r="79" spans="1:27" s="129" customFormat="1" ht="21" customHeight="1">
      <c r="A79" s="204" t="str">
        <f>+'Presupuesto Consolidado'!A93</f>
        <v>2.3.6</v>
      </c>
      <c r="B79" s="130">
        <f t="shared" si="633"/>
        <v>55627</v>
      </c>
      <c r="C79" s="131">
        <f>IF($C$7="Habilitado",ROUND('Presupuesto Consolidado'!E93,2),"")</f>
        <v>55627</v>
      </c>
      <c r="D79" s="132">
        <f t="shared" si="644"/>
        <v>0.78125</v>
      </c>
      <c r="E79" s="131" t="str">
        <f>IF($E$7="Habilitado",ROUND('Presupuesto Consolidado'!L93,2),"")</f>
        <v/>
      </c>
      <c r="F79" s="132" t="str">
        <f t="shared" si="644"/>
        <v/>
      </c>
      <c r="G79" s="285"/>
      <c r="H79" s="132" t="str">
        <f t="shared" ref="H79" si="705">IF(G79="","",IF($B$7="Menor valor",($E$4/$A$4)*($B79/G79),IF(G79&lt;=$B79,($E$4/$A$4)*(1-(($B79-G79)/$B79)),($E$4*60%/$A$4)*(1-2*((ABS($B79-G79))/$B79)))))</f>
        <v/>
      </c>
      <c r="I79" s="285"/>
      <c r="J79" s="132" t="str">
        <f t="shared" ref="J79" si="706">IF(I79="","",IF($B$7="Menor valor",($E$4/$A$4)*($B79/I79),IF(I79&lt;=$B79,($E$4/$A$4)*(1-(($B79-I79)/$B79)),($E$4*60%/$A$4)*(1-2*((ABS($B79-I79))/$B79)))))</f>
        <v/>
      </c>
      <c r="K79" s="285"/>
      <c r="L79" s="132" t="str">
        <f t="shared" ref="L79" si="707">IF(K79="","",IF($B$7="Menor valor",($E$4/$A$4)*($B79/K79),IF(K79&lt;=$B79,($E$4/$A$4)*(1-(($B79-K79)/$B79)),($E$4*60%/$A$4)*(1-2*((ABS($B79-K79))/$B79)))))</f>
        <v/>
      </c>
      <c r="M79" s="285"/>
      <c r="N79" s="132" t="str">
        <f t="shared" ref="N79" si="708">IF(M79="","",IF($B$7="Menor valor",($E$4/$A$4)*($B79/M79),IF(M79&lt;=$B79,($E$4/$A$4)*(1-(($B79-M79)/$B79)),($E$4*60%/$A$4)*(1-2*((ABS($B79-M79))/$B79)))))</f>
        <v/>
      </c>
      <c r="O79" s="285"/>
      <c r="P79" s="132" t="str">
        <f t="shared" ref="P79" si="709">IF(O79="","",IF($B$7="Menor valor",($E$4/$A$4)*($B79/O79),IF(O79&lt;=$B79,($E$4/$A$4)*(1-(($B79-O79)/$B79)),($E$4*60%/$A$4)*(1-2*((ABS($B79-O79))/$B79)))))</f>
        <v/>
      </c>
      <c r="Q79" s="285"/>
      <c r="R79" s="132" t="str">
        <f t="shared" ref="R79" si="710">IF(Q79="","",IF($B$7="Menor valor",($E$4/$A$4)*($B79/Q79),IF(Q79&lt;=$B79,($E$4/$A$4)*(1-(($B79-Q79)/$B79)),($E$4*60%/$A$4)*(1-2*((ABS($B79-Q79))/$B79)))))</f>
        <v/>
      </c>
      <c r="S79" s="285"/>
      <c r="T79" s="132" t="str">
        <f t="shared" ref="T79" si="711">IF(S79="","",IF($B$7="Menor valor",($E$4/$A$4)*($B79/S79),IF(S79&lt;=$B79,($E$4/$A$4)*(1-(($B79-S79)/$B79)),($E$4*60%/$A$4)*(1-2*((ABS($B79-S79))/$B79)))))</f>
        <v/>
      </c>
      <c r="U79" s="285"/>
      <c r="V79" s="132" t="str">
        <f t="shared" ref="V79" si="712">IF(U79="","",IF($B$7="Menor valor",($E$4/$A$4)*($B79/U79),IF(U79&lt;=$B79,($E$4/$A$4)*(1-(($B79-U79)/$B79)),($E$4*60%/$A$4)*(1-2*((ABS($B79-U79))/$B79)))))</f>
        <v/>
      </c>
      <c r="W79" s="285"/>
      <c r="X79" s="132" t="str">
        <f t="shared" ref="X79" si="713">IF(W79="","",IF($B$7="Menor valor",($E$4/$A$4)*($B79/W79),IF(W79&lt;=$B79,($E$4/$A$4)*(1-(($B79-W79)/$B79)),($E$4*60%/$A$4)*(1-2*((ABS($B79-W79))/$B79)))))</f>
        <v/>
      </c>
      <c r="Y79" s="285"/>
      <c r="Z79" s="132" t="str">
        <f t="shared" ref="Z79" si="714">IF(Y79="","",IF($B$7="Menor valor",($E$4/$A$4)*($B79/Y79),IF(Y79&lt;=$B79,($E$4/$A$4)*(1-(($B79-Y79)/$B79)),($E$4*60%/$A$4)*(1-2*((ABS($B79-Y79))/$B79)))))</f>
        <v/>
      </c>
      <c r="AA79" s="129">
        <v>1</v>
      </c>
    </row>
    <row r="80" spans="1:27" s="129" customFormat="1" ht="21" customHeight="1">
      <c r="A80" s="204" t="str">
        <f>+'Presupuesto Consolidado'!A94</f>
        <v>2.3.7</v>
      </c>
      <c r="B80" s="130">
        <f t="shared" si="633"/>
        <v>467813</v>
      </c>
      <c r="C80" s="131">
        <f>IF($C$7="Habilitado",ROUND('Presupuesto Consolidado'!E94,2),"")</f>
        <v>467813</v>
      </c>
      <c r="D80" s="132">
        <f t="shared" si="644"/>
        <v>0.78125</v>
      </c>
      <c r="E80" s="131" t="str">
        <f>IF($E$7="Habilitado",ROUND('Presupuesto Consolidado'!L94,2),"")</f>
        <v/>
      </c>
      <c r="F80" s="132" t="str">
        <f t="shared" si="644"/>
        <v/>
      </c>
      <c r="G80" s="285"/>
      <c r="H80" s="132" t="str">
        <f t="shared" ref="H80" si="715">IF(G80="","",IF($B$7="Menor valor",($E$4/$A$4)*($B80/G80),IF(G80&lt;=$B80,($E$4/$A$4)*(1-(($B80-G80)/$B80)),($E$4*60%/$A$4)*(1-2*((ABS($B80-G80))/$B80)))))</f>
        <v/>
      </c>
      <c r="I80" s="285"/>
      <c r="J80" s="132" t="str">
        <f t="shared" ref="J80" si="716">IF(I80="","",IF($B$7="Menor valor",($E$4/$A$4)*($B80/I80),IF(I80&lt;=$B80,($E$4/$A$4)*(1-(($B80-I80)/$B80)),($E$4*60%/$A$4)*(1-2*((ABS($B80-I80))/$B80)))))</f>
        <v/>
      </c>
      <c r="K80" s="285"/>
      <c r="L80" s="132" t="str">
        <f t="shared" ref="L80" si="717">IF(K80="","",IF($B$7="Menor valor",($E$4/$A$4)*($B80/K80),IF(K80&lt;=$B80,($E$4/$A$4)*(1-(($B80-K80)/$B80)),($E$4*60%/$A$4)*(1-2*((ABS($B80-K80))/$B80)))))</f>
        <v/>
      </c>
      <c r="M80" s="285"/>
      <c r="N80" s="132" t="str">
        <f t="shared" ref="N80" si="718">IF(M80="","",IF($B$7="Menor valor",($E$4/$A$4)*($B80/M80),IF(M80&lt;=$B80,($E$4/$A$4)*(1-(($B80-M80)/$B80)),($E$4*60%/$A$4)*(1-2*((ABS($B80-M80))/$B80)))))</f>
        <v/>
      </c>
      <c r="O80" s="285"/>
      <c r="P80" s="132" t="str">
        <f t="shared" ref="P80" si="719">IF(O80="","",IF($B$7="Menor valor",($E$4/$A$4)*($B80/O80),IF(O80&lt;=$B80,($E$4/$A$4)*(1-(($B80-O80)/$B80)),($E$4*60%/$A$4)*(1-2*((ABS($B80-O80))/$B80)))))</f>
        <v/>
      </c>
      <c r="Q80" s="285"/>
      <c r="R80" s="132" t="str">
        <f t="shared" ref="R80" si="720">IF(Q80="","",IF($B$7="Menor valor",($E$4/$A$4)*($B80/Q80),IF(Q80&lt;=$B80,($E$4/$A$4)*(1-(($B80-Q80)/$B80)),($E$4*60%/$A$4)*(1-2*((ABS($B80-Q80))/$B80)))))</f>
        <v/>
      </c>
      <c r="S80" s="285"/>
      <c r="T80" s="132" t="str">
        <f t="shared" ref="T80" si="721">IF(S80="","",IF($B$7="Menor valor",($E$4/$A$4)*($B80/S80),IF(S80&lt;=$B80,($E$4/$A$4)*(1-(($B80-S80)/$B80)),($E$4*60%/$A$4)*(1-2*((ABS($B80-S80))/$B80)))))</f>
        <v/>
      </c>
      <c r="U80" s="285"/>
      <c r="V80" s="132" t="str">
        <f t="shared" ref="V80" si="722">IF(U80="","",IF($B$7="Menor valor",($E$4/$A$4)*($B80/U80),IF(U80&lt;=$B80,($E$4/$A$4)*(1-(($B80-U80)/$B80)),($E$4*60%/$A$4)*(1-2*((ABS($B80-U80))/$B80)))))</f>
        <v/>
      </c>
      <c r="W80" s="285"/>
      <c r="X80" s="132" t="str">
        <f t="shared" ref="X80" si="723">IF(W80="","",IF($B$7="Menor valor",($E$4/$A$4)*($B80/W80),IF(W80&lt;=$B80,($E$4/$A$4)*(1-(($B80-W80)/$B80)),($E$4*60%/$A$4)*(1-2*((ABS($B80-W80))/$B80)))))</f>
        <v/>
      </c>
      <c r="Y80" s="285"/>
      <c r="Z80" s="132" t="str">
        <f t="shared" ref="Z80" si="724">IF(Y80="","",IF($B$7="Menor valor",($E$4/$A$4)*($B80/Y80),IF(Y80&lt;=$B80,($E$4/$A$4)*(1-(($B80-Y80)/$B80)),($E$4*60%/$A$4)*(1-2*((ABS($B80-Y80))/$B80)))))</f>
        <v/>
      </c>
      <c r="AA80" s="129">
        <v>1</v>
      </c>
    </row>
    <row r="81" spans="1:27" s="129" customFormat="1" ht="21" customHeight="1">
      <c r="A81" s="204" t="str">
        <f>+'Presupuesto Consolidado'!A95</f>
        <v>2.3.8</v>
      </c>
      <c r="B81" s="130">
        <f t="shared" si="633"/>
        <v>376683</v>
      </c>
      <c r="C81" s="131">
        <f>IF($C$7="Habilitado",ROUND('Presupuesto Consolidado'!E95,2),"")</f>
        <v>376683</v>
      </c>
      <c r="D81" s="132">
        <f t="shared" si="644"/>
        <v>0.78125</v>
      </c>
      <c r="E81" s="131" t="str">
        <f>IF($E$7="Habilitado",ROUND('Presupuesto Consolidado'!L95,2),"")</f>
        <v/>
      </c>
      <c r="F81" s="132" t="str">
        <f t="shared" si="644"/>
        <v/>
      </c>
      <c r="G81" s="285"/>
      <c r="H81" s="132" t="str">
        <f t="shared" ref="H81" si="725">IF(G81="","",IF($B$7="Menor valor",($E$4/$A$4)*($B81/G81),IF(G81&lt;=$B81,($E$4/$A$4)*(1-(($B81-G81)/$B81)),($E$4*60%/$A$4)*(1-2*((ABS($B81-G81))/$B81)))))</f>
        <v/>
      </c>
      <c r="I81" s="285"/>
      <c r="J81" s="132" t="str">
        <f t="shared" ref="J81" si="726">IF(I81="","",IF($B$7="Menor valor",($E$4/$A$4)*($B81/I81),IF(I81&lt;=$B81,($E$4/$A$4)*(1-(($B81-I81)/$B81)),($E$4*60%/$A$4)*(1-2*((ABS($B81-I81))/$B81)))))</f>
        <v/>
      </c>
      <c r="K81" s="285"/>
      <c r="L81" s="132" t="str">
        <f t="shared" ref="L81" si="727">IF(K81="","",IF($B$7="Menor valor",($E$4/$A$4)*($B81/K81),IF(K81&lt;=$B81,($E$4/$A$4)*(1-(($B81-K81)/$B81)),($E$4*60%/$A$4)*(1-2*((ABS($B81-K81))/$B81)))))</f>
        <v/>
      </c>
      <c r="M81" s="285"/>
      <c r="N81" s="132" t="str">
        <f t="shared" ref="N81" si="728">IF(M81="","",IF($B$7="Menor valor",($E$4/$A$4)*($B81/M81),IF(M81&lt;=$B81,($E$4/$A$4)*(1-(($B81-M81)/$B81)),($E$4*60%/$A$4)*(1-2*((ABS($B81-M81))/$B81)))))</f>
        <v/>
      </c>
      <c r="O81" s="285"/>
      <c r="P81" s="132" t="str">
        <f t="shared" ref="P81" si="729">IF(O81="","",IF($B$7="Menor valor",($E$4/$A$4)*($B81/O81),IF(O81&lt;=$B81,($E$4/$A$4)*(1-(($B81-O81)/$B81)),($E$4*60%/$A$4)*(1-2*((ABS($B81-O81))/$B81)))))</f>
        <v/>
      </c>
      <c r="Q81" s="285"/>
      <c r="R81" s="132" t="str">
        <f t="shared" ref="R81" si="730">IF(Q81="","",IF($B$7="Menor valor",($E$4/$A$4)*($B81/Q81),IF(Q81&lt;=$B81,($E$4/$A$4)*(1-(($B81-Q81)/$B81)),($E$4*60%/$A$4)*(1-2*((ABS($B81-Q81))/$B81)))))</f>
        <v/>
      </c>
      <c r="S81" s="285"/>
      <c r="T81" s="132" t="str">
        <f t="shared" ref="T81" si="731">IF(S81="","",IF($B$7="Menor valor",($E$4/$A$4)*($B81/S81),IF(S81&lt;=$B81,($E$4/$A$4)*(1-(($B81-S81)/$B81)),($E$4*60%/$A$4)*(1-2*((ABS($B81-S81))/$B81)))))</f>
        <v/>
      </c>
      <c r="U81" s="285"/>
      <c r="V81" s="132" t="str">
        <f t="shared" ref="V81" si="732">IF(U81="","",IF($B$7="Menor valor",($E$4/$A$4)*($B81/U81),IF(U81&lt;=$B81,($E$4/$A$4)*(1-(($B81-U81)/$B81)),($E$4*60%/$A$4)*(1-2*((ABS($B81-U81))/$B81)))))</f>
        <v/>
      </c>
      <c r="W81" s="285"/>
      <c r="X81" s="132" t="str">
        <f t="shared" ref="X81" si="733">IF(W81="","",IF($B$7="Menor valor",($E$4/$A$4)*($B81/W81),IF(W81&lt;=$B81,($E$4/$A$4)*(1-(($B81-W81)/$B81)),($E$4*60%/$A$4)*(1-2*((ABS($B81-W81))/$B81)))))</f>
        <v/>
      </c>
      <c r="Y81" s="285"/>
      <c r="Z81" s="132" t="str">
        <f t="shared" ref="Z81" si="734">IF(Y81="","",IF($B$7="Menor valor",($E$4/$A$4)*($B81/Y81),IF(Y81&lt;=$B81,($E$4/$A$4)*(1-(($B81-Y81)/$B81)),($E$4*60%/$A$4)*(1-2*((ABS($B81-Y81))/$B81)))))</f>
        <v/>
      </c>
      <c r="AA81" s="129">
        <v>1</v>
      </c>
    </row>
    <row r="82" spans="1:27" s="129" customFormat="1" ht="21" customHeight="1">
      <c r="A82" s="204" t="str">
        <f>+'Presupuesto Consolidado'!A96</f>
        <v>2.3.9</v>
      </c>
      <c r="B82" s="130">
        <f t="shared" si="633"/>
        <v>629968</v>
      </c>
      <c r="C82" s="131">
        <f>IF($C$7="Habilitado",ROUND('Presupuesto Consolidado'!E96,2),"")</f>
        <v>629968</v>
      </c>
      <c r="D82" s="132">
        <f t="shared" si="644"/>
        <v>0.78125</v>
      </c>
      <c r="E82" s="131" t="str">
        <f>IF($E$7="Habilitado",ROUND('Presupuesto Consolidado'!L96,2),"")</f>
        <v/>
      </c>
      <c r="F82" s="132" t="str">
        <f t="shared" si="644"/>
        <v/>
      </c>
      <c r="G82" s="285"/>
      <c r="H82" s="132" t="str">
        <f t="shared" ref="H82" si="735">IF(G82="","",IF($B$7="Menor valor",($E$4/$A$4)*($B82/G82),IF(G82&lt;=$B82,($E$4/$A$4)*(1-(($B82-G82)/$B82)),($E$4*60%/$A$4)*(1-2*((ABS($B82-G82))/$B82)))))</f>
        <v/>
      </c>
      <c r="I82" s="285"/>
      <c r="J82" s="132" t="str">
        <f t="shared" ref="J82" si="736">IF(I82="","",IF($B$7="Menor valor",($E$4/$A$4)*($B82/I82),IF(I82&lt;=$B82,($E$4/$A$4)*(1-(($B82-I82)/$B82)),($E$4*60%/$A$4)*(1-2*((ABS($B82-I82))/$B82)))))</f>
        <v/>
      </c>
      <c r="K82" s="285"/>
      <c r="L82" s="132" t="str">
        <f t="shared" ref="L82" si="737">IF(K82="","",IF($B$7="Menor valor",($E$4/$A$4)*($B82/K82),IF(K82&lt;=$B82,($E$4/$A$4)*(1-(($B82-K82)/$B82)),($E$4*60%/$A$4)*(1-2*((ABS($B82-K82))/$B82)))))</f>
        <v/>
      </c>
      <c r="M82" s="285"/>
      <c r="N82" s="132" t="str">
        <f t="shared" ref="N82" si="738">IF(M82="","",IF($B$7="Menor valor",($E$4/$A$4)*($B82/M82),IF(M82&lt;=$B82,($E$4/$A$4)*(1-(($B82-M82)/$B82)),($E$4*60%/$A$4)*(1-2*((ABS($B82-M82))/$B82)))))</f>
        <v/>
      </c>
      <c r="O82" s="285"/>
      <c r="P82" s="132" t="str">
        <f t="shared" ref="P82" si="739">IF(O82="","",IF($B$7="Menor valor",($E$4/$A$4)*($B82/O82),IF(O82&lt;=$B82,($E$4/$A$4)*(1-(($B82-O82)/$B82)),($E$4*60%/$A$4)*(1-2*((ABS($B82-O82))/$B82)))))</f>
        <v/>
      </c>
      <c r="Q82" s="285"/>
      <c r="R82" s="132" t="str">
        <f t="shared" ref="R82" si="740">IF(Q82="","",IF($B$7="Menor valor",($E$4/$A$4)*($B82/Q82),IF(Q82&lt;=$B82,($E$4/$A$4)*(1-(($B82-Q82)/$B82)),($E$4*60%/$A$4)*(1-2*((ABS($B82-Q82))/$B82)))))</f>
        <v/>
      </c>
      <c r="S82" s="285"/>
      <c r="T82" s="132" t="str">
        <f t="shared" ref="T82" si="741">IF(S82="","",IF($B$7="Menor valor",($E$4/$A$4)*($B82/S82),IF(S82&lt;=$B82,($E$4/$A$4)*(1-(($B82-S82)/$B82)),($E$4*60%/$A$4)*(1-2*((ABS($B82-S82))/$B82)))))</f>
        <v/>
      </c>
      <c r="U82" s="285"/>
      <c r="V82" s="132" t="str">
        <f t="shared" ref="V82" si="742">IF(U82="","",IF($B$7="Menor valor",($E$4/$A$4)*($B82/U82),IF(U82&lt;=$B82,($E$4/$A$4)*(1-(($B82-U82)/$B82)),($E$4*60%/$A$4)*(1-2*((ABS($B82-U82))/$B82)))))</f>
        <v/>
      </c>
      <c r="W82" s="285"/>
      <c r="X82" s="132" t="str">
        <f t="shared" ref="X82" si="743">IF(W82="","",IF($B$7="Menor valor",($E$4/$A$4)*($B82/W82),IF(W82&lt;=$B82,($E$4/$A$4)*(1-(($B82-W82)/$B82)),($E$4*60%/$A$4)*(1-2*((ABS($B82-W82))/$B82)))))</f>
        <v/>
      </c>
      <c r="Y82" s="285"/>
      <c r="Z82" s="132" t="str">
        <f t="shared" ref="Z82" si="744">IF(Y82="","",IF($B$7="Menor valor",($E$4/$A$4)*($B82/Y82),IF(Y82&lt;=$B82,($E$4/$A$4)*(1-(($B82-Y82)/$B82)),($E$4*60%/$A$4)*(1-2*((ABS($B82-Y82))/$B82)))))</f>
        <v/>
      </c>
      <c r="AA82" s="129">
        <v>1</v>
      </c>
    </row>
    <row r="83" spans="1:27" s="129" customFormat="1" ht="21" customHeight="1">
      <c r="A83" s="204" t="str">
        <f>+'Presupuesto Consolidado'!A97</f>
        <v>2.3.10</v>
      </c>
      <c r="B83" s="130">
        <f t="shared" si="633"/>
        <v>773500</v>
      </c>
      <c r="C83" s="131">
        <f>IF($C$7="Habilitado",ROUND('Presupuesto Consolidado'!E97,2),"")</f>
        <v>773500</v>
      </c>
      <c r="D83" s="132">
        <f t="shared" si="644"/>
        <v>0.78125</v>
      </c>
      <c r="E83" s="131" t="str">
        <f>IF($E$7="Habilitado",ROUND('Presupuesto Consolidado'!L97,2),"")</f>
        <v/>
      </c>
      <c r="F83" s="132" t="str">
        <f t="shared" si="644"/>
        <v/>
      </c>
      <c r="G83" s="285"/>
      <c r="H83" s="132" t="str">
        <f t="shared" ref="H83" si="745">IF(G83="","",IF($B$7="Menor valor",($E$4/$A$4)*($B83/G83),IF(G83&lt;=$B83,($E$4/$A$4)*(1-(($B83-G83)/$B83)),($E$4*60%/$A$4)*(1-2*((ABS($B83-G83))/$B83)))))</f>
        <v/>
      </c>
      <c r="I83" s="285"/>
      <c r="J83" s="132" t="str">
        <f t="shared" ref="J83" si="746">IF(I83="","",IF($B$7="Menor valor",($E$4/$A$4)*($B83/I83),IF(I83&lt;=$B83,($E$4/$A$4)*(1-(($B83-I83)/$B83)),($E$4*60%/$A$4)*(1-2*((ABS($B83-I83))/$B83)))))</f>
        <v/>
      </c>
      <c r="K83" s="285"/>
      <c r="L83" s="132" t="str">
        <f t="shared" ref="L83" si="747">IF(K83="","",IF($B$7="Menor valor",($E$4/$A$4)*($B83/K83),IF(K83&lt;=$B83,($E$4/$A$4)*(1-(($B83-K83)/$B83)),($E$4*60%/$A$4)*(1-2*((ABS($B83-K83))/$B83)))))</f>
        <v/>
      </c>
      <c r="M83" s="285"/>
      <c r="N83" s="132" t="str">
        <f t="shared" ref="N83" si="748">IF(M83="","",IF($B$7="Menor valor",($E$4/$A$4)*($B83/M83),IF(M83&lt;=$B83,($E$4/$A$4)*(1-(($B83-M83)/$B83)),($E$4*60%/$A$4)*(1-2*((ABS($B83-M83))/$B83)))))</f>
        <v/>
      </c>
      <c r="O83" s="285"/>
      <c r="P83" s="132" t="str">
        <f t="shared" ref="P83" si="749">IF(O83="","",IF($B$7="Menor valor",($E$4/$A$4)*($B83/O83),IF(O83&lt;=$B83,($E$4/$A$4)*(1-(($B83-O83)/$B83)),($E$4*60%/$A$4)*(1-2*((ABS($B83-O83))/$B83)))))</f>
        <v/>
      </c>
      <c r="Q83" s="285"/>
      <c r="R83" s="132" t="str">
        <f t="shared" ref="R83" si="750">IF(Q83="","",IF($B$7="Menor valor",($E$4/$A$4)*($B83/Q83),IF(Q83&lt;=$B83,($E$4/$A$4)*(1-(($B83-Q83)/$B83)),($E$4*60%/$A$4)*(1-2*((ABS($B83-Q83))/$B83)))))</f>
        <v/>
      </c>
      <c r="S83" s="285"/>
      <c r="T83" s="132" t="str">
        <f t="shared" ref="T83" si="751">IF(S83="","",IF($B$7="Menor valor",($E$4/$A$4)*($B83/S83),IF(S83&lt;=$B83,($E$4/$A$4)*(1-(($B83-S83)/$B83)),($E$4*60%/$A$4)*(1-2*((ABS($B83-S83))/$B83)))))</f>
        <v/>
      </c>
      <c r="U83" s="285"/>
      <c r="V83" s="132" t="str">
        <f t="shared" ref="V83" si="752">IF(U83="","",IF($B$7="Menor valor",($E$4/$A$4)*($B83/U83),IF(U83&lt;=$B83,($E$4/$A$4)*(1-(($B83-U83)/$B83)),($E$4*60%/$A$4)*(1-2*((ABS($B83-U83))/$B83)))))</f>
        <v/>
      </c>
      <c r="W83" s="285"/>
      <c r="X83" s="132" t="str">
        <f t="shared" ref="X83" si="753">IF(W83="","",IF($B$7="Menor valor",($E$4/$A$4)*($B83/W83),IF(W83&lt;=$B83,($E$4/$A$4)*(1-(($B83-W83)/$B83)),($E$4*60%/$A$4)*(1-2*((ABS($B83-W83))/$B83)))))</f>
        <v/>
      </c>
      <c r="Y83" s="285"/>
      <c r="Z83" s="132" t="str">
        <f t="shared" ref="Z83" si="754">IF(Y83="","",IF($B$7="Menor valor",($E$4/$A$4)*($B83/Y83),IF(Y83&lt;=$B83,($E$4/$A$4)*(1-(($B83-Y83)/$B83)),($E$4*60%/$A$4)*(1-2*((ABS($B83-Y83))/$B83)))))</f>
        <v/>
      </c>
      <c r="AA83" s="129">
        <v>1</v>
      </c>
    </row>
    <row r="84" spans="1:27" s="129" customFormat="1" ht="21" customHeight="1">
      <c r="A84" s="204" t="str">
        <f>+'Presupuesto Consolidado'!A98</f>
        <v>2.3.11</v>
      </c>
      <c r="B84" s="130">
        <f t="shared" si="633"/>
        <v>39449</v>
      </c>
      <c r="C84" s="131">
        <f>IF($C$7="Habilitado",ROUND('Presupuesto Consolidado'!E98,2),"")</f>
        <v>39449</v>
      </c>
      <c r="D84" s="132">
        <f t="shared" si="644"/>
        <v>0.78125</v>
      </c>
      <c r="E84" s="131" t="str">
        <f>IF($E$7="Habilitado",ROUND('Presupuesto Consolidado'!L98,2),"")</f>
        <v/>
      </c>
      <c r="F84" s="132" t="str">
        <f t="shared" si="644"/>
        <v/>
      </c>
      <c r="G84" s="285"/>
      <c r="H84" s="132" t="str">
        <f t="shared" ref="H84" si="755">IF(G84="","",IF($B$7="Menor valor",($E$4/$A$4)*($B84/G84),IF(G84&lt;=$B84,($E$4/$A$4)*(1-(($B84-G84)/$B84)),($E$4*60%/$A$4)*(1-2*((ABS($B84-G84))/$B84)))))</f>
        <v/>
      </c>
      <c r="I84" s="285"/>
      <c r="J84" s="132" t="str">
        <f t="shared" ref="J84" si="756">IF(I84="","",IF($B$7="Menor valor",($E$4/$A$4)*($B84/I84),IF(I84&lt;=$B84,($E$4/$A$4)*(1-(($B84-I84)/$B84)),($E$4*60%/$A$4)*(1-2*((ABS($B84-I84))/$B84)))))</f>
        <v/>
      </c>
      <c r="K84" s="285"/>
      <c r="L84" s="132" t="str">
        <f t="shared" ref="L84" si="757">IF(K84="","",IF($B$7="Menor valor",($E$4/$A$4)*($B84/K84),IF(K84&lt;=$B84,($E$4/$A$4)*(1-(($B84-K84)/$B84)),($E$4*60%/$A$4)*(1-2*((ABS($B84-K84))/$B84)))))</f>
        <v/>
      </c>
      <c r="M84" s="285"/>
      <c r="N84" s="132" t="str">
        <f t="shared" ref="N84" si="758">IF(M84="","",IF($B$7="Menor valor",($E$4/$A$4)*($B84/M84),IF(M84&lt;=$B84,($E$4/$A$4)*(1-(($B84-M84)/$B84)),($E$4*60%/$A$4)*(1-2*((ABS($B84-M84))/$B84)))))</f>
        <v/>
      </c>
      <c r="O84" s="285"/>
      <c r="P84" s="132" t="str">
        <f t="shared" ref="P84" si="759">IF(O84="","",IF($B$7="Menor valor",($E$4/$A$4)*($B84/O84),IF(O84&lt;=$B84,($E$4/$A$4)*(1-(($B84-O84)/$B84)),($E$4*60%/$A$4)*(1-2*((ABS($B84-O84))/$B84)))))</f>
        <v/>
      </c>
      <c r="Q84" s="285"/>
      <c r="R84" s="132" t="str">
        <f t="shared" ref="R84" si="760">IF(Q84="","",IF($B$7="Menor valor",($E$4/$A$4)*($B84/Q84),IF(Q84&lt;=$B84,($E$4/$A$4)*(1-(($B84-Q84)/$B84)),($E$4*60%/$A$4)*(1-2*((ABS($B84-Q84))/$B84)))))</f>
        <v/>
      </c>
      <c r="S84" s="285"/>
      <c r="T84" s="132" t="str">
        <f t="shared" ref="T84" si="761">IF(S84="","",IF($B$7="Menor valor",($E$4/$A$4)*($B84/S84),IF(S84&lt;=$B84,($E$4/$A$4)*(1-(($B84-S84)/$B84)),($E$4*60%/$A$4)*(1-2*((ABS($B84-S84))/$B84)))))</f>
        <v/>
      </c>
      <c r="U84" s="285"/>
      <c r="V84" s="132" t="str">
        <f t="shared" ref="V84" si="762">IF(U84="","",IF($B$7="Menor valor",($E$4/$A$4)*($B84/U84),IF(U84&lt;=$B84,($E$4/$A$4)*(1-(($B84-U84)/$B84)),($E$4*60%/$A$4)*(1-2*((ABS($B84-U84))/$B84)))))</f>
        <v/>
      </c>
      <c r="W84" s="285"/>
      <c r="X84" s="132" t="str">
        <f t="shared" ref="X84" si="763">IF(W84="","",IF($B$7="Menor valor",($E$4/$A$4)*($B84/W84),IF(W84&lt;=$B84,($E$4/$A$4)*(1-(($B84-W84)/$B84)),($E$4*60%/$A$4)*(1-2*((ABS($B84-W84))/$B84)))))</f>
        <v/>
      </c>
      <c r="Y84" s="285"/>
      <c r="Z84" s="132" t="str">
        <f t="shared" ref="Z84" si="764">IF(Y84="","",IF($B$7="Menor valor",($E$4/$A$4)*($B84/Y84),IF(Y84&lt;=$B84,($E$4/$A$4)*(1-(($B84-Y84)/$B84)),($E$4*60%/$A$4)*(1-2*((ABS($B84-Y84))/$B84)))))</f>
        <v/>
      </c>
      <c r="AA84" s="129">
        <v>1</v>
      </c>
    </row>
    <row r="85" spans="1:27" s="129" customFormat="1" ht="21" customHeight="1">
      <c r="A85" s="204" t="str">
        <f>+'Presupuesto Consolidado'!A99</f>
        <v>2.3.12</v>
      </c>
      <c r="B85" s="130">
        <f t="shared" si="633"/>
        <v>4377214</v>
      </c>
      <c r="C85" s="131">
        <f>IF($C$7="Habilitado",ROUND('Presupuesto Consolidado'!E99,2),"")</f>
        <v>4377214</v>
      </c>
      <c r="D85" s="132">
        <f t="shared" si="644"/>
        <v>0.78125</v>
      </c>
      <c r="E85" s="131" t="str">
        <f>IF($E$7="Habilitado",ROUND('Presupuesto Consolidado'!L99,2),"")</f>
        <v/>
      </c>
      <c r="F85" s="132" t="str">
        <f t="shared" si="644"/>
        <v/>
      </c>
      <c r="G85" s="285"/>
      <c r="H85" s="132" t="str">
        <f t="shared" ref="H85" si="765">IF(G85="","",IF($B$7="Menor valor",($E$4/$A$4)*($B85/G85),IF(G85&lt;=$B85,($E$4/$A$4)*(1-(($B85-G85)/$B85)),($E$4*60%/$A$4)*(1-2*((ABS($B85-G85))/$B85)))))</f>
        <v/>
      </c>
      <c r="I85" s="285"/>
      <c r="J85" s="132" t="str">
        <f t="shared" ref="J85" si="766">IF(I85="","",IF($B$7="Menor valor",($E$4/$A$4)*($B85/I85),IF(I85&lt;=$B85,($E$4/$A$4)*(1-(($B85-I85)/$B85)),($E$4*60%/$A$4)*(1-2*((ABS($B85-I85))/$B85)))))</f>
        <v/>
      </c>
      <c r="K85" s="285"/>
      <c r="L85" s="132" t="str">
        <f t="shared" ref="L85" si="767">IF(K85="","",IF($B$7="Menor valor",($E$4/$A$4)*($B85/K85),IF(K85&lt;=$B85,($E$4/$A$4)*(1-(($B85-K85)/$B85)),($E$4*60%/$A$4)*(1-2*((ABS($B85-K85))/$B85)))))</f>
        <v/>
      </c>
      <c r="M85" s="285"/>
      <c r="N85" s="132" t="str">
        <f t="shared" ref="N85" si="768">IF(M85="","",IF($B$7="Menor valor",($E$4/$A$4)*($B85/M85),IF(M85&lt;=$B85,($E$4/$A$4)*(1-(($B85-M85)/$B85)),($E$4*60%/$A$4)*(1-2*((ABS($B85-M85))/$B85)))))</f>
        <v/>
      </c>
      <c r="O85" s="285"/>
      <c r="P85" s="132" t="str">
        <f t="shared" ref="P85" si="769">IF(O85="","",IF($B$7="Menor valor",($E$4/$A$4)*($B85/O85),IF(O85&lt;=$B85,($E$4/$A$4)*(1-(($B85-O85)/$B85)),($E$4*60%/$A$4)*(1-2*((ABS($B85-O85))/$B85)))))</f>
        <v/>
      </c>
      <c r="Q85" s="285"/>
      <c r="R85" s="132" t="str">
        <f t="shared" ref="R85" si="770">IF(Q85="","",IF($B$7="Menor valor",($E$4/$A$4)*($B85/Q85),IF(Q85&lt;=$B85,($E$4/$A$4)*(1-(($B85-Q85)/$B85)),($E$4*60%/$A$4)*(1-2*((ABS($B85-Q85))/$B85)))))</f>
        <v/>
      </c>
      <c r="S85" s="285"/>
      <c r="T85" s="132" t="str">
        <f t="shared" ref="T85" si="771">IF(S85="","",IF($B$7="Menor valor",($E$4/$A$4)*($B85/S85),IF(S85&lt;=$B85,($E$4/$A$4)*(1-(($B85-S85)/$B85)),($E$4*60%/$A$4)*(1-2*((ABS($B85-S85))/$B85)))))</f>
        <v/>
      </c>
      <c r="U85" s="285"/>
      <c r="V85" s="132" t="str">
        <f t="shared" ref="V85" si="772">IF(U85="","",IF($B$7="Menor valor",($E$4/$A$4)*($B85/U85),IF(U85&lt;=$B85,($E$4/$A$4)*(1-(($B85-U85)/$B85)),($E$4*60%/$A$4)*(1-2*((ABS($B85-U85))/$B85)))))</f>
        <v/>
      </c>
      <c r="W85" s="285"/>
      <c r="X85" s="132" t="str">
        <f t="shared" ref="X85" si="773">IF(W85="","",IF($B$7="Menor valor",($E$4/$A$4)*($B85/W85),IF(W85&lt;=$B85,($E$4/$A$4)*(1-(($B85-W85)/$B85)),($E$4*60%/$A$4)*(1-2*((ABS($B85-W85))/$B85)))))</f>
        <v/>
      </c>
      <c r="Y85" s="285"/>
      <c r="Z85" s="132" t="str">
        <f t="shared" ref="Z85" si="774">IF(Y85="","",IF($B$7="Menor valor",($E$4/$A$4)*($B85/Y85),IF(Y85&lt;=$B85,($E$4/$A$4)*(1-(($B85-Y85)/$B85)),($E$4*60%/$A$4)*(1-2*((ABS($B85-Y85))/$B85)))))</f>
        <v/>
      </c>
      <c r="AA85" s="129">
        <v>1</v>
      </c>
    </row>
    <row r="86" spans="1:27" s="129" customFormat="1" ht="21" customHeight="1">
      <c r="A86" s="204" t="str">
        <f>+'Presupuesto Consolidado'!A100</f>
        <v>2.3.13</v>
      </c>
      <c r="B86" s="130">
        <f t="shared" si="633"/>
        <v>53000000</v>
      </c>
      <c r="C86" s="131">
        <f>IF($C$7="Habilitado",ROUND('Presupuesto Consolidado'!E100,2),"")</f>
        <v>53000000</v>
      </c>
      <c r="D86" s="132">
        <f t="shared" si="644"/>
        <v>0.78125</v>
      </c>
      <c r="E86" s="131" t="str">
        <f>IF($E$7="Habilitado",ROUND('Presupuesto Consolidado'!L100,2),"")</f>
        <v/>
      </c>
      <c r="F86" s="132" t="str">
        <f t="shared" si="644"/>
        <v/>
      </c>
      <c r="G86" s="285"/>
      <c r="H86" s="132" t="str">
        <f t="shared" ref="H86" si="775">IF(G86="","",IF($B$7="Menor valor",($E$4/$A$4)*($B86/G86),IF(G86&lt;=$B86,($E$4/$A$4)*(1-(($B86-G86)/$B86)),($E$4*60%/$A$4)*(1-2*((ABS($B86-G86))/$B86)))))</f>
        <v/>
      </c>
      <c r="I86" s="285"/>
      <c r="J86" s="132" t="str">
        <f t="shared" ref="J86" si="776">IF(I86="","",IF($B$7="Menor valor",($E$4/$A$4)*($B86/I86),IF(I86&lt;=$B86,($E$4/$A$4)*(1-(($B86-I86)/$B86)),($E$4*60%/$A$4)*(1-2*((ABS($B86-I86))/$B86)))))</f>
        <v/>
      </c>
      <c r="K86" s="285"/>
      <c r="L86" s="132" t="str">
        <f t="shared" ref="L86" si="777">IF(K86="","",IF($B$7="Menor valor",($E$4/$A$4)*($B86/K86),IF(K86&lt;=$B86,($E$4/$A$4)*(1-(($B86-K86)/$B86)),($E$4*60%/$A$4)*(1-2*((ABS($B86-K86))/$B86)))))</f>
        <v/>
      </c>
      <c r="M86" s="285"/>
      <c r="N86" s="132" t="str">
        <f t="shared" ref="N86" si="778">IF(M86="","",IF($B$7="Menor valor",($E$4/$A$4)*($B86/M86),IF(M86&lt;=$B86,($E$4/$A$4)*(1-(($B86-M86)/$B86)),($E$4*60%/$A$4)*(1-2*((ABS($B86-M86))/$B86)))))</f>
        <v/>
      </c>
      <c r="O86" s="285"/>
      <c r="P86" s="132" t="str">
        <f t="shared" ref="P86" si="779">IF(O86="","",IF($B$7="Menor valor",($E$4/$A$4)*($B86/O86),IF(O86&lt;=$B86,($E$4/$A$4)*(1-(($B86-O86)/$B86)),($E$4*60%/$A$4)*(1-2*((ABS($B86-O86))/$B86)))))</f>
        <v/>
      </c>
      <c r="Q86" s="285"/>
      <c r="R86" s="132" t="str">
        <f t="shared" ref="R86" si="780">IF(Q86="","",IF($B$7="Menor valor",($E$4/$A$4)*($B86/Q86),IF(Q86&lt;=$B86,($E$4/$A$4)*(1-(($B86-Q86)/$B86)),($E$4*60%/$A$4)*(1-2*((ABS($B86-Q86))/$B86)))))</f>
        <v/>
      </c>
      <c r="S86" s="285"/>
      <c r="T86" s="132" t="str">
        <f t="shared" ref="T86" si="781">IF(S86="","",IF($B$7="Menor valor",($E$4/$A$4)*($B86/S86),IF(S86&lt;=$B86,($E$4/$A$4)*(1-(($B86-S86)/$B86)),($E$4*60%/$A$4)*(1-2*((ABS($B86-S86))/$B86)))))</f>
        <v/>
      </c>
      <c r="U86" s="285"/>
      <c r="V86" s="132" t="str">
        <f t="shared" ref="V86" si="782">IF(U86="","",IF($B$7="Menor valor",($E$4/$A$4)*($B86/U86),IF(U86&lt;=$B86,($E$4/$A$4)*(1-(($B86-U86)/$B86)),($E$4*60%/$A$4)*(1-2*((ABS($B86-U86))/$B86)))))</f>
        <v/>
      </c>
      <c r="W86" s="285"/>
      <c r="X86" s="132" t="str">
        <f t="shared" ref="X86" si="783">IF(W86="","",IF($B$7="Menor valor",($E$4/$A$4)*($B86/W86),IF(W86&lt;=$B86,($E$4/$A$4)*(1-(($B86-W86)/$B86)),($E$4*60%/$A$4)*(1-2*((ABS($B86-W86))/$B86)))))</f>
        <v/>
      </c>
      <c r="Y86" s="285"/>
      <c r="Z86" s="132" t="str">
        <f t="shared" ref="Z86" si="784">IF(Y86="","",IF($B$7="Menor valor",($E$4/$A$4)*($B86/Y86),IF(Y86&lt;=$B86,($E$4/$A$4)*(1-(($B86-Y86)/$B86)),($E$4*60%/$A$4)*(1-2*((ABS($B86-Y86))/$B86)))))</f>
        <v/>
      </c>
      <c r="AA86" s="129">
        <v>1</v>
      </c>
    </row>
    <row r="87" spans="1:27" s="129" customFormat="1" ht="21" customHeight="1">
      <c r="A87" s="204" t="str">
        <f>+'Presupuesto Consolidado'!A103</f>
        <v>3.1.1</v>
      </c>
      <c r="B87" s="130">
        <f t="shared" si="633"/>
        <v>161433</v>
      </c>
      <c r="C87" s="131">
        <f>IF($C$7="Habilitado",ROUND('Presupuesto Consolidado'!E103,2),"")</f>
        <v>161433</v>
      </c>
      <c r="D87" s="132">
        <f t="shared" si="644"/>
        <v>0.78125</v>
      </c>
      <c r="E87" s="131" t="str">
        <f>IF($E$7="Habilitado",ROUND('Presupuesto Consolidado'!L103,2),"")</f>
        <v/>
      </c>
      <c r="F87" s="132" t="str">
        <f t="shared" si="644"/>
        <v/>
      </c>
      <c r="G87" s="285"/>
      <c r="H87" s="132" t="str">
        <f t="shared" ref="H87" si="785">IF(G87="","",IF($B$7="Menor valor",($E$4/$A$4)*($B87/G87),IF(G87&lt;=$B87,($E$4/$A$4)*(1-(($B87-G87)/$B87)),($E$4*60%/$A$4)*(1-2*((ABS($B87-G87))/$B87)))))</f>
        <v/>
      </c>
      <c r="I87" s="285"/>
      <c r="J87" s="132" t="str">
        <f t="shared" ref="J87" si="786">IF(I87="","",IF($B$7="Menor valor",($E$4/$A$4)*($B87/I87),IF(I87&lt;=$B87,($E$4/$A$4)*(1-(($B87-I87)/$B87)),($E$4*60%/$A$4)*(1-2*((ABS($B87-I87))/$B87)))))</f>
        <v/>
      </c>
      <c r="K87" s="285"/>
      <c r="L87" s="132" t="str">
        <f t="shared" ref="L87" si="787">IF(K87="","",IF($B$7="Menor valor",($E$4/$A$4)*($B87/K87),IF(K87&lt;=$B87,($E$4/$A$4)*(1-(($B87-K87)/$B87)),($E$4*60%/$A$4)*(1-2*((ABS($B87-K87))/$B87)))))</f>
        <v/>
      </c>
      <c r="M87" s="285"/>
      <c r="N87" s="132" t="str">
        <f t="shared" ref="N87" si="788">IF(M87="","",IF($B$7="Menor valor",($E$4/$A$4)*($B87/M87),IF(M87&lt;=$B87,($E$4/$A$4)*(1-(($B87-M87)/$B87)),($E$4*60%/$A$4)*(1-2*((ABS($B87-M87))/$B87)))))</f>
        <v/>
      </c>
      <c r="O87" s="285"/>
      <c r="P87" s="132" t="str">
        <f t="shared" ref="P87" si="789">IF(O87="","",IF($B$7="Menor valor",($E$4/$A$4)*($B87/O87),IF(O87&lt;=$B87,($E$4/$A$4)*(1-(($B87-O87)/$B87)),($E$4*60%/$A$4)*(1-2*((ABS($B87-O87))/$B87)))))</f>
        <v/>
      </c>
      <c r="Q87" s="285"/>
      <c r="R87" s="132" t="str">
        <f t="shared" ref="R87" si="790">IF(Q87="","",IF($B$7="Menor valor",($E$4/$A$4)*($B87/Q87),IF(Q87&lt;=$B87,($E$4/$A$4)*(1-(($B87-Q87)/$B87)),($E$4*60%/$A$4)*(1-2*((ABS($B87-Q87))/$B87)))))</f>
        <v/>
      </c>
      <c r="S87" s="285"/>
      <c r="T87" s="132" t="str">
        <f t="shared" ref="T87" si="791">IF(S87="","",IF($B$7="Menor valor",($E$4/$A$4)*($B87/S87),IF(S87&lt;=$B87,($E$4/$A$4)*(1-(($B87-S87)/$B87)),($E$4*60%/$A$4)*(1-2*((ABS($B87-S87))/$B87)))))</f>
        <v/>
      </c>
      <c r="U87" s="285"/>
      <c r="V87" s="132" t="str">
        <f t="shared" ref="V87" si="792">IF(U87="","",IF($B$7="Menor valor",($E$4/$A$4)*($B87/U87),IF(U87&lt;=$B87,($E$4/$A$4)*(1-(($B87-U87)/$B87)),($E$4*60%/$A$4)*(1-2*((ABS($B87-U87))/$B87)))))</f>
        <v/>
      </c>
      <c r="W87" s="285"/>
      <c r="X87" s="132" t="str">
        <f t="shared" ref="X87" si="793">IF(W87="","",IF($B$7="Menor valor",($E$4/$A$4)*($B87/W87),IF(W87&lt;=$B87,($E$4/$A$4)*(1-(($B87-W87)/$B87)),($E$4*60%/$A$4)*(1-2*((ABS($B87-W87))/$B87)))))</f>
        <v/>
      </c>
      <c r="Y87" s="285"/>
      <c r="Z87" s="132" t="str">
        <f t="shared" ref="Z87" si="794">IF(Y87="","",IF($B$7="Menor valor",($E$4/$A$4)*($B87/Y87),IF(Y87&lt;=$B87,($E$4/$A$4)*(1-(($B87-Y87)/$B87)),($E$4*60%/$A$4)*(1-2*((ABS($B87-Y87))/$B87)))))</f>
        <v/>
      </c>
      <c r="AA87" s="129">
        <v>1</v>
      </c>
    </row>
    <row r="88" spans="1:27" s="129" customFormat="1" ht="21" customHeight="1">
      <c r="A88" s="204" t="str">
        <f>+'Presupuesto Consolidado'!A104</f>
        <v>3.1.2</v>
      </c>
      <c r="B88" s="130">
        <f t="shared" si="633"/>
        <v>161433</v>
      </c>
      <c r="C88" s="131">
        <f>IF($C$7="Habilitado",ROUND('Presupuesto Consolidado'!E104,2),"")</f>
        <v>161433</v>
      </c>
      <c r="D88" s="132">
        <f t="shared" si="644"/>
        <v>0.78125</v>
      </c>
      <c r="E88" s="131" t="str">
        <f>IF($E$7="Habilitado",ROUND('Presupuesto Consolidado'!L104,2),"")</f>
        <v/>
      </c>
      <c r="F88" s="132" t="str">
        <f t="shared" si="644"/>
        <v/>
      </c>
      <c r="G88" s="285"/>
      <c r="H88" s="132" t="str">
        <f t="shared" ref="H88" si="795">IF(G88="","",IF($B$7="Menor valor",($E$4/$A$4)*($B88/G88),IF(G88&lt;=$B88,($E$4/$A$4)*(1-(($B88-G88)/$B88)),($E$4*60%/$A$4)*(1-2*((ABS($B88-G88))/$B88)))))</f>
        <v/>
      </c>
      <c r="I88" s="285"/>
      <c r="J88" s="132" t="str">
        <f t="shared" ref="J88" si="796">IF(I88="","",IF($B$7="Menor valor",($E$4/$A$4)*($B88/I88),IF(I88&lt;=$B88,($E$4/$A$4)*(1-(($B88-I88)/$B88)),($E$4*60%/$A$4)*(1-2*((ABS($B88-I88))/$B88)))))</f>
        <v/>
      </c>
      <c r="K88" s="285"/>
      <c r="L88" s="132" t="str">
        <f t="shared" ref="L88" si="797">IF(K88="","",IF($B$7="Menor valor",($E$4/$A$4)*($B88/K88),IF(K88&lt;=$B88,($E$4/$A$4)*(1-(($B88-K88)/$B88)),($E$4*60%/$A$4)*(1-2*((ABS($B88-K88))/$B88)))))</f>
        <v/>
      </c>
      <c r="M88" s="285"/>
      <c r="N88" s="132" t="str">
        <f t="shared" ref="N88" si="798">IF(M88="","",IF($B$7="Menor valor",($E$4/$A$4)*($B88/M88),IF(M88&lt;=$B88,($E$4/$A$4)*(1-(($B88-M88)/$B88)),($E$4*60%/$A$4)*(1-2*((ABS($B88-M88))/$B88)))))</f>
        <v/>
      </c>
      <c r="O88" s="285"/>
      <c r="P88" s="132" t="str">
        <f t="shared" ref="P88" si="799">IF(O88="","",IF($B$7="Menor valor",($E$4/$A$4)*($B88/O88),IF(O88&lt;=$B88,($E$4/$A$4)*(1-(($B88-O88)/$B88)),($E$4*60%/$A$4)*(1-2*((ABS($B88-O88))/$B88)))))</f>
        <v/>
      </c>
      <c r="Q88" s="285"/>
      <c r="R88" s="132" t="str">
        <f t="shared" ref="R88" si="800">IF(Q88="","",IF($B$7="Menor valor",($E$4/$A$4)*($B88/Q88),IF(Q88&lt;=$B88,($E$4/$A$4)*(1-(($B88-Q88)/$B88)),($E$4*60%/$A$4)*(1-2*((ABS($B88-Q88))/$B88)))))</f>
        <v/>
      </c>
      <c r="S88" s="285"/>
      <c r="T88" s="132" t="str">
        <f t="shared" ref="T88" si="801">IF(S88="","",IF($B$7="Menor valor",($E$4/$A$4)*($B88/S88),IF(S88&lt;=$B88,($E$4/$A$4)*(1-(($B88-S88)/$B88)),($E$4*60%/$A$4)*(1-2*((ABS($B88-S88))/$B88)))))</f>
        <v/>
      </c>
      <c r="U88" s="285"/>
      <c r="V88" s="132" t="str">
        <f t="shared" ref="V88" si="802">IF(U88="","",IF($B$7="Menor valor",($E$4/$A$4)*($B88/U88),IF(U88&lt;=$B88,($E$4/$A$4)*(1-(($B88-U88)/$B88)),($E$4*60%/$A$4)*(1-2*((ABS($B88-U88))/$B88)))))</f>
        <v/>
      </c>
      <c r="W88" s="285"/>
      <c r="X88" s="132" t="str">
        <f t="shared" ref="X88" si="803">IF(W88="","",IF($B$7="Menor valor",($E$4/$A$4)*($B88/W88),IF(W88&lt;=$B88,($E$4/$A$4)*(1-(($B88-W88)/$B88)),($E$4*60%/$A$4)*(1-2*((ABS($B88-W88))/$B88)))))</f>
        <v/>
      </c>
      <c r="Y88" s="285"/>
      <c r="Z88" s="132" t="str">
        <f t="shared" ref="Z88" si="804">IF(Y88="","",IF($B$7="Menor valor",($E$4/$A$4)*($B88/Y88),IF(Y88&lt;=$B88,($E$4/$A$4)*(1-(($B88-Y88)/$B88)),($E$4*60%/$A$4)*(1-2*((ABS($B88-Y88))/$B88)))))</f>
        <v/>
      </c>
      <c r="AA88" s="129">
        <v>1</v>
      </c>
    </row>
    <row r="89" spans="1:27" s="129" customFormat="1" ht="21" customHeight="1">
      <c r="A89" s="204" t="str">
        <f>+'Presupuesto Consolidado'!A106</f>
        <v>3.2.1</v>
      </c>
      <c r="B89" s="130">
        <f t="shared" si="633"/>
        <v>3597</v>
      </c>
      <c r="C89" s="131">
        <f>IF($C$7="Habilitado",ROUND('Presupuesto Consolidado'!E106,2),"")</f>
        <v>3597</v>
      </c>
      <c r="D89" s="132">
        <f t="shared" si="644"/>
        <v>0.78125</v>
      </c>
      <c r="E89" s="131" t="str">
        <f>IF($E$7="Habilitado",ROUND('Presupuesto Consolidado'!L106,2),"")</f>
        <v/>
      </c>
      <c r="F89" s="132" t="str">
        <f t="shared" si="644"/>
        <v/>
      </c>
      <c r="G89" s="285"/>
      <c r="H89" s="132" t="str">
        <f t="shared" ref="H89" si="805">IF(G89="","",IF($B$7="Menor valor",($E$4/$A$4)*($B89/G89),IF(G89&lt;=$B89,($E$4/$A$4)*(1-(($B89-G89)/$B89)),($E$4*60%/$A$4)*(1-2*((ABS($B89-G89))/$B89)))))</f>
        <v/>
      </c>
      <c r="I89" s="285"/>
      <c r="J89" s="132" t="str">
        <f t="shared" ref="J89" si="806">IF(I89="","",IF($B$7="Menor valor",($E$4/$A$4)*($B89/I89),IF(I89&lt;=$B89,($E$4/$A$4)*(1-(($B89-I89)/$B89)),($E$4*60%/$A$4)*(1-2*((ABS($B89-I89))/$B89)))))</f>
        <v/>
      </c>
      <c r="K89" s="285"/>
      <c r="L89" s="132" t="str">
        <f t="shared" ref="L89" si="807">IF(K89="","",IF($B$7="Menor valor",($E$4/$A$4)*($B89/K89),IF(K89&lt;=$B89,($E$4/$A$4)*(1-(($B89-K89)/$B89)),($E$4*60%/$A$4)*(1-2*((ABS($B89-K89))/$B89)))))</f>
        <v/>
      </c>
      <c r="M89" s="285"/>
      <c r="N89" s="132" t="str">
        <f t="shared" ref="N89" si="808">IF(M89="","",IF($B$7="Menor valor",($E$4/$A$4)*($B89/M89),IF(M89&lt;=$B89,($E$4/$A$4)*(1-(($B89-M89)/$B89)),($E$4*60%/$A$4)*(1-2*((ABS($B89-M89))/$B89)))))</f>
        <v/>
      </c>
      <c r="O89" s="285"/>
      <c r="P89" s="132" t="str">
        <f t="shared" ref="P89" si="809">IF(O89="","",IF($B$7="Menor valor",($E$4/$A$4)*($B89/O89),IF(O89&lt;=$B89,($E$4/$A$4)*(1-(($B89-O89)/$B89)),($E$4*60%/$A$4)*(1-2*((ABS($B89-O89))/$B89)))))</f>
        <v/>
      </c>
      <c r="Q89" s="285"/>
      <c r="R89" s="132" t="str">
        <f t="shared" ref="R89" si="810">IF(Q89="","",IF($B$7="Menor valor",($E$4/$A$4)*($B89/Q89),IF(Q89&lt;=$B89,($E$4/$A$4)*(1-(($B89-Q89)/$B89)),($E$4*60%/$A$4)*(1-2*((ABS($B89-Q89))/$B89)))))</f>
        <v/>
      </c>
      <c r="S89" s="285"/>
      <c r="T89" s="132" t="str">
        <f t="shared" ref="T89" si="811">IF(S89="","",IF($B$7="Menor valor",($E$4/$A$4)*($B89/S89),IF(S89&lt;=$B89,($E$4/$A$4)*(1-(($B89-S89)/$B89)),($E$4*60%/$A$4)*(1-2*((ABS($B89-S89))/$B89)))))</f>
        <v/>
      </c>
      <c r="U89" s="285"/>
      <c r="V89" s="132" t="str">
        <f t="shared" ref="V89" si="812">IF(U89="","",IF($B$7="Menor valor",($E$4/$A$4)*($B89/U89),IF(U89&lt;=$B89,($E$4/$A$4)*(1-(($B89-U89)/$B89)),($E$4*60%/$A$4)*(1-2*((ABS($B89-U89))/$B89)))))</f>
        <v/>
      </c>
      <c r="W89" s="285"/>
      <c r="X89" s="132" t="str">
        <f t="shared" ref="X89" si="813">IF(W89="","",IF($B$7="Menor valor",($E$4/$A$4)*($B89/W89),IF(W89&lt;=$B89,($E$4/$A$4)*(1-(($B89-W89)/$B89)),($E$4*60%/$A$4)*(1-2*((ABS($B89-W89))/$B89)))))</f>
        <v/>
      </c>
      <c r="Y89" s="285"/>
      <c r="Z89" s="132" t="str">
        <f t="shared" ref="Z89" si="814">IF(Y89="","",IF($B$7="Menor valor",($E$4/$A$4)*($B89/Y89),IF(Y89&lt;=$B89,($E$4/$A$4)*(1-(($B89-Y89)/$B89)),($E$4*60%/$A$4)*(1-2*((ABS($B89-Y89))/$B89)))))</f>
        <v/>
      </c>
      <c r="AA89" s="129">
        <v>1</v>
      </c>
    </row>
    <row r="90" spans="1:27" s="129" customFormat="1" ht="21" customHeight="1">
      <c r="A90" s="204" t="str">
        <f>+'Presupuesto Consolidado'!A107</f>
        <v>3.2.2</v>
      </c>
      <c r="B90" s="130">
        <f t="shared" si="633"/>
        <v>4795</v>
      </c>
      <c r="C90" s="131">
        <f>IF($C$7="Habilitado",ROUND('Presupuesto Consolidado'!E107,2),"")</f>
        <v>4795</v>
      </c>
      <c r="D90" s="132">
        <f t="shared" si="644"/>
        <v>0.78125</v>
      </c>
      <c r="E90" s="131" t="str">
        <f>IF($E$7="Habilitado",ROUND('Presupuesto Consolidado'!L107,2),"")</f>
        <v/>
      </c>
      <c r="F90" s="132" t="str">
        <f t="shared" si="644"/>
        <v/>
      </c>
      <c r="G90" s="285"/>
      <c r="H90" s="132" t="str">
        <f t="shared" ref="H90" si="815">IF(G90="","",IF($B$7="Menor valor",($E$4/$A$4)*($B90/G90),IF(G90&lt;=$B90,($E$4/$A$4)*(1-(($B90-G90)/$B90)),($E$4*60%/$A$4)*(1-2*((ABS($B90-G90))/$B90)))))</f>
        <v/>
      </c>
      <c r="I90" s="285"/>
      <c r="J90" s="132" t="str">
        <f t="shared" ref="J90" si="816">IF(I90="","",IF($B$7="Menor valor",($E$4/$A$4)*($B90/I90),IF(I90&lt;=$B90,($E$4/$A$4)*(1-(($B90-I90)/$B90)),($E$4*60%/$A$4)*(1-2*((ABS($B90-I90))/$B90)))))</f>
        <v/>
      </c>
      <c r="K90" s="285"/>
      <c r="L90" s="132" t="str">
        <f t="shared" ref="L90" si="817">IF(K90="","",IF($B$7="Menor valor",($E$4/$A$4)*($B90/K90),IF(K90&lt;=$B90,($E$4/$A$4)*(1-(($B90-K90)/$B90)),($E$4*60%/$A$4)*(1-2*((ABS($B90-K90))/$B90)))))</f>
        <v/>
      </c>
      <c r="M90" s="285"/>
      <c r="N90" s="132" t="str">
        <f t="shared" ref="N90" si="818">IF(M90="","",IF($B$7="Menor valor",($E$4/$A$4)*($B90/M90),IF(M90&lt;=$B90,($E$4/$A$4)*(1-(($B90-M90)/$B90)),($E$4*60%/$A$4)*(1-2*((ABS($B90-M90))/$B90)))))</f>
        <v/>
      </c>
      <c r="O90" s="285"/>
      <c r="P90" s="132" t="str">
        <f t="shared" ref="P90" si="819">IF(O90="","",IF($B$7="Menor valor",($E$4/$A$4)*($B90/O90),IF(O90&lt;=$B90,($E$4/$A$4)*(1-(($B90-O90)/$B90)),($E$4*60%/$A$4)*(1-2*((ABS($B90-O90))/$B90)))))</f>
        <v/>
      </c>
      <c r="Q90" s="285"/>
      <c r="R90" s="132" t="str">
        <f t="shared" ref="R90" si="820">IF(Q90="","",IF($B$7="Menor valor",($E$4/$A$4)*($B90/Q90),IF(Q90&lt;=$B90,($E$4/$A$4)*(1-(($B90-Q90)/$B90)),($E$4*60%/$A$4)*(1-2*((ABS($B90-Q90))/$B90)))))</f>
        <v/>
      </c>
      <c r="S90" s="285"/>
      <c r="T90" s="132" t="str">
        <f t="shared" ref="T90" si="821">IF(S90="","",IF($B$7="Menor valor",($E$4/$A$4)*($B90/S90),IF(S90&lt;=$B90,($E$4/$A$4)*(1-(($B90-S90)/$B90)),($E$4*60%/$A$4)*(1-2*((ABS($B90-S90))/$B90)))))</f>
        <v/>
      </c>
      <c r="U90" s="285"/>
      <c r="V90" s="132" t="str">
        <f t="shared" ref="V90" si="822">IF(U90="","",IF($B$7="Menor valor",($E$4/$A$4)*($B90/U90),IF(U90&lt;=$B90,($E$4/$A$4)*(1-(($B90-U90)/$B90)),($E$4*60%/$A$4)*(1-2*((ABS($B90-U90))/$B90)))))</f>
        <v/>
      </c>
      <c r="W90" s="285"/>
      <c r="X90" s="132" t="str">
        <f t="shared" ref="X90" si="823">IF(W90="","",IF($B$7="Menor valor",($E$4/$A$4)*($B90/W90),IF(W90&lt;=$B90,($E$4/$A$4)*(1-(($B90-W90)/$B90)),($E$4*60%/$A$4)*(1-2*((ABS($B90-W90))/$B90)))))</f>
        <v/>
      </c>
      <c r="Y90" s="285"/>
      <c r="Z90" s="132" t="str">
        <f t="shared" ref="Z90" si="824">IF(Y90="","",IF($B$7="Menor valor",($E$4/$A$4)*($B90/Y90),IF(Y90&lt;=$B90,($E$4/$A$4)*(1-(($B90-Y90)/$B90)),($E$4*60%/$A$4)*(1-2*((ABS($B90-Y90))/$B90)))))</f>
        <v/>
      </c>
      <c r="AA90" s="129">
        <v>1</v>
      </c>
    </row>
    <row r="91" spans="1:27" s="129" customFormat="1" ht="21" customHeight="1">
      <c r="A91" s="204" t="str">
        <f>+'Presupuesto Consolidado'!A108</f>
        <v>3.2.3</v>
      </c>
      <c r="B91" s="130">
        <f t="shared" si="633"/>
        <v>6352</v>
      </c>
      <c r="C91" s="131">
        <f>IF($C$7="Habilitado",ROUND('Presupuesto Consolidado'!E108,2),"")</f>
        <v>6352</v>
      </c>
      <c r="D91" s="132">
        <f t="shared" si="644"/>
        <v>0.78125</v>
      </c>
      <c r="E91" s="131" t="str">
        <f>IF($E$7="Habilitado",ROUND('Presupuesto Consolidado'!L108,2),"")</f>
        <v/>
      </c>
      <c r="F91" s="132" t="str">
        <f t="shared" si="644"/>
        <v/>
      </c>
      <c r="G91" s="285"/>
      <c r="H91" s="132" t="str">
        <f t="shared" ref="H91" si="825">IF(G91="","",IF($B$7="Menor valor",($E$4/$A$4)*($B91/G91),IF(G91&lt;=$B91,($E$4/$A$4)*(1-(($B91-G91)/$B91)),($E$4*60%/$A$4)*(1-2*((ABS($B91-G91))/$B91)))))</f>
        <v/>
      </c>
      <c r="I91" s="285"/>
      <c r="J91" s="132" t="str">
        <f t="shared" ref="J91" si="826">IF(I91="","",IF($B$7="Menor valor",($E$4/$A$4)*($B91/I91),IF(I91&lt;=$B91,($E$4/$A$4)*(1-(($B91-I91)/$B91)),($E$4*60%/$A$4)*(1-2*((ABS($B91-I91))/$B91)))))</f>
        <v/>
      </c>
      <c r="K91" s="285"/>
      <c r="L91" s="132" t="str">
        <f t="shared" ref="L91" si="827">IF(K91="","",IF($B$7="Menor valor",($E$4/$A$4)*($B91/K91),IF(K91&lt;=$B91,($E$4/$A$4)*(1-(($B91-K91)/$B91)),($E$4*60%/$A$4)*(1-2*((ABS($B91-K91))/$B91)))))</f>
        <v/>
      </c>
      <c r="M91" s="285"/>
      <c r="N91" s="132" t="str">
        <f t="shared" ref="N91" si="828">IF(M91="","",IF($B$7="Menor valor",($E$4/$A$4)*($B91/M91),IF(M91&lt;=$B91,($E$4/$A$4)*(1-(($B91-M91)/$B91)),($E$4*60%/$A$4)*(1-2*((ABS($B91-M91))/$B91)))))</f>
        <v/>
      </c>
      <c r="O91" s="285"/>
      <c r="P91" s="132" t="str">
        <f t="shared" ref="P91" si="829">IF(O91="","",IF($B$7="Menor valor",($E$4/$A$4)*($B91/O91),IF(O91&lt;=$B91,($E$4/$A$4)*(1-(($B91-O91)/$B91)),($E$4*60%/$A$4)*(1-2*((ABS($B91-O91))/$B91)))))</f>
        <v/>
      </c>
      <c r="Q91" s="285"/>
      <c r="R91" s="132" t="str">
        <f t="shared" ref="R91" si="830">IF(Q91="","",IF($B$7="Menor valor",($E$4/$A$4)*($B91/Q91),IF(Q91&lt;=$B91,($E$4/$A$4)*(1-(($B91-Q91)/$B91)),($E$4*60%/$A$4)*(1-2*((ABS($B91-Q91))/$B91)))))</f>
        <v/>
      </c>
      <c r="S91" s="285"/>
      <c r="T91" s="132" t="str">
        <f t="shared" ref="T91" si="831">IF(S91="","",IF($B$7="Menor valor",($E$4/$A$4)*($B91/S91),IF(S91&lt;=$B91,($E$4/$A$4)*(1-(($B91-S91)/$B91)),($E$4*60%/$A$4)*(1-2*((ABS($B91-S91))/$B91)))))</f>
        <v/>
      </c>
      <c r="U91" s="285"/>
      <c r="V91" s="132" t="str">
        <f t="shared" ref="V91" si="832">IF(U91="","",IF($B$7="Menor valor",($E$4/$A$4)*($B91/U91),IF(U91&lt;=$B91,($E$4/$A$4)*(1-(($B91-U91)/$B91)),($E$4*60%/$A$4)*(1-2*((ABS($B91-U91))/$B91)))))</f>
        <v/>
      </c>
      <c r="W91" s="285"/>
      <c r="X91" s="132" t="str">
        <f t="shared" ref="X91" si="833">IF(W91="","",IF($B$7="Menor valor",($E$4/$A$4)*($B91/W91),IF(W91&lt;=$B91,($E$4/$A$4)*(1-(($B91-W91)/$B91)),($E$4*60%/$A$4)*(1-2*((ABS($B91-W91))/$B91)))))</f>
        <v/>
      </c>
      <c r="Y91" s="285"/>
      <c r="Z91" s="132" t="str">
        <f t="shared" ref="Z91" si="834">IF(Y91="","",IF($B$7="Menor valor",($E$4/$A$4)*($B91/Y91),IF(Y91&lt;=$B91,($E$4/$A$4)*(1-(($B91-Y91)/$B91)),($E$4*60%/$A$4)*(1-2*((ABS($B91-Y91))/$B91)))))</f>
        <v/>
      </c>
      <c r="AA91" s="129">
        <v>1</v>
      </c>
    </row>
    <row r="92" spans="1:27" s="129" customFormat="1" ht="21" customHeight="1">
      <c r="A92" s="204" t="str">
        <f>+'Presupuesto Consolidado'!A109</f>
        <v>3.2.4</v>
      </c>
      <c r="B92" s="130">
        <f t="shared" si="633"/>
        <v>8948</v>
      </c>
      <c r="C92" s="131">
        <f>IF($C$7="Habilitado",ROUND('Presupuesto Consolidado'!E109,2),"")</f>
        <v>8948</v>
      </c>
      <c r="D92" s="132">
        <f t="shared" si="644"/>
        <v>0.78125</v>
      </c>
      <c r="E92" s="131" t="str">
        <f>IF($E$7="Habilitado",ROUND('Presupuesto Consolidado'!L109,2),"")</f>
        <v/>
      </c>
      <c r="F92" s="132" t="str">
        <f t="shared" si="644"/>
        <v/>
      </c>
      <c r="G92" s="285"/>
      <c r="H92" s="132" t="str">
        <f t="shared" ref="H92" si="835">IF(G92="","",IF($B$7="Menor valor",($E$4/$A$4)*($B92/G92),IF(G92&lt;=$B92,($E$4/$A$4)*(1-(($B92-G92)/$B92)),($E$4*60%/$A$4)*(1-2*((ABS($B92-G92))/$B92)))))</f>
        <v/>
      </c>
      <c r="I92" s="285"/>
      <c r="J92" s="132" t="str">
        <f t="shared" ref="J92" si="836">IF(I92="","",IF($B$7="Menor valor",($E$4/$A$4)*($B92/I92),IF(I92&lt;=$B92,($E$4/$A$4)*(1-(($B92-I92)/$B92)),($E$4*60%/$A$4)*(1-2*((ABS($B92-I92))/$B92)))))</f>
        <v/>
      </c>
      <c r="K92" s="285"/>
      <c r="L92" s="132" t="str">
        <f t="shared" ref="L92" si="837">IF(K92="","",IF($B$7="Menor valor",($E$4/$A$4)*($B92/K92),IF(K92&lt;=$B92,($E$4/$A$4)*(1-(($B92-K92)/$B92)),($E$4*60%/$A$4)*(1-2*((ABS($B92-K92))/$B92)))))</f>
        <v/>
      </c>
      <c r="M92" s="285"/>
      <c r="N92" s="132" t="str">
        <f t="shared" ref="N92" si="838">IF(M92="","",IF($B$7="Menor valor",($E$4/$A$4)*($B92/M92),IF(M92&lt;=$B92,($E$4/$A$4)*(1-(($B92-M92)/$B92)),($E$4*60%/$A$4)*(1-2*((ABS($B92-M92))/$B92)))))</f>
        <v/>
      </c>
      <c r="O92" s="285"/>
      <c r="P92" s="132" t="str">
        <f t="shared" ref="P92" si="839">IF(O92="","",IF($B$7="Menor valor",($E$4/$A$4)*($B92/O92),IF(O92&lt;=$B92,($E$4/$A$4)*(1-(($B92-O92)/$B92)),($E$4*60%/$A$4)*(1-2*((ABS($B92-O92))/$B92)))))</f>
        <v/>
      </c>
      <c r="Q92" s="285"/>
      <c r="R92" s="132" t="str">
        <f t="shared" ref="R92" si="840">IF(Q92="","",IF($B$7="Menor valor",($E$4/$A$4)*($B92/Q92),IF(Q92&lt;=$B92,($E$4/$A$4)*(1-(($B92-Q92)/$B92)),($E$4*60%/$A$4)*(1-2*((ABS($B92-Q92))/$B92)))))</f>
        <v/>
      </c>
      <c r="S92" s="285"/>
      <c r="T92" s="132" t="str">
        <f t="shared" ref="T92" si="841">IF(S92="","",IF($B$7="Menor valor",($E$4/$A$4)*($B92/S92),IF(S92&lt;=$B92,($E$4/$A$4)*(1-(($B92-S92)/$B92)),($E$4*60%/$A$4)*(1-2*((ABS($B92-S92))/$B92)))))</f>
        <v/>
      </c>
      <c r="U92" s="285"/>
      <c r="V92" s="132" t="str">
        <f t="shared" ref="V92" si="842">IF(U92="","",IF($B$7="Menor valor",($E$4/$A$4)*($B92/U92),IF(U92&lt;=$B92,($E$4/$A$4)*(1-(($B92-U92)/$B92)),($E$4*60%/$A$4)*(1-2*((ABS($B92-U92))/$B92)))))</f>
        <v/>
      </c>
      <c r="W92" s="285"/>
      <c r="X92" s="132" t="str">
        <f t="shared" ref="X92" si="843">IF(W92="","",IF($B$7="Menor valor",($E$4/$A$4)*($B92/W92),IF(W92&lt;=$B92,($E$4/$A$4)*(1-(($B92-W92)/$B92)),($E$4*60%/$A$4)*(1-2*((ABS($B92-W92))/$B92)))))</f>
        <v/>
      </c>
      <c r="Y92" s="285"/>
      <c r="Z92" s="132" t="str">
        <f t="shared" ref="Z92" si="844">IF(Y92="","",IF($B$7="Menor valor",($E$4/$A$4)*($B92/Y92),IF(Y92&lt;=$B92,($E$4/$A$4)*(1-(($B92-Y92)/$B92)),($E$4*60%/$A$4)*(1-2*((ABS($B92-Y92))/$B92)))))</f>
        <v/>
      </c>
      <c r="AA92" s="129">
        <v>1</v>
      </c>
    </row>
    <row r="93" spans="1:27" s="129" customFormat="1" ht="21" customHeight="1">
      <c r="A93" s="204" t="str">
        <f>+'Presupuesto Consolidado'!A110</f>
        <v>3.2.5</v>
      </c>
      <c r="B93" s="130">
        <f t="shared" si="633"/>
        <v>12968</v>
      </c>
      <c r="C93" s="131">
        <f>IF($C$7="Habilitado",ROUND('Presupuesto Consolidado'!E110,2),"")</f>
        <v>12968</v>
      </c>
      <c r="D93" s="132">
        <f t="shared" si="644"/>
        <v>0.78125</v>
      </c>
      <c r="E93" s="131" t="str">
        <f>IF($E$7="Habilitado",ROUND('Presupuesto Consolidado'!L110,2),"")</f>
        <v/>
      </c>
      <c r="F93" s="132" t="str">
        <f t="shared" si="644"/>
        <v/>
      </c>
      <c r="G93" s="285"/>
      <c r="H93" s="132" t="str">
        <f t="shared" ref="H93" si="845">IF(G93="","",IF($B$7="Menor valor",($E$4/$A$4)*($B93/G93),IF(G93&lt;=$B93,($E$4/$A$4)*(1-(($B93-G93)/$B93)),($E$4*60%/$A$4)*(1-2*((ABS($B93-G93))/$B93)))))</f>
        <v/>
      </c>
      <c r="I93" s="285"/>
      <c r="J93" s="132" t="str">
        <f t="shared" ref="J93" si="846">IF(I93="","",IF($B$7="Menor valor",($E$4/$A$4)*($B93/I93),IF(I93&lt;=$B93,($E$4/$A$4)*(1-(($B93-I93)/$B93)),($E$4*60%/$A$4)*(1-2*((ABS($B93-I93))/$B93)))))</f>
        <v/>
      </c>
      <c r="K93" s="285"/>
      <c r="L93" s="132" t="str">
        <f t="shared" ref="L93" si="847">IF(K93="","",IF($B$7="Menor valor",($E$4/$A$4)*($B93/K93),IF(K93&lt;=$B93,($E$4/$A$4)*(1-(($B93-K93)/$B93)),($E$4*60%/$A$4)*(1-2*((ABS($B93-K93))/$B93)))))</f>
        <v/>
      </c>
      <c r="M93" s="285"/>
      <c r="N93" s="132" t="str">
        <f t="shared" ref="N93" si="848">IF(M93="","",IF($B$7="Menor valor",($E$4/$A$4)*($B93/M93),IF(M93&lt;=$B93,($E$4/$A$4)*(1-(($B93-M93)/$B93)),($E$4*60%/$A$4)*(1-2*((ABS($B93-M93))/$B93)))))</f>
        <v/>
      </c>
      <c r="O93" s="285"/>
      <c r="P93" s="132" t="str">
        <f t="shared" ref="P93" si="849">IF(O93="","",IF($B$7="Menor valor",($E$4/$A$4)*($B93/O93),IF(O93&lt;=$B93,($E$4/$A$4)*(1-(($B93-O93)/$B93)),($E$4*60%/$A$4)*(1-2*((ABS($B93-O93))/$B93)))))</f>
        <v/>
      </c>
      <c r="Q93" s="285"/>
      <c r="R93" s="132" t="str">
        <f t="shared" ref="R93" si="850">IF(Q93="","",IF($B$7="Menor valor",($E$4/$A$4)*($B93/Q93),IF(Q93&lt;=$B93,($E$4/$A$4)*(1-(($B93-Q93)/$B93)),($E$4*60%/$A$4)*(1-2*((ABS($B93-Q93))/$B93)))))</f>
        <v/>
      </c>
      <c r="S93" s="285"/>
      <c r="T93" s="132" t="str">
        <f t="shared" ref="T93" si="851">IF(S93="","",IF($B$7="Menor valor",($E$4/$A$4)*($B93/S93),IF(S93&lt;=$B93,($E$4/$A$4)*(1-(($B93-S93)/$B93)),($E$4*60%/$A$4)*(1-2*((ABS($B93-S93))/$B93)))))</f>
        <v/>
      </c>
      <c r="U93" s="285"/>
      <c r="V93" s="132" t="str">
        <f t="shared" ref="V93" si="852">IF(U93="","",IF($B$7="Menor valor",($E$4/$A$4)*($B93/U93),IF(U93&lt;=$B93,($E$4/$A$4)*(1-(($B93-U93)/$B93)),($E$4*60%/$A$4)*(1-2*((ABS($B93-U93))/$B93)))))</f>
        <v/>
      </c>
      <c r="W93" s="285"/>
      <c r="X93" s="132" t="str">
        <f t="shared" ref="X93" si="853">IF(W93="","",IF($B$7="Menor valor",($E$4/$A$4)*($B93/W93),IF(W93&lt;=$B93,($E$4/$A$4)*(1-(($B93-W93)/$B93)),($E$4*60%/$A$4)*(1-2*((ABS($B93-W93))/$B93)))))</f>
        <v/>
      </c>
      <c r="Y93" s="285"/>
      <c r="Z93" s="132" t="str">
        <f t="shared" ref="Z93" si="854">IF(Y93="","",IF($B$7="Menor valor",($E$4/$A$4)*($B93/Y93),IF(Y93&lt;=$B93,($E$4/$A$4)*(1-(($B93-Y93)/$B93)),($E$4*60%/$A$4)*(1-2*((ABS($B93-Y93))/$B93)))))</f>
        <v/>
      </c>
      <c r="AA93" s="129">
        <v>1</v>
      </c>
    </row>
    <row r="94" spans="1:27" s="129" customFormat="1" ht="21" customHeight="1">
      <c r="A94" s="204" t="str">
        <f>+'Presupuesto Consolidado'!A111</f>
        <v>3.2.6</v>
      </c>
      <c r="B94" s="130">
        <f t="shared" si="633"/>
        <v>20454</v>
      </c>
      <c r="C94" s="131">
        <f>IF($C$7="Habilitado",ROUND('Presupuesto Consolidado'!E111,2),"")</f>
        <v>20454</v>
      </c>
      <c r="D94" s="132">
        <f t="shared" si="644"/>
        <v>0.78125</v>
      </c>
      <c r="E94" s="131" t="str">
        <f>IF($E$7="Habilitado",ROUND('Presupuesto Consolidado'!L111,2),"")</f>
        <v/>
      </c>
      <c r="F94" s="132" t="str">
        <f t="shared" si="644"/>
        <v/>
      </c>
      <c r="G94" s="285"/>
      <c r="H94" s="132" t="str">
        <f t="shared" ref="H94" si="855">IF(G94="","",IF($B$7="Menor valor",($E$4/$A$4)*($B94/G94),IF(G94&lt;=$B94,($E$4/$A$4)*(1-(($B94-G94)/$B94)),($E$4*60%/$A$4)*(1-2*((ABS($B94-G94))/$B94)))))</f>
        <v/>
      </c>
      <c r="I94" s="285"/>
      <c r="J94" s="132" t="str">
        <f t="shared" ref="J94" si="856">IF(I94="","",IF($B$7="Menor valor",($E$4/$A$4)*($B94/I94),IF(I94&lt;=$B94,($E$4/$A$4)*(1-(($B94-I94)/$B94)),($E$4*60%/$A$4)*(1-2*((ABS($B94-I94))/$B94)))))</f>
        <v/>
      </c>
      <c r="K94" s="285"/>
      <c r="L94" s="132" t="str">
        <f t="shared" ref="L94" si="857">IF(K94="","",IF($B$7="Menor valor",($E$4/$A$4)*($B94/K94),IF(K94&lt;=$B94,($E$4/$A$4)*(1-(($B94-K94)/$B94)),($E$4*60%/$A$4)*(1-2*((ABS($B94-K94))/$B94)))))</f>
        <v/>
      </c>
      <c r="M94" s="285"/>
      <c r="N94" s="132" t="str">
        <f t="shared" ref="N94" si="858">IF(M94="","",IF($B$7="Menor valor",($E$4/$A$4)*($B94/M94),IF(M94&lt;=$B94,($E$4/$A$4)*(1-(($B94-M94)/$B94)),($E$4*60%/$A$4)*(1-2*((ABS($B94-M94))/$B94)))))</f>
        <v/>
      </c>
      <c r="O94" s="285"/>
      <c r="P94" s="132" t="str">
        <f t="shared" ref="P94" si="859">IF(O94="","",IF($B$7="Menor valor",($E$4/$A$4)*($B94/O94),IF(O94&lt;=$B94,($E$4/$A$4)*(1-(($B94-O94)/$B94)),($E$4*60%/$A$4)*(1-2*((ABS($B94-O94))/$B94)))))</f>
        <v/>
      </c>
      <c r="Q94" s="285"/>
      <c r="R94" s="132" t="str">
        <f t="shared" ref="R94" si="860">IF(Q94="","",IF($B$7="Menor valor",($E$4/$A$4)*($B94/Q94),IF(Q94&lt;=$B94,($E$4/$A$4)*(1-(($B94-Q94)/$B94)),($E$4*60%/$A$4)*(1-2*((ABS($B94-Q94))/$B94)))))</f>
        <v/>
      </c>
      <c r="S94" s="285"/>
      <c r="T94" s="132" t="str">
        <f t="shared" ref="T94" si="861">IF(S94="","",IF($B$7="Menor valor",($E$4/$A$4)*($B94/S94),IF(S94&lt;=$B94,($E$4/$A$4)*(1-(($B94-S94)/$B94)),($E$4*60%/$A$4)*(1-2*((ABS($B94-S94))/$B94)))))</f>
        <v/>
      </c>
      <c r="U94" s="285"/>
      <c r="V94" s="132" t="str">
        <f t="shared" ref="V94" si="862">IF(U94="","",IF($B$7="Menor valor",($E$4/$A$4)*($B94/U94),IF(U94&lt;=$B94,($E$4/$A$4)*(1-(($B94-U94)/$B94)),($E$4*60%/$A$4)*(1-2*((ABS($B94-U94))/$B94)))))</f>
        <v/>
      </c>
      <c r="W94" s="285"/>
      <c r="X94" s="132" t="str">
        <f t="shared" ref="X94" si="863">IF(W94="","",IF($B$7="Menor valor",($E$4/$A$4)*($B94/W94),IF(W94&lt;=$B94,($E$4/$A$4)*(1-(($B94-W94)/$B94)),($E$4*60%/$A$4)*(1-2*((ABS($B94-W94))/$B94)))))</f>
        <v/>
      </c>
      <c r="Y94" s="285"/>
      <c r="Z94" s="132" t="str">
        <f t="shared" ref="Z94" si="864">IF(Y94="","",IF($B$7="Menor valor",($E$4/$A$4)*($B94/Y94),IF(Y94&lt;=$B94,($E$4/$A$4)*(1-(($B94-Y94)/$B94)),($E$4*60%/$A$4)*(1-2*((ABS($B94-Y94))/$B94)))))</f>
        <v/>
      </c>
      <c r="AA94" s="129">
        <v>1</v>
      </c>
    </row>
    <row r="95" spans="1:27" s="129" customFormat="1" ht="21" customHeight="1">
      <c r="A95" s="204" t="str">
        <f>+'Presupuesto Consolidado'!A112</f>
        <v>3.2.7</v>
      </c>
      <c r="B95" s="130">
        <f t="shared" si="633"/>
        <v>32630</v>
      </c>
      <c r="C95" s="131">
        <f>IF($C$7="Habilitado",ROUND('Presupuesto Consolidado'!E112,2),"")</f>
        <v>32630</v>
      </c>
      <c r="D95" s="132">
        <f t="shared" si="644"/>
        <v>0.78125</v>
      </c>
      <c r="E95" s="131" t="str">
        <f>IF($E$7="Habilitado",ROUND('Presupuesto Consolidado'!L112,2),"")</f>
        <v/>
      </c>
      <c r="F95" s="132" t="str">
        <f t="shared" si="644"/>
        <v/>
      </c>
      <c r="G95" s="285"/>
      <c r="H95" s="132" t="str">
        <f t="shared" ref="H95" si="865">IF(G95="","",IF($B$7="Menor valor",($E$4/$A$4)*($B95/G95),IF(G95&lt;=$B95,($E$4/$A$4)*(1-(($B95-G95)/$B95)),($E$4*60%/$A$4)*(1-2*((ABS($B95-G95))/$B95)))))</f>
        <v/>
      </c>
      <c r="I95" s="285"/>
      <c r="J95" s="132" t="str">
        <f t="shared" ref="J95" si="866">IF(I95="","",IF($B$7="Menor valor",($E$4/$A$4)*($B95/I95),IF(I95&lt;=$B95,($E$4/$A$4)*(1-(($B95-I95)/$B95)),($E$4*60%/$A$4)*(1-2*((ABS($B95-I95))/$B95)))))</f>
        <v/>
      </c>
      <c r="K95" s="285"/>
      <c r="L95" s="132" t="str">
        <f t="shared" ref="L95" si="867">IF(K95="","",IF($B$7="Menor valor",($E$4/$A$4)*($B95/K95),IF(K95&lt;=$B95,($E$4/$A$4)*(1-(($B95-K95)/$B95)),($E$4*60%/$A$4)*(1-2*((ABS($B95-K95))/$B95)))))</f>
        <v/>
      </c>
      <c r="M95" s="285"/>
      <c r="N95" s="132" t="str">
        <f t="shared" ref="N95" si="868">IF(M95="","",IF($B$7="Menor valor",($E$4/$A$4)*($B95/M95),IF(M95&lt;=$B95,($E$4/$A$4)*(1-(($B95-M95)/$B95)),($E$4*60%/$A$4)*(1-2*((ABS($B95-M95))/$B95)))))</f>
        <v/>
      </c>
      <c r="O95" s="285"/>
      <c r="P95" s="132" t="str">
        <f t="shared" ref="P95" si="869">IF(O95="","",IF($B$7="Menor valor",($E$4/$A$4)*($B95/O95),IF(O95&lt;=$B95,($E$4/$A$4)*(1-(($B95-O95)/$B95)),($E$4*60%/$A$4)*(1-2*((ABS($B95-O95))/$B95)))))</f>
        <v/>
      </c>
      <c r="Q95" s="285"/>
      <c r="R95" s="132" t="str">
        <f t="shared" ref="R95" si="870">IF(Q95="","",IF($B$7="Menor valor",($E$4/$A$4)*($B95/Q95),IF(Q95&lt;=$B95,($E$4/$A$4)*(1-(($B95-Q95)/$B95)),($E$4*60%/$A$4)*(1-2*((ABS($B95-Q95))/$B95)))))</f>
        <v/>
      </c>
      <c r="S95" s="285"/>
      <c r="T95" s="132" t="str">
        <f t="shared" ref="T95" si="871">IF(S95="","",IF($B$7="Menor valor",($E$4/$A$4)*($B95/S95),IF(S95&lt;=$B95,($E$4/$A$4)*(1-(($B95-S95)/$B95)),($E$4*60%/$A$4)*(1-2*((ABS($B95-S95))/$B95)))))</f>
        <v/>
      </c>
      <c r="U95" s="285"/>
      <c r="V95" s="132" t="str">
        <f t="shared" ref="V95" si="872">IF(U95="","",IF($B$7="Menor valor",($E$4/$A$4)*($B95/U95),IF(U95&lt;=$B95,($E$4/$A$4)*(1-(($B95-U95)/$B95)),($E$4*60%/$A$4)*(1-2*((ABS($B95-U95))/$B95)))))</f>
        <v/>
      </c>
      <c r="W95" s="285"/>
      <c r="X95" s="132" t="str">
        <f t="shared" ref="X95" si="873">IF(W95="","",IF($B$7="Menor valor",($E$4/$A$4)*($B95/W95),IF(W95&lt;=$B95,($E$4/$A$4)*(1-(($B95-W95)/$B95)),($E$4*60%/$A$4)*(1-2*((ABS($B95-W95))/$B95)))))</f>
        <v/>
      </c>
      <c r="Y95" s="285"/>
      <c r="Z95" s="132" t="str">
        <f t="shared" ref="Z95" si="874">IF(Y95="","",IF($B$7="Menor valor",($E$4/$A$4)*($B95/Y95),IF(Y95&lt;=$B95,($E$4/$A$4)*(1-(($B95-Y95)/$B95)),($E$4*60%/$A$4)*(1-2*((ABS($B95-Y95))/$B95)))))</f>
        <v/>
      </c>
      <c r="AA95" s="129">
        <v>1</v>
      </c>
    </row>
    <row r="96" spans="1:27" s="129" customFormat="1" ht="21" customHeight="1">
      <c r="A96" s="204" t="str">
        <f>+'Presupuesto Consolidado'!A113</f>
        <v>3.2.8</v>
      </c>
      <c r="B96" s="130">
        <f t="shared" si="633"/>
        <v>612324</v>
      </c>
      <c r="C96" s="131">
        <f>IF($C$7="Habilitado",ROUND('Presupuesto Consolidado'!E113,2),"")</f>
        <v>612324</v>
      </c>
      <c r="D96" s="132">
        <f t="shared" si="644"/>
        <v>0.78125</v>
      </c>
      <c r="E96" s="131" t="str">
        <f>IF($E$7="Habilitado",ROUND('Presupuesto Consolidado'!L113,2),"")</f>
        <v/>
      </c>
      <c r="F96" s="132" t="str">
        <f t="shared" si="644"/>
        <v/>
      </c>
      <c r="G96" s="285"/>
      <c r="H96" s="132" t="str">
        <f t="shared" ref="H96" si="875">IF(G96="","",IF($B$7="Menor valor",($E$4/$A$4)*($B96/G96),IF(G96&lt;=$B96,($E$4/$A$4)*(1-(($B96-G96)/$B96)),($E$4*60%/$A$4)*(1-2*((ABS($B96-G96))/$B96)))))</f>
        <v/>
      </c>
      <c r="I96" s="285"/>
      <c r="J96" s="132" t="str">
        <f t="shared" ref="J96" si="876">IF(I96="","",IF($B$7="Menor valor",($E$4/$A$4)*($B96/I96),IF(I96&lt;=$B96,($E$4/$A$4)*(1-(($B96-I96)/$B96)),($E$4*60%/$A$4)*(1-2*((ABS($B96-I96))/$B96)))))</f>
        <v/>
      </c>
      <c r="K96" s="285"/>
      <c r="L96" s="132" t="str">
        <f t="shared" ref="L96" si="877">IF(K96="","",IF($B$7="Menor valor",($E$4/$A$4)*($B96/K96),IF(K96&lt;=$B96,($E$4/$A$4)*(1-(($B96-K96)/$B96)),($E$4*60%/$A$4)*(1-2*((ABS($B96-K96))/$B96)))))</f>
        <v/>
      </c>
      <c r="M96" s="285"/>
      <c r="N96" s="132" t="str">
        <f t="shared" ref="N96" si="878">IF(M96="","",IF($B$7="Menor valor",($E$4/$A$4)*($B96/M96),IF(M96&lt;=$B96,($E$4/$A$4)*(1-(($B96-M96)/$B96)),($E$4*60%/$A$4)*(1-2*((ABS($B96-M96))/$B96)))))</f>
        <v/>
      </c>
      <c r="O96" s="285"/>
      <c r="P96" s="132" t="str">
        <f t="shared" ref="P96" si="879">IF(O96="","",IF($B$7="Menor valor",($E$4/$A$4)*($B96/O96),IF(O96&lt;=$B96,($E$4/$A$4)*(1-(($B96-O96)/$B96)),($E$4*60%/$A$4)*(1-2*((ABS($B96-O96))/$B96)))))</f>
        <v/>
      </c>
      <c r="Q96" s="285"/>
      <c r="R96" s="132" t="str">
        <f t="shared" ref="R96" si="880">IF(Q96="","",IF($B$7="Menor valor",($E$4/$A$4)*($B96/Q96),IF(Q96&lt;=$B96,($E$4/$A$4)*(1-(($B96-Q96)/$B96)),($E$4*60%/$A$4)*(1-2*((ABS($B96-Q96))/$B96)))))</f>
        <v/>
      </c>
      <c r="S96" s="285"/>
      <c r="T96" s="132" t="str">
        <f t="shared" ref="T96" si="881">IF(S96="","",IF($B$7="Menor valor",($E$4/$A$4)*($B96/S96),IF(S96&lt;=$B96,($E$4/$A$4)*(1-(($B96-S96)/$B96)),($E$4*60%/$A$4)*(1-2*((ABS($B96-S96))/$B96)))))</f>
        <v/>
      </c>
      <c r="U96" s="285"/>
      <c r="V96" s="132" t="str">
        <f t="shared" ref="V96" si="882">IF(U96="","",IF($B$7="Menor valor",($E$4/$A$4)*($B96/U96),IF(U96&lt;=$B96,($E$4/$A$4)*(1-(($B96-U96)/$B96)),($E$4*60%/$A$4)*(1-2*((ABS($B96-U96))/$B96)))))</f>
        <v/>
      </c>
      <c r="W96" s="285"/>
      <c r="X96" s="132" t="str">
        <f t="shared" ref="X96" si="883">IF(W96="","",IF($B$7="Menor valor",($E$4/$A$4)*($B96/W96),IF(W96&lt;=$B96,($E$4/$A$4)*(1-(($B96-W96)/$B96)),($E$4*60%/$A$4)*(1-2*((ABS($B96-W96))/$B96)))))</f>
        <v/>
      </c>
      <c r="Y96" s="285"/>
      <c r="Z96" s="132" t="str">
        <f t="shared" ref="Z96" si="884">IF(Y96="","",IF($B$7="Menor valor",($E$4/$A$4)*($B96/Y96),IF(Y96&lt;=$B96,($E$4/$A$4)*(1-(($B96-Y96)/$B96)),($E$4*60%/$A$4)*(1-2*((ABS($B96-Y96))/$B96)))))</f>
        <v/>
      </c>
      <c r="AA96" s="129">
        <v>1</v>
      </c>
    </row>
    <row r="97" spans="1:27" s="129" customFormat="1" ht="21" customHeight="1">
      <c r="A97" s="204" t="str">
        <f>+'Presupuesto Consolidado'!A114</f>
        <v>3.2.9</v>
      </c>
      <c r="B97" s="130">
        <f t="shared" si="633"/>
        <v>25855</v>
      </c>
      <c r="C97" s="131">
        <f>IF($C$7="Habilitado",ROUND('Presupuesto Consolidado'!E114,2),"")</f>
        <v>25855</v>
      </c>
      <c r="D97" s="132">
        <f t="shared" si="644"/>
        <v>0.78125</v>
      </c>
      <c r="E97" s="131" t="str">
        <f>IF($E$7="Habilitado",ROUND('Presupuesto Consolidado'!L114,2),"")</f>
        <v/>
      </c>
      <c r="F97" s="132" t="str">
        <f t="shared" si="644"/>
        <v/>
      </c>
      <c r="G97" s="285"/>
      <c r="H97" s="132" t="str">
        <f t="shared" ref="H97" si="885">IF(G97="","",IF($B$7="Menor valor",($E$4/$A$4)*($B97/G97),IF(G97&lt;=$B97,($E$4/$A$4)*(1-(($B97-G97)/$B97)),($E$4*60%/$A$4)*(1-2*((ABS($B97-G97))/$B97)))))</f>
        <v/>
      </c>
      <c r="I97" s="285"/>
      <c r="J97" s="132" t="str">
        <f t="shared" ref="J97" si="886">IF(I97="","",IF($B$7="Menor valor",($E$4/$A$4)*($B97/I97),IF(I97&lt;=$B97,($E$4/$A$4)*(1-(($B97-I97)/$B97)),($E$4*60%/$A$4)*(1-2*((ABS($B97-I97))/$B97)))))</f>
        <v/>
      </c>
      <c r="K97" s="285"/>
      <c r="L97" s="132" t="str">
        <f t="shared" ref="L97" si="887">IF(K97="","",IF($B$7="Menor valor",($E$4/$A$4)*($B97/K97),IF(K97&lt;=$B97,($E$4/$A$4)*(1-(($B97-K97)/$B97)),($E$4*60%/$A$4)*(1-2*((ABS($B97-K97))/$B97)))))</f>
        <v/>
      </c>
      <c r="M97" s="285"/>
      <c r="N97" s="132" t="str">
        <f t="shared" ref="N97" si="888">IF(M97="","",IF($B$7="Menor valor",($E$4/$A$4)*($B97/M97),IF(M97&lt;=$B97,($E$4/$A$4)*(1-(($B97-M97)/$B97)),($E$4*60%/$A$4)*(1-2*((ABS($B97-M97))/$B97)))))</f>
        <v/>
      </c>
      <c r="O97" s="285"/>
      <c r="P97" s="132" t="str">
        <f t="shared" ref="P97" si="889">IF(O97="","",IF($B$7="Menor valor",($E$4/$A$4)*($B97/O97),IF(O97&lt;=$B97,($E$4/$A$4)*(1-(($B97-O97)/$B97)),($E$4*60%/$A$4)*(1-2*((ABS($B97-O97))/$B97)))))</f>
        <v/>
      </c>
      <c r="Q97" s="285"/>
      <c r="R97" s="132" t="str">
        <f t="shared" ref="R97" si="890">IF(Q97="","",IF($B$7="Menor valor",($E$4/$A$4)*($B97/Q97),IF(Q97&lt;=$B97,($E$4/$A$4)*(1-(($B97-Q97)/$B97)),($E$4*60%/$A$4)*(1-2*((ABS($B97-Q97))/$B97)))))</f>
        <v/>
      </c>
      <c r="S97" s="285"/>
      <c r="T97" s="132" t="str">
        <f t="shared" ref="T97" si="891">IF(S97="","",IF($B$7="Menor valor",($E$4/$A$4)*($B97/S97),IF(S97&lt;=$B97,($E$4/$A$4)*(1-(($B97-S97)/$B97)),($E$4*60%/$A$4)*(1-2*((ABS($B97-S97))/$B97)))))</f>
        <v/>
      </c>
      <c r="U97" s="285"/>
      <c r="V97" s="132" t="str">
        <f t="shared" ref="V97" si="892">IF(U97="","",IF($B$7="Menor valor",($E$4/$A$4)*($B97/U97),IF(U97&lt;=$B97,($E$4/$A$4)*(1-(($B97-U97)/$B97)),($E$4*60%/$A$4)*(1-2*((ABS($B97-U97))/$B97)))))</f>
        <v/>
      </c>
      <c r="W97" s="285"/>
      <c r="X97" s="132" t="str">
        <f t="shared" ref="X97" si="893">IF(W97="","",IF($B$7="Menor valor",($E$4/$A$4)*($B97/W97),IF(W97&lt;=$B97,($E$4/$A$4)*(1-(($B97-W97)/$B97)),($E$4*60%/$A$4)*(1-2*((ABS($B97-W97))/$B97)))))</f>
        <v/>
      </c>
      <c r="Y97" s="285"/>
      <c r="Z97" s="132" t="str">
        <f t="shared" ref="Z97" si="894">IF(Y97="","",IF($B$7="Menor valor",($E$4/$A$4)*($B97/Y97),IF(Y97&lt;=$B97,($E$4/$A$4)*(1-(($B97-Y97)/$B97)),($E$4*60%/$A$4)*(1-2*((ABS($B97-Y97))/$B97)))))</f>
        <v/>
      </c>
      <c r="AA97" s="129">
        <v>1</v>
      </c>
    </row>
    <row r="98" spans="1:27" s="129" customFormat="1" ht="21" customHeight="1">
      <c r="A98" s="204" t="str">
        <f>+'Presupuesto Consolidado'!A115</f>
        <v>3.2.10</v>
      </c>
      <c r="B98" s="130">
        <f t="shared" si="633"/>
        <v>59305</v>
      </c>
      <c r="C98" s="131">
        <f>IF($C$7="Habilitado",ROUND('Presupuesto Consolidado'!E115,2),"")</f>
        <v>59305</v>
      </c>
      <c r="D98" s="132">
        <f t="shared" si="644"/>
        <v>0.78125</v>
      </c>
      <c r="E98" s="131" t="str">
        <f>IF($E$7="Habilitado",ROUND('Presupuesto Consolidado'!L115,2),"")</f>
        <v/>
      </c>
      <c r="F98" s="132" t="str">
        <f t="shared" si="644"/>
        <v/>
      </c>
      <c r="G98" s="285"/>
      <c r="H98" s="132" t="str">
        <f t="shared" ref="H98" si="895">IF(G98="","",IF($B$7="Menor valor",($E$4/$A$4)*($B98/G98),IF(G98&lt;=$B98,($E$4/$A$4)*(1-(($B98-G98)/$B98)),($E$4*60%/$A$4)*(1-2*((ABS($B98-G98))/$B98)))))</f>
        <v/>
      </c>
      <c r="I98" s="285"/>
      <c r="J98" s="132" t="str">
        <f t="shared" ref="J98" si="896">IF(I98="","",IF($B$7="Menor valor",($E$4/$A$4)*($B98/I98),IF(I98&lt;=$B98,($E$4/$A$4)*(1-(($B98-I98)/$B98)),($E$4*60%/$A$4)*(1-2*((ABS($B98-I98))/$B98)))))</f>
        <v/>
      </c>
      <c r="K98" s="285"/>
      <c r="L98" s="132" t="str">
        <f t="shared" ref="L98" si="897">IF(K98="","",IF($B$7="Menor valor",($E$4/$A$4)*($B98/K98),IF(K98&lt;=$B98,($E$4/$A$4)*(1-(($B98-K98)/$B98)),($E$4*60%/$A$4)*(1-2*((ABS($B98-K98))/$B98)))))</f>
        <v/>
      </c>
      <c r="M98" s="285"/>
      <c r="N98" s="132" t="str">
        <f t="shared" ref="N98" si="898">IF(M98="","",IF($B$7="Menor valor",($E$4/$A$4)*($B98/M98),IF(M98&lt;=$B98,($E$4/$A$4)*(1-(($B98-M98)/$B98)),($E$4*60%/$A$4)*(1-2*((ABS($B98-M98))/$B98)))))</f>
        <v/>
      </c>
      <c r="O98" s="285"/>
      <c r="P98" s="132" t="str">
        <f t="shared" ref="P98" si="899">IF(O98="","",IF($B$7="Menor valor",($E$4/$A$4)*($B98/O98),IF(O98&lt;=$B98,($E$4/$A$4)*(1-(($B98-O98)/$B98)),($E$4*60%/$A$4)*(1-2*((ABS($B98-O98))/$B98)))))</f>
        <v/>
      </c>
      <c r="Q98" s="285"/>
      <c r="R98" s="132" t="str">
        <f t="shared" ref="R98" si="900">IF(Q98="","",IF($B$7="Menor valor",($E$4/$A$4)*($B98/Q98),IF(Q98&lt;=$B98,($E$4/$A$4)*(1-(($B98-Q98)/$B98)),($E$4*60%/$A$4)*(1-2*((ABS($B98-Q98))/$B98)))))</f>
        <v/>
      </c>
      <c r="S98" s="285"/>
      <c r="T98" s="132" t="str">
        <f t="shared" ref="T98" si="901">IF(S98="","",IF($B$7="Menor valor",($E$4/$A$4)*($B98/S98),IF(S98&lt;=$B98,($E$4/$A$4)*(1-(($B98-S98)/$B98)),($E$4*60%/$A$4)*(1-2*((ABS($B98-S98))/$B98)))))</f>
        <v/>
      </c>
      <c r="U98" s="285"/>
      <c r="V98" s="132" t="str">
        <f t="shared" ref="V98" si="902">IF(U98="","",IF($B$7="Menor valor",($E$4/$A$4)*($B98/U98),IF(U98&lt;=$B98,($E$4/$A$4)*(1-(($B98-U98)/$B98)),($E$4*60%/$A$4)*(1-2*((ABS($B98-U98))/$B98)))))</f>
        <v/>
      </c>
      <c r="W98" s="285"/>
      <c r="X98" s="132" t="str">
        <f t="shared" ref="X98" si="903">IF(W98="","",IF($B$7="Menor valor",($E$4/$A$4)*($B98/W98),IF(W98&lt;=$B98,($E$4/$A$4)*(1-(($B98-W98)/$B98)),($E$4*60%/$A$4)*(1-2*((ABS($B98-W98))/$B98)))))</f>
        <v/>
      </c>
      <c r="Y98" s="285"/>
      <c r="Z98" s="132" t="str">
        <f t="shared" ref="Z98" si="904">IF(Y98="","",IF($B$7="Menor valor",($E$4/$A$4)*($B98/Y98),IF(Y98&lt;=$B98,($E$4/$A$4)*(1-(($B98-Y98)/$B98)),($E$4*60%/$A$4)*(1-2*((ABS($B98-Y98))/$B98)))))</f>
        <v/>
      </c>
      <c r="AA98" s="129">
        <v>1</v>
      </c>
    </row>
    <row r="99" spans="1:27" s="129" customFormat="1" ht="21" customHeight="1">
      <c r="A99" s="204" t="str">
        <f>+'Presupuesto Consolidado'!A116</f>
        <v>3.2.11</v>
      </c>
      <c r="B99" s="130">
        <f t="shared" si="633"/>
        <v>9687</v>
      </c>
      <c r="C99" s="131">
        <f>IF($C$7="Habilitado",ROUND('Presupuesto Consolidado'!E116,2),"")</f>
        <v>9687</v>
      </c>
      <c r="D99" s="132">
        <f t="shared" si="644"/>
        <v>0.78125</v>
      </c>
      <c r="E99" s="131" t="str">
        <f>IF($E$7="Habilitado",ROUND('Presupuesto Consolidado'!L116,2),"")</f>
        <v/>
      </c>
      <c r="F99" s="132" t="str">
        <f t="shared" si="644"/>
        <v/>
      </c>
      <c r="G99" s="285"/>
      <c r="H99" s="132" t="str">
        <f t="shared" ref="H99" si="905">IF(G99="","",IF($B$7="Menor valor",($E$4/$A$4)*($B99/G99),IF(G99&lt;=$B99,($E$4/$A$4)*(1-(($B99-G99)/$B99)),($E$4*60%/$A$4)*(1-2*((ABS($B99-G99))/$B99)))))</f>
        <v/>
      </c>
      <c r="I99" s="285"/>
      <c r="J99" s="132" t="str">
        <f t="shared" ref="J99" si="906">IF(I99="","",IF($B$7="Menor valor",($E$4/$A$4)*($B99/I99),IF(I99&lt;=$B99,($E$4/$A$4)*(1-(($B99-I99)/$B99)),($E$4*60%/$A$4)*(1-2*((ABS($B99-I99))/$B99)))))</f>
        <v/>
      </c>
      <c r="K99" s="285"/>
      <c r="L99" s="132" t="str">
        <f t="shared" ref="L99" si="907">IF(K99="","",IF($B$7="Menor valor",($E$4/$A$4)*($B99/K99),IF(K99&lt;=$B99,($E$4/$A$4)*(1-(($B99-K99)/$B99)),($E$4*60%/$A$4)*(1-2*((ABS($B99-K99))/$B99)))))</f>
        <v/>
      </c>
      <c r="M99" s="285"/>
      <c r="N99" s="132" t="str">
        <f t="shared" ref="N99" si="908">IF(M99="","",IF($B$7="Menor valor",($E$4/$A$4)*($B99/M99),IF(M99&lt;=$B99,($E$4/$A$4)*(1-(($B99-M99)/$B99)),($E$4*60%/$A$4)*(1-2*((ABS($B99-M99))/$B99)))))</f>
        <v/>
      </c>
      <c r="O99" s="285"/>
      <c r="P99" s="132" t="str">
        <f t="shared" ref="P99" si="909">IF(O99="","",IF($B$7="Menor valor",($E$4/$A$4)*($B99/O99),IF(O99&lt;=$B99,($E$4/$A$4)*(1-(($B99-O99)/$B99)),($E$4*60%/$A$4)*(1-2*((ABS($B99-O99))/$B99)))))</f>
        <v/>
      </c>
      <c r="Q99" s="285"/>
      <c r="R99" s="132" t="str">
        <f t="shared" ref="R99" si="910">IF(Q99="","",IF($B$7="Menor valor",($E$4/$A$4)*($B99/Q99),IF(Q99&lt;=$B99,($E$4/$A$4)*(1-(($B99-Q99)/$B99)),($E$4*60%/$A$4)*(1-2*((ABS($B99-Q99))/$B99)))))</f>
        <v/>
      </c>
      <c r="S99" s="285"/>
      <c r="T99" s="132" t="str">
        <f t="shared" ref="T99" si="911">IF(S99="","",IF($B$7="Menor valor",($E$4/$A$4)*($B99/S99),IF(S99&lt;=$B99,($E$4/$A$4)*(1-(($B99-S99)/$B99)),($E$4*60%/$A$4)*(1-2*((ABS($B99-S99))/$B99)))))</f>
        <v/>
      </c>
      <c r="U99" s="285"/>
      <c r="V99" s="132" t="str">
        <f t="shared" ref="V99" si="912">IF(U99="","",IF($B$7="Menor valor",($E$4/$A$4)*($B99/U99),IF(U99&lt;=$B99,($E$4/$A$4)*(1-(($B99-U99)/$B99)),($E$4*60%/$A$4)*(1-2*((ABS($B99-U99))/$B99)))))</f>
        <v/>
      </c>
      <c r="W99" s="285"/>
      <c r="X99" s="132" t="str">
        <f t="shared" ref="X99" si="913">IF(W99="","",IF($B$7="Menor valor",($E$4/$A$4)*($B99/W99),IF(W99&lt;=$B99,($E$4/$A$4)*(1-(($B99-W99)/$B99)),($E$4*60%/$A$4)*(1-2*((ABS($B99-W99))/$B99)))))</f>
        <v/>
      </c>
      <c r="Y99" s="285"/>
      <c r="Z99" s="132" t="str">
        <f t="shared" ref="Z99" si="914">IF(Y99="","",IF($B$7="Menor valor",($E$4/$A$4)*($B99/Y99),IF(Y99&lt;=$B99,($E$4/$A$4)*(1-(($B99-Y99)/$B99)),($E$4*60%/$A$4)*(1-2*((ABS($B99-Y99))/$B99)))))</f>
        <v/>
      </c>
      <c r="AA99" s="129">
        <v>1</v>
      </c>
    </row>
    <row r="100" spans="1:27" s="129" customFormat="1" ht="21" customHeight="1">
      <c r="A100" s="204" t="str">
        <f>+'Presupuesto Consolidado'!A117</f>
        <v>3.2.12</v>
      </c>
      <c r="B100" s="130">
        <f t="shared" si="633"/>
        <v>40902</v>
      </c>
      <c r="C100" s="131">
        <f>IF($C$7="Habilitado",ROUND('Presupuesto Consolidado'!E117,2),"")</f>
        <v>40902</v>
      </c>
      <c r="D100" s="132">
        <f t="shared" si="644"/>
        <v>0.78125</v>
      </c>
      <c r="E100" s="131" t="str">
        <f>IF($E$7="Habilitado",ROUND('Presupuesto Consolidado'!L117,2),"")</f>
        <v/>
      </c>
      <c r="F100" s="132" t="str">
        <f t="shared" si="644"/>
        <v/>
      </c>
      <c r="G100" s="285"/>
      <c r="H100" s="132" t="str">
        <f t="shared" ref="H100" si="915">IF(G100="","",IF($B$7="Menor valor",($E$4/$A$4)*($B100/G100),IF(G100&lt;=$B100,($E$4/$A$4)*(1-(($B100-G100)/$B100)),($E$4*60%/$A$4)*(1-2*((ABS($B100-G100))/$B100)))))</f>
        <v/>
      </c>
      <c r="I100" s="285"/>
      <c r="J100" s="132" t="str">
        <f t="shared" ref="J100" si="916">IF(I100="","",IF($B$7="Menor valor",($E$4/$A$4)*($B100/I100),IF(I100&lt;=$B100,($E$4/$A$4)*(1-(($B100-I100)/$B100)),($E$4*60%/$A$4)*(1-2*((ABS($B100-I100))/$B100)))))</f>
        <v/>
      </c>
      <c r="K100" s="285"/>
      <c r="L100" s="132" t="str">
        <f t="shared" ref="L100" si="917">IF(K100="","",IF($B$7="Menor valor",($E$4/$A$4)*($B100/K100),IF(K100&lt;=$B100,($E$4/$A$4)*(1-(($B100-K100)/$B100)),($E$4*60%/$A$4)*(1-2*((ABS($B100-K100))/$B100)))))</f>
        <v/>
      </c>
      <c r="M100" s="285"/>
      <c r="N100" s="132" t="str">
        <f t="shared" ref="N100" si="918">IF(M100="","",IF($B$7="Menor valor",($E$4/$A$4)*($B100/M100),IF(M100&lt;=$B100,($E$4/$A$4)*(1-(($B100-M100)/$B100)),($E$4*60%/$A$4)*(1-2*((ABS($B100-M100))/$B100)))))</f>
        <v/>
      </c>
      <c r="O100" s="285"/>
      <c r="P100" s="132" t="str">
        <f t="shared" ref="P100" si="919">IF(O100="","",IF($B$7="Menor valor",($E$4/$A$4)*($B100/O100),IF(O100&lt;=$B100,($E$4/$A$4)*(1-(($B100-O100)/$B100)),($E$4*60%/$A$4)*(1-2*((ABS($B100-O100))/$B100)))))</f>
        <v/>
      </c>
      <c r="Q100" s="285"/>
      <c r="R100" s="132" t="str">
        <f t="shared" ref="R100" si="920">IF(Q100="","",IF($B$7="Menor valor",($E$4/$A$4)*($B100/Q100),IF(Q100&lt;=$B100,($E$4/$A$4)*(1-(($B100-Q100)/$B100)),($E$4*60%/$A$4)*(1-2*((ABS($B100-Q100))/$B100)))))</f>
        <v/>
      </c>
      <c r="S100" s="285"/>
      <c r="T100" s="132" t="str">
        <f t="shared" ref="T100" si="921">IF(S100="","",IF($B$7="Menor valor",($E$4/$A$4)*($B100/S100),IF(S100&lt;=$B100,($E$4/$A$4)*(1-(($B100-S100)/$B100)),($E$4*60%/$A$4)*(1-2*((ABS($B100-S100))/$B100)))))</f>
        <v/>
      </c>
      <c r="U100" s="285"/>
      <c r="V100" s="132" t="str">
        <f t="shared" ref="V100" si="922">IF(U100="","",IF($B$7="Menor valor",($E$4/$A$4)*($B100/U100),IF(U100&lt;=$B100,($E$4/$A$4)*(1-(($B100-U100)/$B100)),($E$4*60%/$A$4)*(1-2*((ABS($B100-U100))/$B100)))))</f>
        <v/>
      </c>
      <c r="W100" s="285"/>
      <c r="X100" s="132" t="str">
        <f t="shared" ref="X100" si="923">IF(W100="","",IF($B$7="Menor valor",($E$4/$A$4)*($B100/W100),IF(W100&lt;=$B100,($E$4/$A$4)*(1-(($B100-W100)/$B100)),($E$4*60%/$A$4)*(1-2*((ABS($B100-W100))/$B100)))))</f>
        <v/>
      </c>
      <c r="Y100" s="285"/>
      <c r="Z100" s="132" t="str">
        <f t="shared" ref="Z100" si="924">IF(Y100="","",IF($B$7="Menor valor",($E$4/$A$4)*($B100/Y100),IF(Y100&lt;=$B100,($E$4/$A$4)*(1-(($B100-Y100)/$B100)),($E$4*60%/$A$4)*(1-2*((ABS($B100-Y100))/$B100)))))</f>
        <v/>
      </c>
      <c r="AA100" s="129">
        <v>1</v>
      </c>
    </row>
    <row r="101" spans="1:27" s="129" customFormat="1" ht="21" customHeight="1">
      <c r="A101" s="204" t="str">
        <f>+'Presupuesto Consolidado'!A118</f>
        <v>3.2.13</v>
      </c>
      <c r="B101" s="130">
        <f t="shared" si="633"/>
        <v>40902</v>
      </c>
      <c r="C101" s="131">
        <f>IF($C$7="Habilitado",ROUND('Presupuesto Consolidado'!E118,2),"")</f>
        <v>40902</v>
      </c>
      <c r="D101" s="132">
        <f t="shared" si="644"/>
        <v>0.78125</v>
      </c>
      <c r="E101" s="131" t="str">
        <f>IF($E$7="Habilitado",ROUND('Presupuesto Consolidado'!L118,2),"")</f>
        <v/>
      </c>
      <c r="F101" s="132" t="str">
        <f t="shared" si="644"/>
        <v/>
      </c>
      <c r="G101" s="285"/>
      <c r="H101" s="132" t="str">
        <f t="shared" ref="H101" si="925">IF(G101="","",IF($B$7="Menor valor",($E$4/$A$4)*($B101/G101),IF(G101&lt;=$B101,($E$4/$A$4)*(1-(($B101-G101)/$B101)),($E$4*60%/$A$4)*(1-2*((ABS($B101-G101))/$B101)))))</f>
        <v/>
      </c>
      <c r="I101" s="285"/>
      <c r="J101" s="132" t="str">
        <f t="shared" ref="J101" si="926">IF(I101="","",IF($B$7="Menor valor",($E$4/$A$4)*($B101/I101),IF(I101&lt;=$B101,($E$4/$A$4)*(1-(($B101-I101)/$B101)),($E$4*60%/$A$4)*(1-2*((ABS($B101-I101))/$B101)))))</f>
        <v/>
      </c>
      <c r="K101" s="285"/>
      <c r="L101" s="132" t="str">
        <f t="shared" ref="L101" si="927">IF(K101="","",IF($B$7="Menor valor",($E$4/$A$4)*($B101/K101),IF(K101&lt;=$B101,($E$4/$A$4)*(1-(($B101-K101)/$B101)),($E$4*60%/$A$4)*(1-2*((ABS($B101-K101))/$B101)))))</f>
        <v/>
      </c>
      <c r="M101" s="285"/>
      <c r="N101" s="132" t="str">
        <f t="shared" ref="N101" si="928">IF(M101="","",IF($B$7="Menor valor",($E$4/$A$4)*($B101/M101),IF(M101&lt;=$B101,($E$4/$A$4)*(1-(($B101-M101)/$B101)),($E$4*60%/$A$4)*(1-2*((ABS($B101-M101))/$B101)))))</f>
        <v/>
      </c>
      <c r="O101" s="285"/>
      <c r="P101" s="132" t="str">
        <f t="shared" ref="P101" si="929">IF(O101="","",IF($B$7="Menor valor",($E$4/$A$4)*($B101/O101),IF(O101&lt;=$B101,($E$4/$A$4)*(1-(($B101-O101)/$B101)),($E$4*60%/$A$4)*(1-2*((ABS($B101-O101))/$B101)))))</f>
        <v/>
      </c>
      <c r="Q101" s="285"/>
      <c r="R101" s="132" t="str">
        <f t="shared" ref="R101" si="930">IF(Q101="","",IF($B$7="Menor valor",($E$4/$A$4)*($B101/Q101),IF(Q101&lt;=$B101,($E$4/$A$4)*(1-(($B101-Q101)/$B101)),($E$4*60%/$A$4)*(1-2*((ABS($B101-Q101))/$B101)))))</f>
        <v/>
      </c>
      <c r="S101" s="285"/>
      <c r="T101" s="132" t="str">
        <f t="shared" ref="T101" si="931">IF(S101="","",IF($B$7="Menor valor",($E$4/$A$4)*($B101/S101),IF(S101&lt;=$B101,($E$4/$A$4)*(1-(($B101-S101)/$B101)),($E$4*60%/$A$4)*(1-2*((ABS($B101-S101))/$B101)))))</f>
        <v/>
      </c>
      <c r="U101" s="285"/>
      <c r="V101" s="132" t="str">
        <f t="shared" ref="V101" si="932">IF(U101="","",IF($B$7="Menor valor",($E$4/$A$4)*($B101/U101),IF(U101&lt;=$B101,($E$4/$A$4)*(1-(($B101-U101)/$B101)),($E$4*60%/$A$4)*(1-2*((ABS($B101-U101))/$B101)))))</f>
        <v/>
      </c>
      <c r="W101" s="285"/>
      <c r="X101" s="132" t="str">
        <f t="shared" ref="X101" si="933">IF(W101="","",IF($B$7="Menor valor",($E$4/$A$4)*($B101/W101),IF(W101&lt;=$B101,($E$4/$A$4)*(1-(($B101-W101)/$B101)),($E$4*60%/$A$4)*(1-2*((ABS($B101-W101))/$B101)))))</f>
        <v/>
      </c>
      <c r="Y101" s="285"/>
      <c r="Z101" s="132" t="str">
        <f t="shared" ref="Z101" si="934">IF(Y101="","",IF($B$7="Menor valor",($E$4/$A$4)*($B101/Y101),IF(Y101&lt;=$B101,($E$4/$A$4)*(1-(($B101-Y101)/$B101)),($E$4*60%/$A$4)*(1-2*((ABS($B101-Y101))/$B101)))))</f>
        <v/>
      </c>
      <c r="AA101" s="129">
        <v>1</v>
      </c>
    </row>
    <row r="102" spans="1:27" s="129" customFormat="1" ht="21" customHeight="1">
      <c r="A102" s="204" t="str">
        <f>+'Presupuesto Consolidado'!A119</f>
        <v>3.2.14</v>
      </c>
      <c r="B102" s="130">
        <f t="shared" si="633"/>
        <v>431553</v>
      </c>
      <c r="C102" s="131">
        <f>IF($C$7="Habilitado",ROUND('Presupuesto Consolidado'!E119,2),"")</f>
        <v>431553</v>
      </c>
      <c r="D102" s="132">
        <f t="shared" si="644"/>
        <v>0.78125</v>
      </c>
      <c r="E102" s="131" t="str">
        <f>IF($E$7="Habilitado",ROUND('Presupuesto Consolidado'!L119,2),"")</f>
        <v/>
      </c>
      <c r="F102" s="132" t="str">
        <f t="shared" si="644"/>
        <v/>
      </c>
      <c r="G102" s="285"/>
      <c r="H102" s="132" t="str">
        <f t="shared" ref="H102" si="935">IF(G102="","",IF($B$7="Menor valor",($E$4/$A$4)*($B102/G102),IF(G102&lt;=$B102,($E$4/$A$4)*(1-(($B102-G102)/$B102)),($E$4*60%/$A$4)*(1-2*((ABS($B102-G102))/$B102)))))</f>
        <v/>
      </c>
      <c r="I102" s="285"/>
      <c r="J102" s="132" t="str">
        <f t="shared" ref="J102" si="936">IF(I102="","",IF($B$7="Menor valor",($E$4/$A$4)*($B102/I102),IF(I102&lt;=$B102,($E$4/$A$4)*(1-(($B102-I102)/$B102)),($E$4*60%/$A$4)*(1-2*((ABS($B102-I102))/$B102)))))</f>
        <v/>
      </c>
      <c r="K102" s="285"/>
      <c r="L102" s="132" t="str">
        <f t="shared" ref="L102" si="937">IF(K102="","",IF($B$7="Menor valor",($E$4/$A$4)*($B102/K102),IF(K102&lt;=$B102,($E$4/$A$4)*(1-(($B102-K102)/$B102)),($E$4*60%/$A$4)*(1-2*((ABS($B102-K102))/$B102)))))</f>
        <v/>
      </c>
      <c r="M102" s="285"/>
      <c r="N102" s="132" t="str">
        <f t="shared" ref="N102" si="938">IF(M102="","",IF($B$7="Menor valor",($E$4/$A$4)*($B102/M102),IF(M102&lt;=$B102,($E$4/$A$4)*(1-(($B102-M102)/$B102)),($E$4*60%/$A$4)*(1-2*((ABS($B102-M102))/$B102)))))</f>
        <v/>
      </c>
      <c r="O102" s="285"/>
      <c r="P102" s="132" t="str">
        <f t="shared" ref="P102" si="939">IF(O102="","",IF($B$7="Menor valor",($E$4/$A$4)*($B102/O102),IF(O102&lt;=$B102,($E$4/$A$4)*(1-(($B102-O102)/$B102)),($E$4*60%/$A$4)*(1-2*((ABS($B102-O102))/$B102)))))</f>
        <v/>
      </c>
      <c r="Q102" s="285"/>
      <c r="R102" s="132" t="str">
        <f t="shared" ref="R102" si="940">IF(Q102="","",IF($B$7="Menor valor",($E$4/$A$4)*($B102/Q102),IF(Q102&lt;=$B102,($E$4/$A$4)*(1-(($B102-Q102)/$B102)),($E$4*60%/$A$4)*(1-2*((ABS($B102-Q102))/$B102)))))</f>
        <v/>
      </c>
      <c r="S102" s="285"/>
      <c r="T102" s="132" t="str">
        <f t="shared" ref="T102" si="941">IF(S102="","",IF($B$7="Menor valor",($E$4/$A$4)*($B102/S102),IF(S102&lt;=$B102,($E$4/$A$4)*(1-(($B102-S102)/$B102)),($E$4*60%/$A$4)*(1-2*((ABS($B102-S102))/$B102)))))</f>
        <v/>
      </c>
      <c r="U102" s="285"/>
      <c r="V102" s="132" t="str">
        <f t="shared" ref="V102" si="942">IF(U102="","",IF($B$7="Menor valor",($E$4/$A$4)*($B102/U102),IF(U102&lt;=$B102,($E$4/$A$4)*(1-(($B102-U102)/$B102)),($E$4*60%/$A$4)*(1-2*((ABS($B102-U102))/$B102)))))</f>
        <v/>
      </c>
      <c r="W102" s="285"/>
      <c r="X102" s="132" t="str">
        <f t="shared" ref="X102" si="943">IF(W102="","",IF($B$7="Menor valor",($E$4/$A$4)*($B102/W102),IF(W102&lt;=$B102,($E$4/$A$4)*(1-(($B102-W102)/$B102)),($E$4*60%/$A$4)*(1-2*((ABS($B102-W102))/$B102)))))</f>
        <v/>
      </c>
      <c r="Y102" s="285"/>
      <c r="Z102" s="132" t="str">
        <f t="shared" ref="Z102" si="944">IF(Y102="","",IF($B$7="Menor valor",($E$4/$A$4)*($B102/Y102),IF(Y102&lt;=$B102,($E$4/$A$4)*(1-(($B102-Y102)/$B102)),($E$4*60%/$A$4)*(1-2*((ABS($B102-Y102))/$B102)))))</f>
        <v/>
      </c>
      <c r="AA102" s="129">
        <v>1</v>
      </c>
    </row>
    <row r="103" spans="1:27" s="129" customFormat="1" ht="21" customHeight="1">
      <c r="A103" s="204" t="str">
        <f>+'Presupuesto Consolidado'!A120</f>
        <v>3.2.15</v>
      </c>
      <c r="B103" s="130">
        <f t="shared" si="633"/>
        <v>250122</v>
      </c>
      <c r="C103" s="131">
        <f>IF($C$7="Habilitado",ROUND('Presupuesto Consolidado'!E120,2),"")</f>
        <v>250122</v>
      </c>
      <c r="D103" s="132">
        <f t="shared" si="644"/>
        <v>0.78125</v>
      </c>
      <c r="E103" s="131" t="str">
        <f>IF($E$7="Habilitado",ROUND('Presupuesto Consolidado'!L120,2),"")</f>
        <v/>
      </c>
      <c r="F103" s="132" t="str">
        <f t="shared" si="644"/>
        <v/>
      </c>
      <c r="G103" s="285"/>
      <c r="H103" s="132" t="str">
        <f t="shared" ref="H103" si="945">IF(G103="","",IF($B$7="Menor valor",($E$4/$A$4)*($B103/G103),IF(G103&lt;=$B103,($E$4/$A$4)*(1-(($B103-G103)/$B103)),($E$4*60%/$A$4)*(1-2*((ABS($B103-G103))/$B103)))))</f>
        <v/>
      </c>
      <c r="I103" s="285"/>
      <c r="J103" s="132" t="str">
        <f t="shared" ref="J103" si="946">IF(I103="","",IF($B$7="Menor valor",($E$4/$A$4)*($B103/I103),IF(I103&lt;=$B103,($E$4/$A$4)*(1-(($B103-I103)/$B103)),($E$4*60%/$A$4)*(1-2*((ABS($B103-I103))/$B103)))))</f>
        <v/>
      </c>
      <c r="K103" s="285"/>
      <c r="L103" s="132" t="str">
        <f t="shared" ref="L103" si="947">IF(K103="","",IF($B$7="Menor valor",($E$4/$A$4)*($B103/K103),IF(K103&lt;=$B103,($E$4/$A$4)*(1-(($B103-K103)/$B103)),($E$4*60%/$A$4)*(1-2*((ABS($B103-K103))/$B103)))))</f>
        <v/>
      </c>
      <c r="M103" s="285"/>
      <c r="N103" s="132" t="str">
        <f t="shared" ref="N103" si="948">IF(M103="","",IF($B$7="Menor valor",($E$4/$A$4)*($B103/M103),IF(M103&lt;=$B103,($E$4/$A$4)*(1-(($B103-M103)/$B103)),($E$4*60%/$A$4)*(1-2*((ABS($B103-M103))/$B103)))))</f>
        <v/>
      </c>
      <c r="O103" s="285"/>
      <c r="P103" s="132" t="str">
        <f t="shared" ref="P103" si="949">IF(O103="","",IF($B$7="Menor valor",($E$4/$A$4)*($B103/O103),IF(O103&lt;=$B103,($E$4/$A$4)*(1-(($B103-O103)/$B103)),($E$4*60%/$A$4)*(1-2*((ABS($B103-O103))/$B103)))))</f>
        <v/>
      </c>
      <c r="Q103" s="285"/>
      <c r="R103" s="132" t="str">
        <f t="shared" ref="R103" si="950">IF(Q103="","",IF($B$7="Menor valor",($E$4/$A$4)*($B103/Q103),IF(Q103&lt;=$B103,($E$4/$A$4)*(1-(($B103-Q103)/$B103)),($E$4*60%/$A$4)*(1-2*((ABS($B103-Q103))/$B103)))))</f>
        <v/>
      </c>
      <c r="S103" s="285"/>
      <c r="T103" s="132" t="str">
        <f t="shared" ref="T103" si="951">IF(S103="","",IF($B$7="Menor valor",($E$4/$A$4)*($B103/S103),IF(S103&lt;=$B103,($E$4/$A$4)*(1-(($B103-S103)/$B103)),($E$4*60%/$A$4)*(1-2*((ABS($B103-S103))/$B103)))))</f>
        <v/>
      </c>
      <c r="U103" s="285"/>
      <c r="V103" s="132" t="str">
        <f t="shared" ref="V103" si="952">IF(U103="","",IF($B$7="Menor valor",($E$4/$A$4)*($B103/U103),IF(U103&lt;=$B103,($E$4/$A$4)*(1-(($B103-U103)/$B103)),($E$4*60%/$A$4)*(1-2*((ABS($B103-U103))/$B103)))))</f>
        <v/>
      </c>
      <c r="W103" s="285"/>
      <c r="X103" s="132" t="str">
        <f t="shared" ref="X103" si="953">IF(W103="","",IF($B$7="Menor valor",($E$4/$A$4)*($B103/W103),IF(W103&lt;=$B103,($E$4/$A$4)*(1-(($B103-W103)/$B103)),($E$4*60%/$A$4)*(1-2*((ABS($B103-W103))/$B103)))))</f>
        <v/>
      </c>
      <c r="Y103" s="285"/>
      <c r="Z103" s="132" t="str">
        <f t="shared" ref="Z103" si="954">IF(Y103="","",IF($B$7="Menor valor",($E$4/$A$4)*($B103/Y103),IF(Y103&lt;=$B103,($E$4/$A$4)*(1-(($B103-Y103)/$B103)),($E$4*60%/$A$4)*(1-2*((ABS($B103-Y103))/$B103)))))</f>
        <v/>
      </c>
      <c r="AA103" s="129">
        <v>1</v>
      </c>
    </row>
    <row r="104" spans="1:27" s="129" customFormat="1" ht="21" customHeight="1">
      <c r="A104" s="204" t="str">
        <f>+'Presupuesto Consolidado'!A121</f>
        <v>3.2.16</v>
      </c>
      <c r="B104" s="130">
        <f t="shared" ref="B104:B135" si="955">IF($B$7="Menor valor"=3,MIN(C104,E104,G104,I104,K104,M104,O104,Q104,S104,U104,W104,Y104),IF($B$7="Media aritmética alta",(MAX(C104,E104,G104,I104,K104,M104,O104,Q104,S104,U104,W104,Y104)+AVERAGE(C104,E104,G104,I104,K104,M104,O104,Q104,S104,U104,W104,Y104))/2,AVERAGE(C104,E104,G104,I104,K104,M104,O104,Q104,S104,U104,W104,Y104)))</f>
        <v>250122</v>
      </c>
      <c r="C104" s="131">
        <f>IF($C$7="Habilitado",ROUND('Presupuesto Consolidado'!E121,2),"")</f>
        <v>250122</v>
      </c>
      <c r="D104" s="132">
        <f t="shared" si="644"/>
        <v>0.78125</v>
      </c>
      <c r="E104" s="131" t="str">
        <f>IF($E$7="Habilitado",ROUND('Presupuesto Consolidado'!L121,2),"")</f>
        <v/>
      </c>
      <c r="F104" s="132" t="str">
        <f t="shared" si="644"/>
        <v/>
      </c>
      <c r="G104" s="285"/>
      <c r="H104" s="132" t="str">
        <f t="shared" ref="H104" si="956">IF(G104="","",IF($B$7="Menor valor",($E$4/$A$4)*($B104/G104),IF(G104&lt;=$B104,($E$4/$A$4)*(1-(($B104-G104)/$B104)),($E$4*60%/$A$4)*(1-2*((ABS($B104-G104))/$B104)))))</f>
        <v/>
      </c>
      <c r="I104" s="285"/>
      <c r="J104" s="132" t="str">
        <f t="shared" ref="J104" si="957">IF(I104="","",IF($B$7="Menor valor",($E$4/$A$4)*($B104/I104),IF(I104&lt;=$B104,($E$4/$A$4)*(1-(($B104-I104)/$B104)),($E$4*60%/$A$4)*(1-2*((ABS($B104-I104))/$B104)))))</f>
        <v/>
      </c>
      <c r="K104" s="285"/>
      <c r="L104" s="132" t="str">
        <f t="shared" ref="L104" si="958">IF(K104="","",IF($B$7="Menor valor",($E$4/$A$4)*($B104/K104),IF(K104&lt;=$B104,($E$4/$A$4)*(1-(($B104-K104)/$B104)),($E$4*60%/$A$4)*(1-2*((ABS($B104-K104))/$B104)))))</f>
        <v/>
      </c>
      <c r="M104" s="285"/>
      <c r="N104" s="132" t="str">
        <f t="shared" ref="N104" si="959">IF(M104="","",IF($B$7="Menor valor",($E$4/$A$4)*($B104/M104),IF(M104&lt;=$B104,($E$4/$A$4)*(1-(($B104-M104)/$B104)),($E$4*60%/$A$4)*(1-2*((ABS($B104-M104))/$B104)))))</f>
        <v/>
      </c>
      <c r="O104" s="285"/>
      <c r="P104" s="132" t="str">
        <f t="shared" ref="P104" si="960">IF(O104="","",IF($B$7="Menor valor",($E$4/$A$4)*($B104/O104),IF(O104&lt;=$B104,($E$4/$A$4)*(1-(($B104-O104)/$B104)),($E$4*60%/$A$4)*(1-2*((ABS($B104-O104))/$B104)))))</f>
        <v/>
      </c>
      <c r="Q104" s="285"/>
      <c r="R104" s="132" t="str">
        <f t="shared" ref="R104" si="961">IF(Q104="","",IF($B$7="Menor valor",($E$4/$A$4)*($B104/Q104),IF(Q104&lt;=$B104,($E$4/$A$4)*(1-(($B104-Q104)/$B104)),($E$4*60%/$A$4)*(1-2*((ABS($B104-Q104))/$B104)))))</f>
        <v/>
      </c>
      <c r="S104" s="285"/>
      <c r="T104" s="132" t="str">
        <f t="shared" ref="T104" si="962">IF(S104="","",IF($B$7="Menor valor",($E$4/$A$4)*($B104/S104),IF(S104&lt;=$B104,($E$4/$A$4)*(1-(($B104-S104)/$B104)),($E$4*60%/$A$4)*(1-2*((ABS($B104-S104))/$B104)))))</f>
        <v/>
      </c>
      <c r="U104" s="285"/>
      <c r="V104" s="132" t="str">
        <f t="shared" ref="V104" si="963">IF(U104="","",IF($B$7="Menor valor",($E$4/$A$4)*($B104/U104),IF(U104&lt;=$B104,($E$4/$A$4)*(1-(($B104-U104)/$B104)),($E$4*60%/$A$4)*(1-2*((ABS($B104-U104))/$B104)))))</f>
        <v/>
      </c>
      <c r="W104" s="285"/>
      <c r="X104" s="132" t="str">
        <f t="shared" ref="X104" si="964">IF(W104="","",IF($B$7="Menor valor",($E$4/$A$4)*($B104/W104),IF(W104&lt;=$B104,($E$4/$A$4)*(1-(($B104-W104)/$B104)),($E$4*60%/$A$4)*(1-2*((ABS($B104-W104))/$B104)))))</f>
        <v/>
      </c>
      <c r="Y104" s="285"/>
      <c r="Z104" s="132" t="str">
        <f t="shared" ref="Z104" si="965">IF(Y104="","",IF($B$7="Menor valor",($E$4/$A$4)*($B104/Y104),IF(Y104&lt;=$B104,($E$4/$A$4)*(1-(($B104-Y104)/$B104)),($E$4*60%/$A$4)*(1-2*((ABS($B104-Y104))/$B104)))))</f>
        <v/>
      </c>
      <c r="AA104" s="129">
        <v>1</v>
      </c>
    </row>
    <row r="105" spans="1:27" s="129" customFormat="1" ht="21" customHeight="1">
      <c r="A105" s="204" t="str">
        <f>+'Presupuesto Consolidado'!A122</f>
        <v>3.2.17</v>
      </c>
      <c r="B105" s="130">
        <f t="shared" si="955"/>
        <v>519918</v>
      </c>
      <c r="C105" s="131">
        <f>IF($C$7="Habilitado",ROUND('Presupuesto Consolidado'!E122,2),"")</f>
        <v>519918</v>
      </c>
      <c r="D105" s="132">
        <f t="shared" si="644"/>
        <v>0.78125</v>
      </c>
      <c r="E105" s="131" t="str">
        <f>IF($E$7="Habilitado",ROUND('Presupuesto Consolidado'!L122,2),"")</f>
        <v/>
      </c>
      <c r="F105" s="132" t="str">
        <f t="shared" si="644"/>
        <v/>
      </c>
      <c r="G105" s="285"/>
      <c r="H105" s="132" t="str">
        <f t="shared" ref="H105" si="966">IF(G105="","",IF($B$7="Menor valor",($E$4/$A$4)*($B105/G105),IF(G105&lt;=$B105,($E$4/$A$4)*(1-(($B105-G105)/$B105)),($E$4*60%/$A$4)*(1-2*((ABS($B105-G105))/$B105)))))</f>
        <v/>
      </c>
      <c r="I105" s="285"/>
      <c r="J105" s="132" t="str">
        <f t="shared" ref="J105" si="967">IF(I105="","",IF($B$7="Menor valor",($E$4/$A$4)*($B105/I105),IF(I105&lt;=$B105,($E$4/$A$4)*(1-(($B105-I105)/$B105)),($E$4*60%/$A$4)*(1-2*((ABS($B105-I105))/$B105)))))</f>
        <v/>
      </c>
      <c r="K105" s="285"/>
      <c r="L105" s="132" t="str">
        <f t="shared" ref="L105" si="968">IF(K105="","",IF($B$7="Menor valor",($E$4/$A$4)*($B105/K105),IF(K105&lt;=$B105,($E$4/$A$4)*(1-(($B105-K105)/$B105)),($E$4*60%/$A$4)*(1-2*((ABS($B105-K105))/$B105)))))</f>
        <v/>
      </c>
      <c r="M105" s="285"/>
      <c r="N105" s="132" t="str">
        <f t="shared" ref="N105" si="969">IF(M105="","",IF($B$7="Menor valor",($E$4/$A$4)*($B105/M105),IF(M105&lt;=$B105,($E$4/$A$4)*(1-(($B105-M105)/$B105)),($E$4*60%/$A$4)*(1-2*((ABS($B105-M105))/$B105)))))</f>
        <v/>
      </c>
      <c r="O105" s="285"/>
      <c r="P105" s="132" t="str">
        <f t="shared" ref="P105" si="970">IF(O105="","",IF($B$7="Menor valor",($E$4/$A$4)*($B105/O105),IF(O105&lt;=$B105,($E$4/$A$4)*(1-(($B105-O105)/$B105)),($E$4*60%/$A$4)*(1-2*((ABS($B105-O105))/$B105)))))</f>
        <v/>
      </c>
      <c r="Q105" s="285"/>
      <c r="R105" s="132" t="str">
        <f t="shared" ref="R105" si="971">IF(Q105="","",IF($B$7="Menor valor",($E$4/$A$4)*($B105/Q105),IF(Q105&lt;=$B105,($E$4/$A$4)*(1-(($B105-Q105)/$B105)),($E$4*60%/$A$4)*(1-2*((ABS($B105-Q105))/$B105)))))</f>
        <v/>
      </c>
      <c r="S105" s="285"/>
      <c r="T105" s="132" t="str">
        <f t="shared" ref="T105" si="972">IF(S105="","",IF($B$7="Menor valor",($E$4/$A$4)*($B105/S105),IF(S105&lt;=$B105,($E$4/$A$4)*(1-(($B105-S105)/$B105)),($E$4*60%/$A$4)*(1-2*((ABS($B105-S105))/$B105)))))</f>
        <v/>
      </c>
      <c r="U105" s="285"/>
      <c r="V105" s="132" t="str">
        <f t="shared" ref="V105" si="973">IF(U105="","",IF($B$7="Menor valor",($E$4/$A$4)*($B105/U105),IF(U105&lt;=$B105,($E$4/$A$4)*(1-(($B105-U105)/$B105)),($E$4*60%/$A$4)*(1-2*((ABS($B105-U105))/$B105)))))</f>
        <v/>
      </c>
      <c r="W105" s="285"/>
      <c r="X105" s="132" t="str">
        <f t="shared" ref="X105" si="974">IF(W105="","",IF($B$7="Menor valor",($E$4/$A$4)*($B105/W105),IF(W105&lt;=$B105,($E$4/$A$4)*(1-(($B105-W105)/$B105)),($E$4*60%/$A$4)*(1-2*((ABS($B105-W105))/$B105)))))</f>
        <v/>
      </c>
      <c r="Y105" s="285"/>
      <c r="Z105" s="132" t="str">
        <f t="shared" ref="Z105" si="975">IF(Y105="","",IF($B$7="Menor valor",($E$4/$A$4)*($B105/Y105),IF(Y105&lt;=$B105,($E$4/$A$4)*(1-(($B105-Y105)/$B105)),($E$4*60%/$A$4)*(1-2*((ABS($B105-Y105))/$B105)))))</f>
        <v/>
      </c>
      <c r="AA105" s="129">
        <v>1</v>
      </c>
    </row>
    <row r="106" spans="1:27" s="129" customFormat="1" ht="21" customHeight="1">
      <c r="A106" s="204" t="str">
        <f>+'Presupuesto Consolidado'!A123</f>
        <v>3.2.18</v>
      </c>
      <c r="B106" s="130">
        <f t="shared" si="955"/>
        <v>622102</v>
      </c>
      <c r="C106" s="131">
        <f>IF($C$7="Habilitado",ROUND('Presupuesto Consolidado'!E123,2),"")</f>
        <v>622102</v>
      </c>
      <c r="D106" s="132">
        <f t="shared" si="644"/>
        <v>0.78125</v>
      </c>
      <c r="E106" s="131" t="str">
        <f>IF($E$7="Habilitado",ROUND('Presupuesto Consolidado'!L123,2),"")</f>
        <v/>
      </c>
      <c r="F106" s="132" t="str">
        <f t="shared" si="644"/>
        <v/>
      </c>
      <c r="G106" s="285"/>
      <c r="H106" s="132" t="str">
        <f t="shared" ref="H106" si="976">IF(G106="","",IF($B$7="Menor valor",($E$4/$A$4)*($B106/G106),IF(G106&lt;=$B106,($E$4/$A$4)*(1-(($B106-G106)/$B106)),($E$4*60%/$A$4)*(1-2*((ABS($B106-G106))/$B106)))))</f>
        <v/>
      </c>
      <c r="I106" s="285"/>
      <c r="J106" s="132" t="str">
        <f t="shared" ref="J106" si="977">IF(I106="","",IF($B$7="Menor valor",($E$4/$A$4)*($B106/I106),IF(I106&lt;=$B106,($E$4/$A$4)*(1-(($B106-I106)/$B106)),($E$4*60%/$A$4)*(1-2*((ABS($B106-I106))/$B106)))))</f>
        <v/>
      </c>
      <c r="K106" s="285"/>
      <c r="L106" s="132" t="str">
        <f t="shared" ref="L106" si="978">IF(K106="","",IF($B$7="Menor valor",($E$4/$A$4)*($B106/K106),IF(K106&lt;=$B106,($E$4/$A$4)*(1-(($B106-K106)/$B106)),($E$4*60%/$A$4)*(1-2*((ABS($B106-K106))/$B106)))))</f>
        <v/>
      </c>
      <c r="M106" s="285"/>
      <c r="N106" s="132" t="str">
        <f t="shared" ref="N106" si="979">IF(M106="","",IF($B$7="Menor valor",($E$4/$A$4)*($B106/M106),IF(M106&lt;=$B106,($E$4/$A$4)*(1-(($B106-M106)/$B106)),($E$4*60%/$A$4)*(1-2*((ABS($B106-M106))/$B106)))))</f>
        <v/>
      </c>
      <c r="O106" s="285"/>
      <c r="P106" s="132" t="str">
        <f t="shared" ref="P106" si="980">IF(O106="","",IF($B$7="Menor valor",($E$4/$A$4)*($B106/O106),IF(O106&lt;=$B106,($E$4/$A$4)*(1-(($B106-O106)/$B106)),($E$4*60%/$A$4)*(1-2*((ABS($B106-O106))/$B106)))))</f>
        <v/>
      </c>
      <c r="Q106" s="285"/>
      <c r="R106" s="132" t="str">
        <f t="shared" ref="R106" si="981">IF(Q106="","",IF($B$7="Menor valor",($E$4/$A$4)*($B106/Q106),IF(Q106&lt;=$B106,($E$4/$A$4)*(1-(($B106-Q106)/$B106)),($E$4*60%/$A$4)*(1-2*((ABS($B106-Q106))/$B106)))))</f>
        <v/>
      </c>
      <c r="S106" s="285"/>
      <c r="T106" s="132" t="str">
        <f t="shared" ref="T106" si="982">IF(S106="","",IF($B$7="Menor valor",($E$4/$A$4)*($B106/S106),IF(S106&lt;=$B106,($E$4/$A$4)*(1-(($B106-S106)/$B106)),($E$4*60%/$A$4)*(1-2*((ABS($B106-S106))/$B106)))))</f>
        <v/>
      </c>
      <c r="U106" s="285"/>
      <c r="V106" s="132" t="str">
        <f t="shared" ref="V106" si="983">IF(U106="","",IF($B$7="Menor valor",($E$4/$A$4)*($B106/U106),IF(U106&lt;=$B106,($E$4/$A$4)*(1-(($B106-U106)/$B106)),($E$4*60%/$A$4)*(1-2*((ABS($B106-U106))/$B106)))))</f>
        <v/>
      </c>
      <c r="W106" s="285"/>
      <c r="X106" s="132" t="str">
        <f t="shared" ref="X106" si="984">IF(W106="","",IF($B$7="Menor valor",($E$4/$A$4)*($B106/W106),IF(W106&lt;=$B106,($E$4/$A$4)*(1-(($B106-W106)/$B106)),($E$4*60%/$A$4)*(1-2*((ABS($B106-W106))/$B106)))))</f>
        <v/>
      </c>
      <c r="Y106" s="285"/>
      <c r="Z106" s="132" t="str">
        <f t="shared" ref="Z106" si="985">IF(Y106="","",IF($B$7="Menor valor",($E$4/$A$4)*($B106/Y106),IF(Y106&lt;=$B106,($E$4/$A$4)*(1-(($B106-Y106)/$B106)),($E$4*60%/$A$4)*(1-2*((ABS($B106-Y106))/$B106)))))</f>
        <v/>
      </c>
      <c r="AA106" s="129">
        <v>1</v>
      </c>
    </row>
    <row r="107" spans="1:27" s="129" customFormat="1" ht="21" customHeight="1">
      <c r="A107" s="204" t="str">
        <f>+'Presupuesto Consolidado'!A124</f>
        <v>3.2.19</v>
      </c>
      <c r="B107" s="130">
        <f t="shared" si="955"/>
        <v>650258</v>
      </c>
      <c r="C107" s="131">
        <f>IF($C$7="Habilitado",ROUND('Presupuesto Consolidado'!E124,2),"")</f>
        <v>650258</v>
      </c>
      <c r="D107" s="132">
        <f t="shared" si="644"/>
        <v>0.78125</v>
      </c>
      <c r="E107" s="131" t="str">
        <f>IF($E$7="Habilitado",ROUND('Presupuesto Consolidado'!L124,2),"")</f>
        <v/>
      </c>
      <c r="F107" s="132" t="str">
        <f t="shared" si="644"/>
        <v/>
      </c>
      <c r="G107" s="285"/>
      <c r="H107" s="132" t="str">
        <f t="shared" ref="H107" si="986">IF(G107="","",IF($B$7="Menor valor",($E$4/$A$4)*($B107/G107),IF(G107&lt;=$B107,($E$4/$A$4)*(1-(($B107-G107)/$B107)),($E$4*60%/$A$4)*(1-2*((ABS($B107-G107))/$B107)))))</f>
        <v/>
      </c>
      <c r="I107" s="285"/>
      <c r="J107" s="132" t="str">
        <f t="shared" ref="J107" si="987">IF(I107="","",IF($B$7="Menor valor",($E$4/$A$4)*($B107/I107),IF(I107&lt;=$B107,($E$4/$A$4)*(1-(($B107-I107)/$B107)),($E$4*60%/$A$4)*(1-2*((ABS($B107-I107))/$B107)))))</f>
        <v/>
      </c>
      <c r="K107" s="285"/>
      <c r="L107" s="132" t="str">
        <f t="shared" ref="L107" si="988">IF(K107="","",IF($B$7="Menor valor",($E$4/$A$4)*($B107/K107),IF(K107&lt;=$B107,($E$4/$A$4)*(1-(($B107-K107)/$B107)),($E$4*60%/$A$4)*(1-2*((ABS($B107-K107))/$B107)))))</f>
        <v/>
      </c>
      <c r="M107" s="285"/>
      <c r="N107" s="132" t="str">
        <f t="shared" ref="N107" si="989">IF(M107="","",IF($B$7="Menor valor",($E$4/$A$4)*($B107/M107),IF(M107&lt;=$B107,($E$4/$A$4)*(1-(($B107-M107)/$B107)),($E$4*60%/$A$4)*(1-2*((ABS($B107-M107))/$B107)))))</f>
        <v/>
      </c>
      <c r="O107" s="285"/>
      <c r="P107" s="132" t="str">
        <f t="shared" ref="P107" si="990">IF(O107="","",IF($B$7="Menor valor",($E$4/$A$4)*($B107/O107),IF(O107&lt;=$B107,($E$4/$A$4)*(1-(($B107-O107)/$B107)),($E$4*60%/$A$4)*(1-2*((ABS($B107-O107))/$B107)))))</f>
        <v/>
      </c>
      <c r="Q107" s="285"/>
      <c r="R107" s="132" t="str">
        <f t="shared" ref="R107" si="991">IF(Q107="","",IF($B$7="Menor valor",($E$4/$A$4)*($B107/Q107),IF(Q107&lt;=$B107,($E$4/$A$4)*(1-(($B107-Q107)/$B107)),($E$4*60%/$A$4)*(1-2*((ABS($B107-Q107))/$B107)))))</f>
        <v/>
      </c>
      <c r="S107" s="285"/>
      <c r="T107" s="132" t="str">
        <f t="shared" ref="T107" si="992">IF(S107="","",IF($B$7="Menor valor",($E$4/$A$4)*($B107/S107),IF(S107&lt;=$B107,($E$4/$A$4)*(1-(($B107-S107)/$B107)),($E$4*60%/$A$4)*(1-2*((ABS($B107-S107))/$B107)))))</f>
        <v/>
      </c>
      <c r="U107" s="285"/>
      <c r="V107" s="132" t="str">
        <f t="shared" ref="V107" si="993">IF(U107="","",IF($B$7="Menor valor",($E$4/$A$4)*($B107/U107),IF(U107&lt;=$B107,($E$4/$A$4)*(1-(($B107-U107)/$B107)),($E$4*60%/$A$4)*(1-2*((ABS($B107-U107))/$B107)))))</f>
        <v/>
      </c>
      <c r="W107" s="285"/>
      <c r="X107" s="132" t="str">
        <f t="shared" ref="X107" si="994">IF(W107="","",IF($B$7="Menor valor",($E$4/$A$4)*($B107/W107),IF(W107&lt;=$B107,($E$4/$A$4)*(1-(($B107-W107)/$B107)),($E$4*60%/$A$4)*(1-2*((ABS($B107-W107))/$B107)))))</f>
        <v/>
      </c>
      <c r="Y107" s="285"/>
      <c r="Z107" s="132" t="str">
        <f t="shared" ref="Z107" si="995">IF(Y107="","",IF($B$7="Menor valor",($E$4/$A$4)*($B107/Y107),IF(Y107&lt;=$B107,($E$4/$A$4)*(1-(($B107-Y107)/$B107)),($E$4*60%/$A$4)*(1-2*((ABS($B107-Y107))/$B107)))))</f>
        <v/>
      </c>
      <c r="AA107" s="129">
        <v>1</v>
      </c>
    </row>
    <row r="108" spans="1:27" s="129" customFormat="1" ht="21" customHeight="1">
      <c r="A108" s="204" t="str">
        <f>+'Presupuesto Consolidado'!A125</f>
        <v>3.2.20</v>
      </c>
      <c r="B108" s="130">
        <f t="shared" si="955"/>
        <v>36836</v>
      </c>
      <c r="C108" s="131">
        <f>IF($C$7="Habilitado",ROUND('Presupuesto Consolidado'!E125,2),"")</f>
        <v>36836</v>
      </c>
      <c r="D108" s="132">
        <f t="shared" si="644"/>
        <v>0.78125</v>
      </c>
      <c r="E108" s="131" t="str">
        <f>IF($E$7="Habilitado",ROUND('Presupuesto Consolidado'!L125,2),"")</f>
        <v/>
      </c>
      <c r="F108" s="132" t="str">
        <f t="shared" si="644"/>
        <v/>
      </c>
      <c r="G108" s="285"/>
      <c r="H108" s="132" t="str">
        <f t="shared" ref="H108" si="996">IF(G108="","",IF($B$7="Menor valor",($E$4/$A$4)*($B108/G108),IF(G108&lt;=$B108,($E$4/$A$4)*(1-(($B108-G108)/$B108)),($E$4*60%/$A$4)*(1-2*((ABS($B108-G108))/$B108)))))</f>
        <v/>
      </c>
      <c r="I108" s="285"/>
      <c r="J108" s="132" t="str">
        <f t="shared" ref="J108" si="997">IF(I108="","",IF($B$7="Menor valor",($E$4/$A$4)*($B108/I108),IF(I108&lt;=$B108,($E$4/$A$4)*(1-(($B108-I108)/$B108)),($E$4*60%/$A$4)*(1-2*((ABS($B108-I108))/$B108)))))</f>
        <v/>
      </c>
      <c r="K108" s="285"/>
      <c r="L108" s="132" t="str">
        <f t="shared" ref="L108" si="998">IF(K108="","",IF($B$7="Menor valor",($E$4/$A$4)*($B108/K108),IF(K108&lt;=$B108,($E$4/$A$4)*(1-(($B108-K108)/$B108)),($E$4*60%/$A$4)*(1-2*((ABS($B108-K108))/$B108)))))</f>
        <v/>
      </c>
      <c r="M108" s="285"/>
      <c r="N108" s="132" t="str">
        <f t="shared" ref="N108" si="999">IF(M108="","",IF($B$7="Menor valor",($E$4/$A$4)*($B108/M108),IF(M108&lt;=$B108,($E$4/$A$4)*(1-(($B108-M108)/$B108)),($E$4*60%/$A$4)*(1-2*((ABS($B108-M108))/$B108)))))</f>
        <v/>
      </c>
      <c r="O108" s="285"/>
      <c r="P108" s="132" t="str">
        <f t="shared" ref="P108" si="1000">IF(O108="","",IF($B$7="Menor valor",($E$4/$A$4)*($B108/O108),IF(O108&lt;=$B108,($E$4/$A$4)*(1-(($B108-O108)/$B108)),($E$4*60%/$A$4)*(1-2*((ABS($B108-O108))/$B108)))))</f>
        <v/>
      </c>
      <c r="Q108" s="285"/>
      <c r="R108" s="132" t="str">
        <f t="shared" ref="R108" si="1001">IF(Q108="","",IF($B$7="Menor valor",($E$4/$A$4)*($B108/Q108),IF(Q108&lt;=$B108,($E$4/$A$4)*(1-(($B108-Q108)/$B108)),($E$4*60%/$A$4)*(1-2*((ABS($B108-Q108))/$B108)))))</f>
        <v/>
      </c>
      <c r="S108" s="285"/>
      <c r="T108" s="132" t="str">
        <f t="shared" ref="T108" si="1002">IF(S108="","",IF($B$7="Menor valor",($E$4/$A$4)*($B108/S108),IF(S108&lt;=$B108,($E$4/$A$4)*(1-(($B108-S108)/$B108)),($E$4*60%/$A$4)*(1-2*((ABS($B108-S108))/$B108)))))</f>
        <v/>
      </c>
      <c r="U108" s="285"/>
      <c r="V108" s="132" t="str">
        <f t="shared" ref="V108" si="1003">IF(U108="","",IF($B$7="Menor valor",($E$4/$A$4)*($B108/U108),IF(U108&lt;=$B108,($E$4/$A$4)*(1-(($B108-U108)/$B108)),($E$4*60%/$A$4)*(1-2*((ABS($B108-U108))/$B108)))))</f>
        <v/>
      </c>
      <c r="W108" s="285"/>
      <c r="X108" s="132" t="str">
        <f t="shared" ref="X108" si="1004">IF(W108="","",IF($B$7="Menor valor",($E$4/$A$4)*($B108/W108),IF(W108&lt;=$B108,($E$4/$A$4)*(1-(($B108-W108)/$B108)),($E$4*60%/$A$4)*(1-2*((ABS($B108-W108))/$B108)))))</f>
        <v/>
      </c>
      <c r="Y108" s="285"/>
      <c r="Z108" s="132" t="str">
        <f t="shared" ref="Z108" si="1005">IF(Y108="","",IF($B$7="Menor valor",($E$4/$A$4)*($B108/Y108),IF(Y108&lt;=$B108,($E$4/$A$4)*(1-(($B108-Y108)/$B108)),($E$4*60%/$A$4)*(1-2*((ABS($B108-Y108))/$B108)))))</f>
        <v/>
      </c>
      <c r="AA108" s="129">
        <v>1</v>
      </c>
    </row>
    <row r="109" spans="1:27" s="129" customFormat="1" ht="21" customHeight="1">
      <c r="A109" s="204" t="str">
        <f>+'Presupuesto Consolidado'!A126</f>
        <v>3.2.21</v>
      </c>
      <c r="B109" s="130">
        <f t="shared" si="955"/>
        <v>162599</v>
      </c>
      <c r="C109" s="131">
        <f>IF($C$7="Habilitado",ROUND('Presupuesto Consolidado'!E126,2),"")</f>
        <v>162599</v>
      </c>
      <c r="D109" s="132">
        <f t="shared" si="644"/>
        <v>0.78125</v>
      </c>
      <c r="E109" s="131" t="str">
        <f>IF($E$7="Habilitado",ROUND('Presupuesto Consolidado'!L126,2),"")</f>
        <v/>
      </c>
      <c r="F109" s="132" t="str">
        <f t="shared" si="644"/>
        <v/>
      </c>
      <c r="G109" s="285"/>
      <c r="H109" s="132" t="str">
        <f t="shared" ref="H109" si="1006">IF(G109="","",IF($B$7="Menor valor",($E$4/$A$4)*($B109/G109),IF(G109&lt;=$B109,($E$4/$A$4)*(1-(($B109-G109)/$B109)),($E$4*60%/$A$4)*(1-2*((ABS($B109-G109))/$B109)))))</f>
        <v/>
      </c>
      <c r="I109" s="285"/>
      <c r="J109" s="132" t="str">
        <f t="shared" ref="J109" si="1007">IF(I109="","",IF($B$7="Menor valor",($E$4/$A$4)*($B109/I109),IF(I109&lt;=$B109,($E$4/$A$4)*(1-(($B109-I109)/$B109)),($E$4*60%/$A$4)*(1-2*((ABS($B109-I109))/$B109)))))</f>
        <v/>
      </c>
      <c r="K109" s="285"/>
      <c r="L109" s="132" t="str">
        <f t="shared" ref="L109" si="1008">IF(K109="","",IF($B$7="Menor valor",($E$4/$A$4)*($B109/K109),IF(K109&lt;=$B109,($E$4/$A$4)*(1-(($B109-K109)/$B109)),($E$4*60%/$A$4)*(1-2*((ABS($B109-K109))/$B109)))))</f>
        <v/>
      </c>
      <c r="M109" s="285"/>
      <c r="N109" s="132" t="str">
        <f t="shared" ref="N109" si="1009">IF(M109="","",IF($B$7="Menor valor",($E$4/$A$4)*($B109/M109),IF(M109&lt;=$B109,($E$4/$A$4)*(1-(($B109-M109)/$B109)),($E$4*60%/$A$4)*(1-2*((ABS($B109-M109))/$B109)))))</f>
        <v/>
      </c>
      <c r="O109" s="285"/>
      <c r="P109" s="132" t="str">
        <f t="shared" ref="P109" si="1010">IF(O109="","",IF($B$7="Menor valor",($E$4/$A$4)*($B109/O109),IF(O109&lt;=$B109,($E$4/$A$4)*(1-(($B109-O109)/$B109)),($E$4*60%/$A$4)*(1-2*((ABS($B109-O109))/$B109)))))</f>
        <v/>
      </c>
      <c r="Q109" s="285"/>
      <c r="R109" s="132" t="str">
        <f t="shared" ref="R109" si="1011">IF(Q109="","",IF($B$7="Menor valor",($E$4/$A$4)*($B109/Q109),IF(Q109&lt;=$B109,($E$4/$A$4)*(1-(($B109-Q109)/$B109)),($E$4*60%/$A$4)*(1-2*((ABS($B109-Q109))/$B109)))))</f>
        <v/>
      </c>
      <c r="S109" s="285"/>
      <c r="T109" s="132" t="str">
        <f t="shared" ref="T109" si="1012">IF(S109="","",IF($B$7="Menor valor",($E$4/$A$4)*($B109/S109),IF(S109&lt;=$B109,($E$4/$A$4)*(1-(($B109-S109)/$B109)),($E$4*60%/$A$4)*(1-2*((ABS($B109-S109))/$B109)))))</f>
        <v/>
      </c>
      <c r="U109" s="285"/>
      <c r="V109" s="132" t="str">
        <f t="shared" ref="V109" si="1013">IF(U109="","",IF($B$7="Menor valor",($E$4/$A$4)*($B109/U109),IF(U109&lt;=$B109,($E$4/$A$4)*(1-(($B109-U109)/$B109)),($E$4*60%/$A$4)*(1-2*((ABS($B109-U109))/$B109)))))</f>
        <v/>
      </c>
      <c r="W109" s="285"/>
      <c r="X109" s="132" t="str">
        <f t="shared" ref="X109" si="1014">IF(W109="","",IF($B$7="Menor valor",($E$4/$A$4)*($B109/W109),IF(W109&lt;=$B109,($E$4/$A$4)*(1-(($B109-W109)/$B109)),($E$4*60%/$A$4)*(1-2*((ABS($B109-W109))/$B109)))))</f>
        <v/>
      </c>
      <c r="Y109" s="285"/>
      <c r="Z109" s="132" t="str">
        <f t="shared" ref="Z109" si="1015">IF(Y109="","",IF($B$7="Menor valor",($E$4/$A$4)*($B109/Y109),IF(Y109&lt;=$B109,($E$4/$A$4)*(1-(($B109-Y109)/$B109)),($E$4*60%/$A$4)*(1-2*((ABS($B109-Y109))/$B109)))))</f>
        <v/>
      </c>
      <c r="AA109" s="129">
        <v>1</v>
      </c>
    </row>
    <row r="110" spans="1:27" s="129" customFormat="1" ht="21" customHeight="1">
      <c r="A110" s="204" t="str">
        <f>+'Presupuesto Consolidado'!A128</f>
        <v>3.3.1</v>
      </c>
      <c r="B110" s="130">
        <f t="shared" si="955"/>
        <v>219068</v>
      </c>
      <c r="C110" s="131">
        <f>IF($C$7="Habilitado",ROUND('Presupuesto Consolidado'!E128,2),"")</f>
        <v>219068</v>
      </c>
      <c r="D110" s="132">
        <f t="shared" si="644"/>
        <v>0.78125</v>
      </c>
      <c r="E110" s="131" t="str">
        <f>IF($E$7="Habilitado",ROUND('Presupuesto Consolidado'!L128,2),"")</f>
        <v/>
      </c>
      <c r="F110" s="132" t="str">
        <f t="shared" si="644"/>
        <v/>
      </c>
      <c r="G110" s="285"/>
      <c r="H110" s="132" t="str">
        <f t="shared" ref="H110" si="1016">IF(G110="","",IF($B$7="Menor valor",($E$4/$A$4)*($B110/G110),IF(G110&lt;=$B110,($E$4/$A$4)*(1-(($B110-G110)/$B110)),($E$4*60%/$A$4)*(1-2*((ABS($B110-G110))/$B110)))))</f>
        <v/>
      </c>
      <c r="I110" s="285"/>
      <c r="J110" s="132" t="str">
        <f t="shared" ref="J110" si="1017">IF(I110="","",IF($B$7="Menor valor",($E$4/$A$4)*($B110/I110),IF(I110&lt;=$B110,($E$4/$A$4)*(1-(($B110-I110)/$B110)),($E$4*60%/$A$4)*(1-2*((ABS($B110-I110))/$B110)))))</f>
        <v/>
      </c>
      <c r="K110" s="285"/>
      <c r="L110" s="132" t="str">
        <f t="shared" ref="L110" si="1018">IF(K110="","",IF($B$7="Menor valor",($E$4/$A$4)*($B110/K110),IF(K110&lt;=$B110,($E$4/$A$4)*(1-(($B110-K110)/$B110)),($E$4*60%/$A$4)*(1-2*((ABS($B110-K110))/$B110)))))</f>
        <v/>
      </c>
      <c r="M110" s="285"/>
      <c r="N110" s="132" t="str">
        <f t="shared" ref="N110" si="1019">IF(M110="","",IF($B$7="Menor valor",($E$4/$A$4)*($B110/M110),IF(M110&lt;=$B110,($E$4/$A$4)*(1-(($B110-M110)/$B110)),($E$4*60%/$A$4)*(1-2*((ABS($B110-M110))/$B110)))))</f>
        <v/>
      </c>
      <c r="O110" s="285"/>
      <c r="P110" s="132" t="str">
        <f t="shared" ref="P110" si="1020">IF(O110="","",IF($B$7="Menor valor",($E$4/$A$4)*($B110/O110),IF(O110&lt;=$B110,($E$4/$A$4)*(1-(($B110-O110)/$B110)),($E$4*60%/$A$4)*(1-2*((ABS($B110-O110))/$B110)))))</f>
        <v/>
      </c>
      <c r="Q110" s="285"/>
      <c r="R110" s="132" t="str">
        <f t="shared" ref="R110" si="1021">IF(Q110="","",IF($B$7="Menor valor",($E$4/$A$4)*($B110/Q110),IF(Q110&lt;=$B110,($E$4/$A$4)*(1-(($B110-Q110)/$B110)),($E$4*60%/$A$4)*(1-2*((ABS($B110-Q110))/$B110)))))</f>
        <v/>
      </c>
      <c r="S110" s="285"/>
      <c r="T110" s="132" t="str">
        <f t="shared" ref="T110" si="1022">IF(S110="","",IF($B$7="Menor valor",($E$4/$A$4)*($B110/S110),IF(S110&lt;=$B110,($E$4/$A$4)*(1-(($B110-S110)/$B110)),($E$4*60%/$A$4)*(1-2*((ABS($B110-S110))/$B110)))))</f>
        <v/>
      </c>
      <c r="U110" s="285"/>
      <c r="V110" s="132" t="str">
        <f t="shared" ref="V110" si="1023">IF(U110="","",IF($B$7="Menor valor",($E$4/$A$4)*($B110/U110),IF(U110&lt;=$B110,($E$4/$A$4)*(1-(($B110-U110)/$B110)),($E$4*60%/$A$4)*(1-2*((ABS($B110-U110))/$B110)))))</f>
        <v/>
      </c>
      <c r="W110" s="285"/>
      <c r="X110" s="132" t="str">
        <f t="shared" ref="X110" si="1024">IF(W110="","",IF($B$7="Menor valor",($E$4/$A$4)*($B110/W110),IF(W110&lt;=$B110,($E$4/$A$4)*(1-(($B110-W110)/$B110)),($E$4*60%/$A$4)*(1-2*((ABS($B110-W110))/$B110)))))</f>
        <v/>
      </c>
      <c r="Y110" s="285"/>
      <c r="Z110" s="132" t="str">
        <f t="shared" ref="Z110" si="1025">IF(Y110="","",IF($B$7="Menor valor",($E$4/$A$4)*($B110/Y110),IF(Y110&lt;=$B110,($E$4/$A$4)*(1-(($B110-Y110)/$B110)),($E$4*60%/$A$4)*(1-2*((ABS($B110-Y110))/$B110)))))</f>
        <v/>
      </c>
      <c r="AA110" s="129">
        <v>1</v>
      </c>
    </row>
    <row r="111" spans="1:27" s="129" customFormat="1" ht="21" customHeight="1">
      <c r="A111" s="204" t="str">
        <f>+'Presupuesto Consolidado'!A131</f>
        <v>4.1.1</v>
      </c>
      <c r="B111" s="130">
        <f t="shared" si="955"/>
        <v>161433</v>
      </c>
      <c r="C111" s="131">
        <f>IF($C$7="Habilitado",ROUND('Presupuesto Consolidado'!E131,2),"")</f>
        <v>161433</v>
      </c>
      <c r="D111" s="132">
        <f t="shared" si="644"/>
        <v>0.78125</v>
      </c>
      <c r="E111" s="131" t="str">
        <f>IF($E$7="Habilitado",ROUND('Presupuesto Consolidado'!L131,2),"")</f>
        <v/>
      </c>
      <c r="F111" s="132" t="str">
        <f t="shared" si="644"/>
        <v/>
      </c>
      <c r="G111" s="285"/>
      <c r="H111" s="132" t="str">
        <f t="shared" ref="H111" si="1026">IF(G111="","",IF($B$7="Menor valor",($E$4/$A$4)*($B111/G111),IF(G111&lt;=$B111,($E$4/$A$4)*(1-(($B111-G111)/$B111)),($E$4*60%/$A$4)*(1-2*((ABS($B111-G111))/$B111)))))</f>
        <v/>
      </c>
      <c r="I111" s="285"/>
      <c r="J111" s="132" t="str">
        <f t="shared" ref="J111" si="1027">IF(I111="","",IF($B$7="Menor valor",($E$4/$A$4)*($B111/I111),IF(I111&lt;=$B111,($E$4/$A$4)*(1-(($B111-I111)/$B111)),($E$4*60%/$A$4)*(1-2*((ABS($B111-I111))/$B111)))))</f>
        <v/>
      </c>
      <c r="K111" s="285"/>
      <c r="L111" s="132" t="str">
        <f t="shared" ref="L111" si="1028">IF(K111="","",IF($B$7="Menor valor",($E$4/$A$4)*($B111/K111),IF(K111&lt;=$B111,($E$4/$A$4)*(1-(($B111-K111)/$B111)),($E$4*60%/$A$4)*(1-2*((ABS($B111-K111))/$B111)))))</f>
        <v/>
      </c>
      <c r="M111" s="285"/>
      <c r="N111" s="132" t="str">
        <f t="shared" ref="N111" si="1029">IF(M111="","",IF($B$7="Menor valor",($E$4/$A$4)*($B111/M111),IF(M111&lt;=$B111,($E$4/$A$4)*(1-(($B111-M111)/$B111)),($E$4*60%/$A$4)*(1-2*((ABS($B111-M111))/$B111)))))</f>
        <v/>
      </c>
      <c r="O111" s="285"/>
      <c r="P111" s="132" t="str">
        <f t="shared" ref="P111" si="1030">IF(O111="","",IF($B$7="Menor valor",($E$4/$A$4)*($B111/O111),IF(O111&lt;=$B111,($E$4/$A$4)*(1-(($B111-O111)/$B111)),($E$4*60%/$A$4)*(1-2*((ABS($B111-O111))/$B111)))))</f>
        <v/>
      </c>
      <c r="Q111" s="285"/>
      <c r="R111" s="132" t="str">
        <f t="shared" ref="R111" si="1031">IF(Q111="","",IF($B$7="Menor valor",($E$4/$A$4)*($B111/Q111),IF(Q111&lt;=$B111,($E$4/$A$4)*(1-(($B111-Q111)/$B111)),($E$4*60%/$A$4)*(1-2*((ABS($B111-Q111))/$B111)))))</f>
        <v/>
      </c>
      <c r="S111" s="285"/>
      <c r="T111" s="132" t="str">
        <f t="shared" ref="T111" si="1032">IF(S111="","",IF($B$7="Menor valor",($E$4/$A$4)*($B111/S111),IF(S111&lt;=$B111,($E$4/$A$4)*(1-(($B111-S111)/$B111)),($E$4*60%/$A$4)*(1-2*((ABS($B111-S111))/$B111)))))</f>
        <v/>
      </c>
      <c r="U111" s="285"/>
      <c r="V111" s="132" t="str">
        <f t="shared" ref="V111" si="1033">IF(U111="","",IF($B$7="Menor valor",($E$4/$A$4)*($B111/U111),IF(U111&lt;=$B111,($E$4/$A$4)*(1-(($B111-U111)/$B111)),($E$4*60%/$A$4)*(1-2*((ABS($B111-U111))/$B111)))))</f>
        <v/>
      </c>
      <c r="W111" s="285"/>
      <c r="X111" s="132" t="str">
        <f t="shared" ref="X111" si="1034">IF(W111="","",IF($B$7="Menor valor",($E$4/$A$4)*($B111/W111),IF(W111&lt;=$B111,($E$4/$A$4)*(1-(($B111-W111)/$B111)),($E$4*60%/$A$4)*(1-2*((ABS($B111-W111))/$B111)))))</f>
        <v/>
      </c>
      <c r="Y111" s="285"/>
      <c r="Z111" s="132" t="str">
        <f t="shared" ref="Z111" si="1035">IF(Y111="","",IF($B$7="Menor valor",($E$4/$A$4)*($B111/Y111),IF(Y111&lt;=$B111,($E$4/$A$4)*(1-(($B111-Y111)/$B111)),($E$4*60%/$A$4)*(1-2*((ABS($B111-Y111))/$B111)))))</f>
        <v/>
      </c>
      <c r="AA111" s="129">
        <v>1</v>
      </c>
    </row>
    <row r="112" spans="1:27" s="129" customFormat="1" ht="21" customHeight="1">
      <c r="A112" s="204" t="str">
        <f>+'Presupuesto Consolidado'!A132</f>
        <v>4.1.2</v>
      </c>
      <c r="B112" s="130">
        <f t="shared" si="955"/>
        <v>161433</v>
      </c>
      <c r="C112" s="131">
        <f>IF($C$7="Habilitado",ROUND('Presupuesto Consolidado'!E132,2),"")</f>
        <v>161433</v>
      </c>
      <c r="D112" s="132">
        <f t="shared" si="644"/>
        <v>0.78125</v>
      </c>
      <c r="E112" s="131" t="str">
        <f>IF($E$7="Habilitado",ROUND('Presupuesto Consolidado'!L132,2),"")</f>
        <v/>
      </c>
      <c r="F112" s="132" t="str">
        <f t="shared" si="644"/>
        <v/>
      </c>
      <c r="G112" s="285"/>
      <c r="H112" s="132" t="str">
        <f t="shared" ref="H112" si="1036">IF(G112="","",IF($B$7="Menor valor",($E$4/$A$4)*($B112/G112),IF(G112&lt;=$B112,($E$4/$A$4)*(1-(($B112-G112)/$B112)),($E$4*60%/$A$4)*(1-2*((ABS($B112-G112))/$B112)))))</f>
        <v/>
      </c>
      <c r="I112" s="285"/>
      <c r="J112" s="132" t="str">
        <f t="shared" ref="J112" si="1037">IF(I112="","",IF($B$7="Menor valor",($E$4/$A$4)*($B112/I112),IF(I112&lt;=$B112,($E$4/$A$4)*(1-(($B112-I112)/$B112)),($E$4*60%/$A$4)*(1-2*((ABS($B112-I112))/$B112)))))</f>
        <v/>
      </c>
      <c r="K112" s="285"/>
      <c r="L112" s="132" t="str">
        <f t="shared" ref="L112" si="1038">IF(K112="","",IF($B$7="Menor valor",($E$4/$A$4)*($B112/K112),IF(K112&lt;=$B112,($E$4/$A$4)*(1-(($B112-K112)/$B112)),($E$4*60%/$A$4)*(1-2*((ABS($B112-K112))/$B112)))))</f>
        <v/>
      </c>
      <c r="M112" s="285"/>
      <c r="N112" s="132" t="str">
        <f t="shared" ref="N112" si="1039">IF(M112="","",IF($B$7="Menor valor",($E$4/$A$4)*($B112/M112),IF(M112&lt;=$B112,($E$4/$A$4)*(1-(($B112-M112)/$B112)),($E$4*60%/$A$4)*(1-2*((ABS($B112-M112))/$B112)))))</f>
        <v/>
      </c>
      <c r="O112" s="285"/>
      <c r="P112" s="132" t="str">
        <f t="shared" ref="P112" si="1040">IF(O112="","",IF($B$7="Menor valor",($E$4/$A$4)*($B112/O112),IF(O112&lt;=$B112,($E$4/$A$4)*(1-(($B112-O112)/$B112)),($E$4*60%/$A$4)*(1-2*((ABS($B112-O112))/$B112)))))</f>
        <v/>
      </c>
      <c r="Q112" s="285"/>
      <c r="R112" s="132" t="str">
        <f t="shared" ref="R112" si="1041">IF(Q112="","",IF($B$7="Menor valor",($E$4/$A$4)*($B112/Q112),IF(Q112&lt;=$B112,($E$4/$A$4)*(1-(($B112-Q112)/$B112)),($E$4*60%/$A$4)*(1-2*((ABS($B112-Q112))/$B112)))))</f>
        <v/>
      </c>
      <c r="S112" s="285"/>
      <c r="T112" s="132" t="str">
        <f t="shared" ref="T112" si="1042">IF(S112="","",IF($B$7="Menor valor",($E$4/$A$4)*($B112/S112),IF(S112&lt;=$B112,($E$4/$A$4)*(1-(($B112-S112)/$B112)),($E$4*60%/$A$4)*(1-2*((ABS($B112-S112))/$B112)))))</f>
        <v/>
      </c>
      <c r="U112" s="285"/>
      <c r="V112" s="132" t="str">
        <f t="shared" ref="V112" si="1043">IF(U112="","",IF($B$7="Menor valor",($E$4/$A$4)*($B112/U112),IF(U112&lt;=$B112,($E$4/$A$4)*(1-(($B112-U112)/$B112)),($E$4*60%/$A$4)*(1-2*((ABS($B112-U112))/$B112)))))</f>
        <v/>
      </c>
      <c r="W112" s="285"/>
      <c r="X112" s="132" t="str">
        <f t="shared" ref="X112" si="1044">IF(W112="","",IF($B$7="Menor valor",($E$4/$A$4)*($B112/W112),IF(W112&lt;=$B112,($E$4/$A$4)*(1-(($B112-W112)/$B112)),($E$4*60%/$A$4)*(1-2*((ABS($B112-W112))/$B112)))))</f>
        <v/>
      </c>
      <c r="Y112" s="285"/>
      <c r="Z112" s="132" t="str">
        <f t="shared" ref="Z112" si="1045">IF(Y112="","",IF($B$7="Menor valor",($E$4/$A$4)*($B112/Y112),IF(Y112&lt;=$B112,($E$4/$A$4)*(1-(($B112-Y112)/$B112)),($E$4*60%/$A$4)*(1-2*((ABS($B112-Y112))/$B112)))))</f>
        <v/>
      </c>
      <c r="AA112" s="129">
        <v>1</v>
      </c>
    </row>
    <row r="113" spans="1:27" s="129" customFormat="1" ht="21" customHeight="1">
      <c r="A113" s="204" t="str">
        <f>+'Presupuesto Consolidado'!A134</f>
        <v>4.2.1</v>
      </c>
      <c r="B113" s="130">
        <f t="shared" si="955"/>
        <v>3597</v>
      </c>
      <c r="C113" s="131">
        <f>IF($C$7="Habilitado",ROUND('Presupuesto Consolidado'!E134,2),"")</f>
        <v>3597</v>
      </c>
      <c r="D113" s="132">
        <f t="shared" si="644"/>
        <v>0.78125</v>
      </c>
      <c r="E113" s="131" t="str">
        <f>IF($E$7="Habilitado",ROUND('Presupuesto Consolidado'!L134,2),"")</f>
        <v/>
      </c>
      <c r="F113" s="132" t="str">
        <f t="shared" si="644"/>
        <v/>
      </c>
      <c r="G113" s="285"/>
      <c r="H113" s="132" t="str">
        <f t="shared" ref="H113" si="1046">IF(G113="","",IF($B$7="Menor valor",($E$4/$A$4)*($B113/G113),IF(G113&lt;=$B113,($E$4/$A$4)*(1-(($B113-G113)/$B113)),($E$4*60%/$A$4)*(1-2*((ABS($B113-G113))/$B113)))))</f>
        <v/>
      </c>
      <c r="I113" s="285"/>
      <c r="J113" s="132" t="str">
        <f t="shared" ref="J113" si="1047">IF(I113="","",IF($B$7="Menor valor",($E$4/$A$4)*($B113/I113),IF(I113&lt;=$B113,($E$4/$A$4)*(1-(($B113-I113)/$B113)),($E$4*60%/$A$4)*(1-2*((ABS($B113-I113))/$B113)))))</f>
        <v/>
      </c>
      <c r="K113" s="285"/>
      <c r="L113" s="132" t="str">
        <f t="shared" ref="L113" si="1048">IF(K113="","",IF($B$7="Menor valor",($E$4/$A$4)*($B113/K113),IF(K113&lt;=$B113,($E$4/$A$4)*(1-(($B113-K113)/$B113)),($E$4*60%/$A$4)*(1-2*((ABS($B113-K113))/$B113)))))</f>
        <v/>
      </c>
      <c r="M113" s="285"/>
      <c r="N113" s="132" t="str">
        <f t="shared" ref="N113" si="1049">IF(M113="","",IF($B$7="Menor valor",($E$4/$A$4)*($B113/M113),IF(M113&lt;=$B113,($E$4/$A$4)*(1-(($B113-M113)/$B113)),($E$4*60%/$A$4)*(1-2*((ABS($B113-M113))/$B113)))))</f>
        <v/>
      </c>
      <c r="O113" s="285"/>
      <c r="P113" s="132" t="str">
        <f t="shared" ref="P113" si="1050">IF(O113="","",IF($B$7="Menor valor",($E$4/$A$4)*($B113/O113),IF(O113&lt;=$B113,($E$4/$A$4)*(1-(($B113-O113)/$B113)),($E$4*60%/$A$4)*(1-2*((ABS($B113-O113))/$B113)))))</f>
        <v/>
      </c>
      <c r="Q113" s="285"/>
      <c r="R113" s="132" t="str">
        <f t="shared" ref="R113" si="1051">IF(Q113="","",IF($B$7="Menor valor",($E$4/$A$4)*($B113/Q113),IF(Q113&lt;=$B113,($E$4/$A$4)*(1-(($B113-Q113)/$B113)),($E$4*60%/$A$4)*(1-2*((ABS($B113-Q113))/$B113)))))</f>
        <v/>
      </c>
      <c r="S113" s="285"/>
      <c r="T113" s="132" t="str">
        <f t="shared" ref="T113" si="1052">IF(S113="","",IF($B$7="Menor valor",($E$4/$A$4)*($B113/S113),IF(S113&lt;=$B113,($E$4/$A$4)*(1-(($B113-S113)/$B113)),($E$4*60%/$A$4)*(1-2*((ABS($B113-S113))/$B113)))))</f>
        <v/>
      </c>
      <c r="U113" s="285"/>
      <c r="V113" s="132" t="str">
        <f t="shared" ref="V113" si="1053">IF(U113="","",IF($B$7="Menor valor",($E$4/$A$4)*($B113/U113),IF(U113&lt;=$B113,($E$4/$A$4)*(1-(($B113-U113)/$B113)),($E$4*60%/$A$4)*(1-2*((ABS($B113-U113))/$B113)))))</f>
        <v/>
      </c>
      <c r="W113" s="285"/>
      <c r="X113" s="132" t="str">
        <f t="shared" ref="X113" si="1054">IF(W113="","",IF($B$7="Menor valor",($E$4/$A$4)*($B113/W113),IF(W113&lt;=$B113,($E$4/$A$4)*(1-(($B113-W113)/$B113)),($E$4*60%/$A$4)*(1-2*((ABS($B113-W113))/$B113)))))</f>
        <v/>
      </c>
      <c r="Y113" s="285"/>
      <c r="Z113" s="132" t="str">
        <f t="shared" ref="Z113" si="1055">IF(Y113="","",IF($B$7="Menor valor",($E$4/$A$4)*($B113/Y113),IF(Y113&lt;=$B113,($E$4/$A$4)*(1-(($B113-Y113)/$B113)),($E$4*60%/$A$4)*(1-2*((ABS($B113-Y113))/$B113)))))</f>
        <v/>
      </c>
      <c r="AA113" s="129">
        <v>1</v>
      </c>
    </row>
    <row r="114" spans="1:27" s="129" customFormat="1" ht="21" customHeight="1">
      <c r="A114" s="204" t="str">
        <f>+'Presupuesto Consolidado'!A135</f>
        <v>4.2.2</v>
      </c>
      <c r="B114" s="130">
        <f t="shared" si="955"/>
        <v>6352</v>
      </c>
      <c r="C114" s="131">
        <f>IF($C$7="Habilitado",ROUND('Presupuesto Consolidado'!E135,2),"")</f>
        <v>6352</v>
      </c>
      <c r="D114" s="132">
        <f t="shared" si="644"/>
        <v>0.78125</v>
      </c>
      <c r="E114" s="131" t="str">
        <f>IF($E$7="Habilitado",ROUND('Presupuesto Consolidado'!L135,2),"")</f>
        <v/>
      </c>
      <c r="F114" s="132" t="str">
        <f t="shared" si="644"/>
        <v/>
      </c>
      <c r="G114" s="285"/>
      <c r="H114" s="132" t="str">
        <f t="shared" ref="H114" si="1056">IF(G114="","",IF($B$7="Menor valor",($E$4/$A$4)*($B114/G114),IF(G114&lt;=$B114,($E$4/$A$4)*(1-(($B114-G114)/$B114)),($E$4*60%/$A$4)*(1-2*((ABS($B114-G114))/$B114)))))</f>
        <v/>
      </c>
      <c r="I114" s="285"/>
      <c r="J114" s="132" t="str">
        <f t="shared" ref="J114" si="1057">IF(I114="","",IF($B$7="Menor valor",($E$4/$A$4)*($B114/I114),IF(I114&lt;=$B114,($E$4/$A$4)*(1-(($B114-I114)/$B114)),($E$4*60%/$A$4)*(1-2*((ABS($B114-I114))/$B114)))))</f>
        <v/>
      </c>
      <c r="K114" s="285"/>
      <c r="L114" s="132" t="str">
        <f t="shared" ref="L114" si="1058">IF(K114="","",IF($B$7="Menor valor",($E$4/$A$4)*($B114/K114),IF(K114&lt;=$B114,($E$4/$A$4)*(1-(($B114-K114)/$B114)),($E$4*60%/$A$4)*(1-2*((ABS($B114-K114))/$B114)))))</f>
        <v/>
      </c>
      <c r="M114" s="285"/>
      <c r="N114" s="132" t="str">
        <f t="shared" ref="N114" si="1059">IF(M114="","",IF($B$7="Menor valor",($E$4/$A$4)*($B114/M114),IF(M114&lt;=$B114,($E$4/$A$4)*(1-(($B114-M114)/$B114)),($E$4*60%/$A$4)*(1-2*((ABS($B114-M114))/$B114)))))</f>
        <v/>
      </c>
      <c r="O114" s="285"/>
      <c r="P114" s="132" t="str">
        <f t="shared" ref="P114" si="1060">IF(O114="","",IF($B$7="Menor valor",($E$4/$A$4)*($B114/O114),IF(O114&lt;=$B114,($E$4/$A$4)*(1-(($B114-O114)/$B114)),($E$4*60%/$A$4)*(1-2*((ABS($B114-O114))/$B114)))))</f>
        <v/>
      </c>
      <c r="Q114" s="285"/>
      <c r="R114" s="132" t="str">
        <f t="shared" ref="R114" si="1061">IF(Q114="","",IF($B$7="Menor valor",($E$4/$A$4)*($B114/Q114),IF(Q114&lt;=$B114,($E$4/$A$4)*(1-(($B114-Q114)/$B114)),($E$4*60%/$A$4)*(1-2*((ABS($B114-Q114))/$B114)))))</f>
        <v/>
      </c>
      <c r="S114" s="285"/>
      <c r="T114" s="132" t="str">
        <f t="shared" ref="T114" si="1062">IF(S114="","",IF($B$7="Menor valor",($E$4/$A$4)*($B114/S114),IF(S114&lt;=$B114,($E$4/$A$4)*(1-(($B114-S114)/$B114)),($E$4*60%/$A$4)*(1-2*((ABS($B114-S114))/$B114)))))</f>
        <v/>
      </c>
      <c r="U114" s="285"/>
      <c r="V114" s="132" t="str">
        <f t="shared" ref="V114" si="1063">IF(U114="","",IF($B$7="Menor valor",($E$4/$A$4)*($B114/U114),IF(U114&lt;=$B114,($E$4/$A$4)*(1-(($B114-U114)/$B114)),($E$4*60%/$A$4)*(1-2*((ABS($B114-U114))/$B114)))))</f>
        <v/>
      </c>
      <c r="W114" s="285"/>
      <c r="X114" s="132" t="str">
        <f t="shared" ref="X114" si="1064">IF(W114="","",IF($B$7="Menor valor",($E$4/$A$4)*($B114/W114),IF(W114&lt;=$B114,($E$4/$A$4)*(1-(($B114-W114)/$B114)),($E$4*60%/$A$4)*(1-2*((ABS($B114-W114))/$B114)))))</f>
        <v/>
      </c>
      <c r="Y114" s="285"/>
      <c r="Z114" s="132" t="str">
        <f t="shared" ref="Z114" si="1065">IF(Y114="","",IF($B$7="Menor valor",($E$4/$A$4)*($B114/Y114),IF(Y114&lt;=$B114,($E$4/$A$4)*(1-(($B114-Y114)/$B114)),($E$4*60%/$A$4)*(1-2*((ABS($B114-Y114))/$B114)))))</f>
        <v/>
      </c>
      <c r="AA114" s="129">
        <v>1</v>
      </c>
    </row>
    <row r="115" spans="1:27" s="129" customFormat="1" ht="21" customHeight="1">
      <c r="A115" s="204" t="str">
        <f>+'Presupuesto Consolidado'!A136</f>
        <v>4.2.3</v>
      </c>
      <c r="B115" s="130">
        <f t="shared" si="955"/>
        <v>8948</v>
      </c>
      <c r="C115" s="131">
        <f>IF($C$7="Habilitado",ROUND('Presupuesto Consolidado'!E136,2),"")</f>
        <v>8948</v>
      </c>
      <c r="D115" s="132">
        <f t="shared" si="644"/>
        <v>0.78125</v>
      </c>
      <c r="E115" s="131" t="str">
        <f>IF($E$7="Habilitado",ROUND('Presupuesto Consolidado'!L136,2),"")</f>
        <v/>
      </c>
      <c r="F115" s="132" t="str">
        <f t="shared" si="644"/>
        <v/>
      </c>
      <c r="G115" s="285"/>
      <c r="H115" s="132" t="str">
        <f t="shared" ref="H115" si="1066">IF(G115="","",IF($B$7="Menor valor",($E$4/$A$4)*($B115/G115),IF(G115&lt;=$B115,($E$4/$A$4)*(1-(($B115-G115)/$B115)),($E$4*60%/$A$4)*(1-2*((ABS($B115-G115))/$B115)))))</f>
        <v/>
      </c>
      <c r="I115" s="285"/>
      <c r="J115" s="132" t="str">
        <f t="shared" ref="J115" si="1067">IF(I115="","",IF($B$7="Menor valor",($E$4/$A$4)*($B115/I115),IF(I115&lt;=$B115,($E$4/$A$4)*(1-(($B115-I115)/$B115)),($E$4*60%/$A$4)*(1-2*((ABS($B115-I115))/$B115)))))</f>
        <v/>
      </c>
      <c r="K115" s="285"/>
      <c r="L115" s="132" t="str">
        <f t="shared" ref="L115" si="1068">IF(K115="","",IF($B$7="Menor valor",($E$4/$A$4)*($B115/K115),IF(K115&lt;=$B115,($E$4/$A$4)*(1-(($B115-K115)/$B115)),($E$4*60%/$A$4)*(1-2*((ABS($B115-K115))/$B115)))))</f>
        <v/>
      </c>
      <c r="M115" s="285"/>
      <c r="N115" s="132" t="str">
        <f t="shared" ref="N115" si="1069">IF(M115="","",IF($B$7="Menor valor",($E$4/$A$4)*($B115/M115),IF(M115&lt;=$B115,($E$4/$A$4)*(1-(($B115-M115)/$B115)),($E$4*60%/$A$4)*(1-2*((ABS($B115-M115))/$B115)))))</f>
        <v/>
      </c>
      <c r="O115" s="285"/>
      <c r="P115" s="132" t="str">
        <f t="shared" ref="P115" si="1070">IF(O115="","",IF($B$7="Menor valor",($E$4/$A$4)*($B115/O115),IF(O115&lt;=$B115,($E$4/$A$4)*(1-(($B115-O115)/$B115)),($E$4*60%/$A$4)*(1-2*((ABS($B115-O115))/$B115)))))</f>
        <v/>
      </c>
      <c r="Q115" s="285"/>
      <c r="R115" s="132" t="str">
        <f t="shared" ref="R115" si="1071">IF(Q115="","",IF($B$7="Menor valor",($E$4/$A$4)*($B115/Q115),IF(Q115&lt;=$B115,($E$4/$A$4)*(1-(($B115-Q115)/$B115)),($E$4*60%/$A$4)*(1-2*((ABS($B115-Q115))/$B115)))))</f>
        <v/>
      </c>
      <c r="S115" s="285"/>
      <c r="T115" s="132" t="str">
        <f t="shared" ref="T115" si="1072">IF(S115="","",IF($B$7="Menor valor",($E$4/$A$4)*($B115/S115),IF(S115&lt;=$B115,($E$4/$A$4)*(1-(($B115-S115)/$B115)),($E$4*60%/$A$4)*(1-2*((ABS($B115-S115))/$B115)))))</f>
        <v/>
      </c>
      <c r="U115" s="285"/>
      <c r="V115" s="132" t="str">
        <f t="shared" ref="V115" si="1073">IF(U115="","",IF($B$7="Menor valor",($E$4/$A$4)*($B115/U115),IF(U115&lt;=$B115,($E$4/$A$4)*(1-(($B115-U115)/$B115)),($E$4*60%/$A$4)*(1-2*((ABS($B115-U115))/$B115)))))</f>
        <v/>
      </c>
      <c r="W115" s="285"/>
      <c r="X115" s="132" t="str">
        <f t="shared" ref="X115" si="1074">IF(W115="","",IF($B$7="Menor valor",($E$4/$A$4)*($B115/W115),IF(W115&lt;=$B115,($E$4/$A$4)*(1-(($B115-W115)/$B115)),($E$4*60%/$A$4)*(1-2*((ABS($B115-W115))/$B115)))))</f>
        <v/>
      </c>
      <c r="Y115" s="285"/>
      <c r="Z115" s="132" t="str">
        <f t="shared" ref="Z115" si="1075">IF(Y115="","",IF($B$7="Menor valor",($E$4/$A$4)*($B115/Y115),IF(Y115&lt;=$B115,($E$4/$A$4)*(1-(($B115-Y115)/$B115)),($E$4*60%/$A$4)*(1-2*((ABS($B115-Y115))/$B115)))))</f>
        <v/>
      </c>
      <c r="AA115" s="129">
        <v>1</v>
      </c>
    </row>
    <row r="116" spans="1:27" s="129" customFormat="1" ht="21" customHeight="1">
      <c r="A116" s="204" t="str">
        <f>+'Presupuesto Consolidado'!A137</f>
        <v>4.2.4</v>
      </c>
      <c r="B116" s="130">
        <f t="shared" si="955"/>
        <v>12968</v>
      </c>
      <c r="C116" s="131">
        <f>IF($C$7="Habilitado",ROUND('Presupuesto Consolidado'!E137,2),"")</f>
        <v>12968</v>
      </c>
      <c r="D116" s="132">
        <f t="shared" si="644"/>
        <v>0.78125</v>
      </c>
      <c r="E116" s="131" t="str">
        <f>IF($E$7="Habilitado",ROUND('Presupuesto Consolidado'!L137,2),"")</f>
        <v/>
      </c>
      <c r="F116" s="132" t="str">
        <f t="shared" si="644"/>
        <v/>
      </c>
      <c r="G116" s="285"/>
      <c r="H116" s="132" t="str">
        <f t="shared" ref="H116" si="1076">IF(G116="","",IF($B$7="Menor valor",($E$4/$A$4)*($B116/G116),IF(G116&lt;=$B116,($E$4/$A$4)*(1-(($B116-G116)/$B116)),($E$4*60%/$A$4)*(1-2*((ABS($B116-G116))/$B116)))))</f>
        <v/>
      </c>
      <c r="I116" s="285"/>
      <c r="J116" s="132" t="str">
        <f t="shared" ref="J116" si="1077">IF(I116="","",IF($B$7="Menor valor",($E$4/$A$4)*($B116/I116),IF(I116&lt;=$B116,($E$4/$A$4)*(1-(($B116-I116)/$B116)),($E$4*60%/$A$4)*(1-2*((ABS($B116-I116))/$B116)))))</f>
        <v/>
      </c>
      <c r="K116" s="285"/>
      <c r="L116" s="132" t="str">
        <f t="shared" ref="L116" si="1078">IF(K116="","",IF($B$7="Menor valor",($E$4/$A$4)*($B116/K116),IF(K116&lt;=$B116,($E$4/$A$4)*(1-(($B116-K116)/$B116)),($E$4*60%/$A$4)*(1-2*((ABS($B116-K116))/$B116)))))</f>
        <v/>
      </c>
      <c r="M116" s="285"/>
      <c r="N116" s="132" t="str">
        <f t="shared" ref="N116" si="1079">IF(M116="","",IF($B$7="Menor valor",($E$4/$A$4)*($B116/M116),IF(M116&lt;=$B116,($E$4/$A$4)*(1-(($B116-M116)/$B116)),($E$4*60%/$A$4)*(1-2*((ABS($B116-M116))/$B116)))))</f>
        <v/>
      </c>
      <c r="O116" s="285"/>
      <c r="P116" s="132" t="str">
        <f t="shared" ref="P116" si="1080">IF(O116="","",IF($B$7="Menor valor",($E$4/$A$4)*($B116/O116),IF(O116&lt;=$B116,($E$4/$A$4)*(1-(($B116-O116)/$B116)),($E$4*60%/$A$4)*(1-2*((ABS($B116-O116))/$B116)))))</f>
        <v/>
      </c>
      <c r="Q116" s="285"/>
      <c r="R116" s="132" t="str">
        <f t="shared" ref="R116" si="1081">IF(Q116="","",IF($B$7="Menor valor",($E$4/$A$4)*($B116/Q116),IF(Q116&lt;=$B116,($E$4/$A$4)*(1-(($B116-Q116)/$B116)),($E$4*60%/$A$4)*(1-2*((ABS($B116-Q116))/$B116)))))</f>
        <v/>
      </c>
      <c r="S116" s="285"/>
      <c r="T116" s="132" t="str">
        <f t="shared" ref="T116" si="1082">IF(S116="","",IF($B$7="Menor valor",($E$4/$A$4)*($B116/S116),IF(S116&lt;=$B116,($E$4/$A$4)*(1-(($B116-S116)/$B116)),($E$4*60%/$A$4)*(1-2*((ABS($B116-S116))/$B116)))))</f>
        <v/>
      </c>
      <c r="U116" s="285"/>
      <c r="V116" s="132" t="str">
        <f t="shared" ref="V116" si="1083">IF(U116="","",IF($B$7="Menor valor",($E$4/$A$4)*($B116/U116),IF(U116&lt;=$B116,($E$4/$A$4)*(1-(($B116-U116)/$B116)),($E$4*60%/$A$4)*(1-2*((ABS($B116-U116))/$B116)))))</f>
        <v/>
      </c>
      <c r="W116" s="285"/>
      <c r="X116" s="132" t="str">
        <f t="shared" ref="X116" si="1084">IF(W116="","",IF($B$7="Menor valor",($E$4/$A$4)*($B116/W116),IF(W116&lt;=$B116,($E$4/$A$4)*(1-(($B116-W116)/$B116)),($E$4*60%/$A$4)*(1-2*((ABS($B116-W116))/$B116)))))</f>
        <v/>
      </c>
      <c r="Y116" s="285"/>
      <c r="Z116" s="132" t="str">
        <f t="shared" ref="Z116" si="1085">IF(Y116="","",IF($B$7="Menor valor",($E$4/$A$4)*($B116/Y116),IF(Y116&lt;=$B116,($E$4/$A$4)*(1-(($B116-Y116)/$B116)),($E$4*60%/$A$4)*(1-2*((ABS($B116-Y116))/$B116)))))</f>
        <v/>
      </c>
      <c r="AA116" s="129">
        <v>1</v>
      </c>
    </row>
    <row r="117" spans="1:27" s="129" customFormat="1" ht="21" customHeight="1">
      <c r="A117" s="204" t="str">
        <f>+'Presupuesto Consolidado'!A138</f>
        <v>4.2.5</v>
      </c>
      <c r="B117" s="130">
        <f t="shared" si="955"/>
        <v>32630</v>
      </c>
      <c r="C117" s="131">
        <f>IF($C$7="Habilitado",ROUND('Presupuesto Consolidado'!E138,2),"")</f>
        <v>32630</v>
      </c>
      <c r="D117" s="132">
        <f t="shared" si="644"/>
        <v>0.78125</v>
      </c>
      <c r="E117" s="131" t="str">
        <f>IF($E$7="Habilitado",ROUND('Presupuesto Consolidado'!L138,2),"")</f>
        <v/>
      </c>
      <c r="F117" s="132" t="str">
        <f t="shared" si="644"/>
        <v/>
      </c>
      <c r="G117" s="285"/>
      <c r="H117" s="132" t="str">
        <f t="shared" ref="H117" si="1086">IF(G117="","",IF($B$7="Menor valor",($E$4/$A$4)*($B117/G117),IF(G117&lt;=$B117,($E$4/$A$4)*(1-(($B117-G117)/$B117)),($E$4*60%/$A$4)*(1-2*((ABS($B117-G117))/$B117)))))</f>
        <v/>
      </c>
      <c r="I117" s="285"/>
      <c r="J117" s="132" t="str">
        <f t="shared" ref="J117" si="1087">IF(I117="","",IF($B$7="Menor valor",($E$4/$A$4)*($B117/I117),IF(I117&lt;=$B117,($E$4/$A$4)*(1-(($B117-I117)/$B117)),($E$4*60%/$A$4)*(1-2*((ABS($B117-I117))/$B117)))))</f>
        <v/>
      </c>
      <c r="K117" s="285"/>
      <c r="L117" s="132" t="str">
        <f t="shared" ref="L117" si="1088">IF(K117="","",IF($B$7="Menor valor",($E$4/$A$4)*($B117/K117),IF(K117&lt;=$B117,($E$4/$A$4)*(1-(($B117-K117)/$B117)),($E$4*60%/$A$4)*(1-2*((ABS($B117-K117))/$B117)))))</f>
        <v/>
      </c>
      <c r="M117" s="285"/>
      <c r="N117" s="132" t="str">
        <f t="shared" ref="N117" si="1089">IF(M117="","",IF($B$7="Menor valor",($E$4/$A$4)*($B117/M117),IF(M117&lt;=$B117,($E$4/$A$4)*(1-(($B117-M117)/$B117)),($E$4*60%/$A$4)*(1-2*((ABS($B117-M117))/$B117)))))</f>
        <v/>
      </c>
      <c r="O117" s="285"/>
      <c r="P117" s="132" t="str">
        <f t="shared" ref="P117" si="1090">IF(O117="","",IF($B$7="Menor valor",($E$4/$A$4)*($B117/O117),IF(O117&lt;=$B117,($E$4/$A$4)*(1-(($B117-O117)/$B117)),($E$4*60%/$A$4)*(1-2*((ABS($B117-O117))/$B117)))))</f>
        <v/>
      </c>
      <c r="Q117" s="285"/>
      <c r="R117" s="132" t="str">
        <f t="shared" ref="R117" si="1091">IF(Q117="","",IF($B$7="Menor valor",($E$4/$A$4)*($B117/Q117),IF(Q117&lt;=$B117,($E$4/$A$4)*(1-(($B117-Q117)/$B117)),($E$4*60%/$A$4)*(1-2*((ABS($B117-Q117))/$B117)))))</f>
        <v/>
      </c>
      <c r="S117" s="285"/>
      <c r="T117" s="132" t="str">
        <f t="shared" ref="T117" si="1092">IF(S117="","",IF($B$7="Menor valor",($E$4/$A$4)*($B117/S117),IF(S117&lt;=$B117,($E$4/$A$4)*(1-(($B117-S117)/$B117)),($E$4*60%/$A$4)*(1-2*((ABS($B117-S117))/$B117)))))</f>
        <v/>
      </c>
      <c r="U117" s="285"/>
      <c r="V117" s="132" t="str">
        <f t="shared" ref="V117" si="1093">IF(U117="","",IF($B$7="Menor valor",($E$4/$A$4)*($B117/U117),IF(U117&lt;=$B117,($E$4/$A$4)*(1-(($B117-U117)/$B117)),($E$4*60%/$A$4)*(1-2*((ABS($B117-U117))/$B117)))))</f>
        <v/>
      </c>
      <c r="W117" s="285"/>
      <c r="X117" s="132" t="str">
        <f t="shared" ref="X117" si="1094">IF(W117="","",IF($B$7="Menor valor",($E$4/$A$4)*($B117/W117),IF(W117&lt;=$B117,($E$4/$A$4)*(1-(($B117-W117)/$B117)),($E$4*60%/$A$4)*(1-2*((ABS($B117-W117))/$B117)))))</f>
        <v/>
      </c>
      <c r="Y117" s="285"/>
      <c r="Z117" s="132" t="str">
        <f t="shared" ref="Z117" si="1095">IF(Y117="","",IF($B$7="Menor valor",($E$4/$A$4)*($B117/Y117),IF(Y117&lt;=$B117,($E$4/$A$4)*(1-(($B117-Y117)/$B117)),($E$4*60%/$A$4)*(1-2*((ABS($B117-Y117))/$B117)))))</f>
        <v/>
      </c>
      <c r="AA117" s="129">
        <v>1</v>
      </c>
    </row>
    <row r="118" spans="1:27" s="129" customFormat="1" ht="21" customHeight="1">
      <c r="A118" s="204" t="str">
        <f>+'Presupuesto Consolidado'!A139</f>
        <v>4.2.6</v>
      </c>
      <c r="B118" s="130">
        <f t="shared" si="955"/>
        <v>612324</v>
      </c>
      <c r="C118" s="131">
        <f>IF($C$7="Habilitado",ROUND('Presupuesto Consolidado'!E139,2),"")</f>
        <v>612324</v>
      </c>
      <c r="D118" s="132">
        <f t="shared" si="644"/>
        <v>0.78125</v>
      </c>
      <c r="E118" s="131" t="str">
        <f>IF($E$7="Habilitado",ROUND('Presupuesto Consolidado'!L139,2),"")</f>
        <v/>
      </c>
      <c r="F118" s="132" t="str">
        <f t="shared" si="644"/>
        <v/>
      </c>
      <c r="G118" s="285"/>
      <c r="H118" s="132" t="str">
        <f t="shared" ref="H118" si="1096">IF(G118="","",IF($B$7="Menor valor",($E$4/$A$4)*($B118/G118),IF(G118&lt;=$B118,($E$4/$A$4)*(1-(($B118-G118)/$B118)),($E$4*60%/$A$4)*(1-2*((ABS($B118-G118))/$B118)))))</f>
        <v/>
      </c>
      <c r="I118" s="285"/>
      <c r="J118" s="132" t="str">
        <f t="shared" ref="J118" si="1097">IF(I118="","",IF($B$7="Menor valor",($E$4/$A$4)*($B118/I118),IF(I118&lt;=$B118,($E$4/$A$4)*(1-(($B118-I118)/$B118)),($E$4*60%/$A$4)*(1-2*((ABS($B118-I118))/$B118)))))</f>
        <v/>
      </c>
      <c r="K118" s="285"/>
      <c r="L118" s="132" t="str">
        <f t="shared" ref="L118" si="1098">IF(K118="","",IF($B$7="Menor valor",($E$4/$A$4)*($B118/K118),IF(K118&lt;=$B118,($E$4/$A$4)*(1-(($B118-K118)/$B118)),($E$4*60%/$A$4)*(1-2*((ABS($B118-K118))/$B118)))))</f>
        <v/>
      </c>
      <c r="M118" s="285"/>
      <c r="N118" s="132" t="str">
        <f t="shared" ref="N118" si="1099">IF(M118="","",IF($B$7="Menor valor",($E$4/$A$4)*($B118/M118),IF(M118&lt;=$B118,($E$4/$A$4)*(1-(($B118-M118)/$B118)),($E$4*60%/$A$4)*(1-2*((ABS($B118-M118))/$B118)))))</f>
        <v/>
      </c>
      <c r="O118" s="285"/>
      <c r="P118" s="132" t="str">
        <f t="shared" ref="P118" si="1100">IF(O118="","",IF($B$7="Menor valor",($E$4/$A$4)*($B118/O118),IF(O118&lt;=$B118,($E$4/$A$4)*(1-(($B118-O118)/$B118)),($E$4*60%/$A$4)*(1-2*((ABS($B118-O118))/$B118)))))</f>
        <v/>
      </c>
      <c r="Q118" s="285"/>
      <c r="R118" s="132" t="str">
        <f t="shared" ref="R118" si="1101">IF(Q118="","",IF($B$7="Menor valor",($E$4/$A$4)*($B118/Q118),IF(Q118&lt;=$B118,($E$4/$A$4)*(1-(($B118-Q118)/$B118)),($E$4*60%/$A$4)*(1-2*((ABS($B118-Q118))/$B118)))))</f>
        <v/>
      </c>
      <c r="S118" s="285"/>
      <c r="T118" s="132" t="str">
        <f t="shared" ref="T118" si="1102">IF(S118="","",IF($B$7="Menor valor",($E$4/$A$4)*($B118/S118),IF(S118&lt;=$B118,($E$4/$A$4)*(1-(($B118-S118)/$B118)),($E$4*60%/$A$4)*(1-2*((ABS($B118-S118))/$B118)))))</f>
        <v/>
      </c>
      <c r="U118" s="285"/>
      <c r="V118" s="132" t="str">
        <f t="shared" ref="V118" si="1103">IF(U118="","",IF($B$7="Menor valor",($E$4/$A$4)*($B118/U118),IF(U118&lt;=$B118,($E$4/$A$4)*(1-(($B118-U118)/$B118)),($E$4*60%/$A$4)*(1-2*((ABS($B118-U118))/$B118)))))</f>
        <v/>
      </c>
      <c r="W118" s="285"/>
      <c r="X118" s="132" t="str">
        <f t="shared" ref="X118" si="1104">IF(W118="","",IF($B$7="Menor valor",($E$4/$A$4)*($B118/W118),IF(W118&lt;=$B118,($E$4/$A$4)*(1-(($B118-W118)/$B118)),($E$4*60%/$A$4)*(1-2*((ABS($B118-W118))/$B118)))))</f>
        <v/>
      </c>
      <c r="Y118" s="285"/>
      <c r="Z118" s="132" t="str">
        <f t="shared" ref="Z118" si="1105">IF(Y118="","",IF($B$7="Menor valor",($E$4/$A$4)*($B118/Y118),IF(Y118&lt;=$B118,($E$4/$A$4)*(1-(($B118-Y118)/$B118)),($E$4*60%/$A$4)*(1-2*((ABS($B118-Y118))/$B118)))))</f>
        <v/>
      </c>
      <c r="AA118" s="129">
        <v>1</v>
      </c>
    </row>
    <row r="119" spans="1:27" s="129" customFormat="1" ht="21" customHeight="1">
      <c r="A119" s="204" t="str">
        <f>+'Presupuesto Consolidado'!A140</f>
        <v>4.2.7</v>
      </c>
      <c r="B119" s="130">
        <f t="shared" si="955"/>
        <v>25855</v>
      </c>
      <c r="C119" s="131">
        <f>IF($C$7="Habilitado",ROUND('Presupuesto Consolidado'!E140,2),"")</f>
        <v>25855</v>
      </c>
      <c r="D119" s="132">
        <f t="shared" si="644"/>
        <v>0.78125</v>
      </c>
      <c r="E119" s="131" t="str">
        <f>IF($E$7="Habilitado",ROUND('Presupuesto Consolidado'!L140,2),"")</f>
        <v/>
      </c>
      <c r="F119" s="132" t="str">
        <f t="shared" si="644"/>
        <v/>
      </c>
      <c r="G119" s="285"/>
      <c r="H119" s="132" t="str">
        <f t="shared" ref="H119" si="1106">IF(G119="","",IF($B$7="Menor valor",($E$4/$A$4)*($B119/G119),IF(G119&lt;=$B119,($E$4/$A$4)*(1-(($B119-G119)/$B119)),($E$4*60%/$A$4)*(1-2*((ABS($B119-G119))/$B119)))))</f>
        <v/>
      </c>
      <c r="I119" s="285"/>
      <c r="J119" s="132" t="str">
        <f t="shared" ref="J119" si="1107">IF(I119="","",IF($B$7="Menor valor",($E$4/$A$4)*($B119/I119),IF(I119&lt;=$B119,($E$4/$A$4)*(1-(($B119-I119)/$B119)),($E$4*60%/$A$4)*(1-2*((ABS($B119-I119))/$B119)))))</f>
        <v/>
      </c>
      <c r="K119" s="285"/>
      <c r="L119" s="132" t="str">
        <f t="shared" ref="L119" si="1108">IF(K119="","",IF($B$7="Menor valor",($E$4/$A$4)*($B119/K119),IF(K119&lt;=$B119,($E$4/$A$4)*(1-(($B119-K119)/$B119)),($E$4*60%/$A$4)*(1-2*((ABS($B119-K119))/$B119)))))</f>
        <v/>
      </c>
      <c r="M119" s="285"/>
      <c r="N119" s="132" t="str">
        <f t="shared" ref="N119" si="1109">IF(M119="","",IF($B$7="Menor valor",($E$4/$A$4)*($B119/M119),IF(M119&lt;=$B119,($E$4/$A$4)*(1-(($B119-M119)/$B119)),($E$4*60%/$A$4)*(1-2*((ABS($B119-M119))/$B119)))))</f>
        <v/>
      </c>
      <c r="O119" s="285"/>
      <c r="P119" s="132" t="str">
        <f t="shared" ref="P119" si="1110">IF(O119="","",IF($B$7="Menor valor",($E$4/$A$4)*($B119/O119),IF(O119&lt;=$B119,($E$4/$A$4)*(1-(($B119-O119)/$B119)),($E$4*60%/$A$4)*(1-2*((ABS($B119-O119))/$B119)))))</f>
        <v/>
      </c>
      <c r="Q119" s="285"/>
      <c r="R119" s="132" t="str">
        <f t="shared" ref="R119" si="1111">IF(Q119="","",IF($B$7="Menor valor",($E$4/$A$4)*($B119/Q119),IF(Q119&lt;=$B119,($E$4/$A$4)*(1-(($B119-Q119)/$B119)),($E$4*60%/$A$4)*(1-2*((ABS($B119-Q119))/$B119)))))</f>
        <v/>
      </c>
      <c r="S119" s="285"/>
      <c r="T119" s="132" t="str">
        <f t="shared" ref="T119" si="1112">IF(S119="","",IF($B$7="Menor valor",($E$4/$A$4)*($B119/S119),IF(S119&lt;=$B119,($E$4/$A$4)*(1-(($B119-S119)/$B119)),($E$4*60%/$A$4)*(1-2*((ABS($B119-S119))/$B119)))))</f>
        <v/>
      </c>
      <c r="U119" s="285"/>
      <c r="V119" s="132" t="str">
        <f t="shared" ref="V119" si="1113">IF(U119="","",IF($B$7="Menor valor",($E$4/$A$4)*($B119/U119),IF(U119&lt;=$B119,($E$4/$A$4)*(1-(($B119-U119)/$B119)),($E$4*60%/$A$4)*(1-2*((ABS($B119-U119))/$B119)))))</f>
        <v/>
      </c>
      <c r="W119" s="285"/>
      <c r="X119" s="132" t="str">
        <f t="shared" ref="X119" si="1114">IF(W119="","",IF($B$7="Menor valor",($E$4/$A$4)*($B119/W119),IF(W119&lt;=$B119,($E$4/$A$4)*(1-(($B119-W119)/$B119)),($E$4*60%/$A$4)*(1-2*((ABS($B119-W119))/$B119)))))</f>
        <v/>
      </c>
      <c r="Y119" s="285"/>
      <c r="Z119" s="132" t="str">
        <f t="shared" ref="Z119" si="1115">IF(Y119="","",IF($B$7="Menor valor",($E$4/$A$4)*($B119/Y119),IF(Y119&lt;=$B119,($E$4/$A$4)*(1-(($B119-Y119)/$B119)),($E$4*60%/$A$4)*(1-2*((ABS($B119-Y119))/$B119)))))</f>
        <v/>
      </c>
      <c r="AA119" s="129">
        <v>1</v>
      </c>
    </row>
    <row r="120" spans="1:27" s="129" customFormat="1" ht="21" customHeight="1">
      <c r="A120" s="204" t="str">
        <f>+'Presupuesto Consolidado'!A141</f>
        <v>4.2.8</v>
      </c>
      <c r="B120" s="130">
        <f t="shared" si="955"/>
        <v>59305</v>
      </c>
      <c r="C120" s="131">
        <f>IF($C$7="Habilitado",ROUND('Presupuesto Consolidado'!E141,2),"")</f>
        <v>59305</v>
      </c>
      <c r="D120" s="132">
        <f t="shared" si="644"/>
        <v>0.78125</v>
      </c>
      <c r="E120" s="131" t="str">
        <f>IF($E$7="Habilitado",ROUND('Presupuesto Consolidado'!L141,2),"")</f>
        <v/>
      </c>
      <c r="F120" s="132" t="str">
        <f t="shared" si="644"/>
        <v/>
      </c>
      <c r="G120" s="285"/>
      <c r="H120" s="132" t="str">
        <f t="shared" ref="H120" si="1116">IF(G120="","",IF($B$7="Menor valor",($E$4/$A$4)*($B120/G120),IF(G120&lt;=$B120,($E$4/$A$4)*(1-(($B120-G120)/$B120)),($E$4*60%/$A$4)*(1-2*((ABS($B120-G120))/$B120)))))</f>
        <v/>
      </c>
      <c r="I120" s="285"/>
      <c r="J120" s="132" t="str">
        <f t="shared" ref="J120" si="1117">IF(I120="","",IF($B$7="Menor valor",($E$4/$A$4)*($B120/I120),IF(I120&lt;=$B120,($E$4/$A$4)*(1-(($B120-I120)/$B120)),($E$4*60%/$A$4)*(1-2*((ABS($B120-I120))/$B120)))))</f>
        <v/>
      </c>
      <c r="K120" s="285"/>
      <c r="L120" s="132" t="str">
        <f t="shared" ref="L120" si="1118">IF(K120="","",IF($B$7="Menor valor",($E$4/$A$4)*($B120/K120),IF(K120&lt;=$B120,($E$4/$A$4)*(1-(($B120-K120)/$B120)),($E$4*60%/$A$4)*(1-2*((ABS($B120-K120))/$B120)))))</f>
        <v/>
      </c>
      <c r="M120" s="285"/>
      <c r="N120" s="132" t="str">
        <f t="shared" ref="N120" si="1119">IF(M120="","",IF($B$7="Menor valor",($E$4/$A$4)*($B120/M120),IF(M120&lt;=$B120,($E$4/$A$4)*(1-(($B120-M120)/$B120)),($E$4*60%/$A$4)*(1-2*((ABS($B120-M120))/$B120)))))</f>
        <v/>
      </c>
      <c r="O120" s="285"/>
      <c r="P120" s="132" t="str">
        <f t="shared" ref="P120" si="1120">IF(O120="","",IF($B$7="Menor valor",($E$4/$A$4)*($B120/O120),IF(O120&lt;=$B120,($E$4/$A$4)*(1-(($B120-O120)/$B120)),($E$4*60%/$A$4)*(1-2*((ABS($B120-O120))/$B120)))))</f>
        <v/>
      </c>
      <c r="Q120" s="285"/>
      <c r="R120" s="132" t="str">
        <f t="shared" ref="R120" si="1121">IF(Q120="","",IF($B$7="Menor valor",($E$4/$A$4)*($B120/Q120),IF(Q120&lt;=$B120,($E$4/$A$4)*(1-(($B120-Q120)/$B120)),($E$4*60%/$A$4)*(1-2*((ABS($B120-Q120))/$B120)))))</f>
        <v/>
      </c>
      <c r="S120" s="285"/>
      <c r="T120" s="132" t="str">
        <f t="shared" ref="T120" si="1122">IF(S120="","",IF($B$7="Menor valor",($E$4/$A$4)*($B120/S120),IF(S120&lt;=$B120,($E$4/$A$4)*(1-(($B120-S120)/$B120)),($E$4*60%/$A$4)*(1-2*((ABS($B120-S120))/$B120)))))</f>
        <v/>
      </c>
      <c r="U120" s="285"/>
      <c r="V120" s="132" t="str">
        <f t="shared" ref="V120" si="1123">IF(U120="","",IF($B$7="Menor valor",($E$4/$A$4)*($B120/U120),IF(U120&lt;=$B120,($E$4/$A$4)*(1-(($B120-U120)/$B120)),($E$4*60%/$A$4)*(1-2*((ABS($B120-U120))/$B120)))))</f>
        <v/>
      </c>
      <c r="W120" s="285"/>
      <c r="X120" s="132" t="str">
        <f t="shared" ref="X120" si="1124">IF(W120="","",IF($B$7="Menor valor",($E$4/$A$4)*($B120/W120),IF(W120&lt;=$B120,($E$4/$A$4)*(1-(($B120-W120)/$B120)),($E$4*60%/$A$4)*(1-2*((ABS($B120-W120))/$B120)))))</f>
        <v/>
      </c>
      <c r="Y120" s="285"/>
      <c r="Z120" s="132" t="str">
        <f t="shared" ref="Z120" si="1125">IF(Y120="","",IF($B$7="Menor valor",($E$4/$A$4)*($B120/Y120),IF(Y120&lt;=$B120,($E$4/$A$4)*(1-(($B120-Y120)/$B120)),($E$4*60%/$A$4)*(1-2*((ABS($B120-Y120))/$B120)))))</f>
        <v/>
      </c>
      <c r="AA120" s="129">
        <v>1</v>
      </c>
    </row>
    <row r="121" spans="1:27" s="129" customFormat="1" ht="21" customHeight="1">
      <c r="A121" s="204" t="str">
        <f>+'Presupuesto Consolidado'!A142</f>
        <v>4.2.9</v>
      </c>
      <c r="B121" s="130">
        <f t="shared" si="955"/>
        <v>9687</v>
      </c>
      <c r="C121" s="131">
        <f>IF($C$7="Habilitado",ROUND('Presupuesto Consolidado'!E142,2),"")</f>
        <v>9687</v>
      </c>
      <c r="D121" s="132">
        <f t="shared" si="644"/>
        <v>0.78125</v>
      </c>
      <c r="E121" s="131" t="str">
        <f>IF($E$7="Habilitado",ROUND('Presupuesto Consolidado'!L142,2),"")</f>
        <v/>
      </c>
      <c r="F121" s="132" t="str">
        <f t="shared" si="644"/>
        <v/>
      </c>
      <c r="G121" s="285"/>
      <c r="H121" s="132" t="str">
        <f t="shared" ref="H121" si="1126">IF(G121="","",IF($B$7="Menor valor",($E$4/$A$4)*($B121/G121),IF(G121&lt;=$B121,($E$4/$A$4)*(1-(($B121-G121)/$B121)),($E$4*60%/$A$4)*(1-2*((ABS($B121-G121))/$B121)))))</f>
        <v/>
      </c>
      <c r="I121" s="285"/>
      <c r="J121" s="132" t="str">
        <f t="shared" ref="J121" si="1127">IF(I121="","",IF($B$7="Menor valor",($E$4/$A$4)*($B121/I121),IF(I121&lt;=$B121,($E$4/$A$4)*(1-(($B121-I121)/$B121)),($E$4*60%/$A$4)*(1-2*((ABS($B121-I121))/$B121)))))</f>
        <v/>
      </c>
      <c r="K121" s="285"/>
      <c r="L121" s="132" t="str">
        <f t="shared" ref="L121" si="1128">IF(K121="","",IF($B$7="Menor valor",($E$4/$A$4)*($B121/K121),IF(K121&lt;=$B121,($E$4/$A$4)*(1-(($B121-K121)/$B121)),($E$4*60%/$A$4)*(1-2*((ABS($B121-K121))/$B121)))))</f>
        <v/>
      </c>
      <c r="M121" s="285"/>
      <c r="N121" s="132" t="str">
        <f t="shared" ref="N121" si="1129">IF(M121="","",IF($B$7="Menor valor",($E$4/$A$4)*($B121/M121),IF(M121&lt;=$B121,($E$4/$A$4)*(1-(($B121-M121)/$B121)),($E$4*60%/$A$4)*(1-2*((ABS($B121-M121))/$B121)))))</f>
        <v/>
      </c>
      <c r="O121" s="285"/>
      <c r="P121" s="132" t="str">
        <f t="shared" ref="P121" si="1130">IF(O121="","",IF($B$7="Menor valor",($E$4/$A$4)*($B121/O121),IF(O121&lt;=$B121,($E$4/$A$4)*(1-(($B121-O121)/$B121)),($E$4*60%/$A$4)*(1-2*((ABS($B121-O121))/$B121)))))</f>
        <v/>
      </c>
      <c r="Q121" s="285"/>
      <c r="R121" s="132" t="str">
        <f t="shared" ref="R121" si="1131">IF(Q121="","",IF($B$7="Menor valor",($E$4/$A$4)*($B121/Q121),IF(Q121&lt;=$B121,($E$4/$A$4)*(1-(($B121-Q121)/$B121)),($E$4*60%/$A$4)*(1-2*((ABS($B121-Q121))/$B121)))))</f>
        <v/>
      </c>
      <c r="S121" s="285"/>
      <c r="T121" s="132" t="str">
        <f t="shared" ref="T121" si="1132">IF(S121="","",IF($B$7="Menor valor",($E$4/$A$4)*($B121/S121),IF(S121&lt;=$B121,($E$4/$A$4)*(1-(($B121-S121)/$B121)),($E$4*60%/$A$4)*(1-2*((ABS($B121-S121))/$B121)))))</f>
        <v/>
      </c>
      <c r="U121" s="285"/>
      <c r="V121" s="132" t="str">
        <f t="shared" ref="V121" si="1133">IF(U121="","",IF($B$7="Menor valor",($E$4/$A$4)*($B121/U121),IF(U121&lt;=$B121,($E$4/$A$4)*(1-(($B121-U121)/$B121)),($E$4*60%/$A$4)*(1-2*((ABS($B121-U121))/$B121)))))</f>
        <v/>
      </c>
      <c r="W121" s="285"/>
      <c r="X121" s="132" t="str">
        <f t="shared" ref="X121" si="1134">IF(W121="","",IF($B$7="Menor valor",($E$4/$A$4)*($B121/W121),IF(W121&lt;=$B121,($E$4/$A$4)*(1-(($B121-W121)/$B121)),($E$4*60%/$A$4)*(1-2*((ABS($B121-W121))/$B121)))))</f>
        <v/>
      </c>
      <c r="Y121" s="285"/>
      <c r="Z121" s="132" t="str">
        <f t="shared" ref="Z121" si="1135">IF(Y121="","",IF($B$7="Menor valor",($E$4/$A$4)*($B121/Y121),IF(Y121&lt;=$B121,($E$4/$A$4)*(1-(($B121-Y121)/$B121)),($E$4*60%/$A$4)*(1-2*((ABS($B121-Y121))/$B121)))))</f>
        <v/>
      </c>
      <c r="AA121" s="129">
        <v>1</v>
      </c>
    </row>
    <row r="122" spans="1:27" s="129" customFormat="1" ht="21" customHeight="1">
      <c r="A122" s="204" t="str">
        <f>+'Presupuesto Consolidado'!A143</f>
        <v>4.2.10</v>
      </c>
      <c r="B122" s="130">
        <f t="shared" si="955"/>
        <v>40902</v>
      </c>
      <c r="C122" s="131">
        <f>IF($C$7="Habilitado",ROUND('Presupuesto Consolidado'!E143,2),"")</f>
        <v>40902</v>
      </c>
      <c r="D122" s="132">
        <f t="shared" si="644"/>
        <v>0.78125</v>
      </c>
      <c r="E122" s="131" t="str">
        <f>IF($E$7="Habilitado",ROUND('Presupuesto Consolidado'!L143,2),"")</f>
        <v/>
      </c>
      <c r="F122" s="132" t="str">
        <f t="shared" si="644"/>
        <v/>
      </c>
      <c r="G122" s="285"/>
      <c r="H122" s="132" t="str">
        <f t="shared" ref="H122" si="1136">IF(G122="","",IF($B$7="Menor valor",($E$4/$A$4)*($B122/G122),IF(G122&lt;=$B122,($E$4/$A$4)*(1-(($B122-G122)/$B122)),($E$4*60%/$A$4)*(1-2*((ABS($B122-G122))/$B122)))))</f>
        <v/>
      </c>
      <c r="I122" s="285"/>
      <c r="J122" s="132" t="str">
        <f t="shared" ref="J122" si="1137">IF(I122="","",IF($B$7="Menor valor",($E$4/$A$4)*($B122/I122),IF(I122&lt;=$B122,($E$4/$A$4)*(1-(($B122-I122)/$B122)),($E$4*60%/$A$4)*(1-2*((ABS($B122-I122))/$B122)))))</f>
        <v/>
      </c>
      <c r="K122" s="285"/>
      <c r="L122" s="132" t="str">
        <f t="shared" ref="L122" si="1138">IF(K122="","",IF($B$7="Menor valor",($E$4/$A$4)*($B122/K122),IF(K122&lt;=$B122,($E$4/$A$4)*(1-(($B122-K122)/$B122)),($E$4*60%/$A$4)*(1-2*((ABS($B122-K122))/$B122)))))</f>
        <v/>
      </c>
      <c r="M122" s="285"/>
      <c r="N122" s="132" t="str">
        <f t="shared" ref="N122" si="1139">IF(M122="","",IF($B$7="Menor valor",($E$4/$A$4)*($B122/M122),IF(M122&lt;=$B122,($E$4/$A$4)*(1-(($B122-M122)/$B122)),($E$4*60%/$A$4)*(1-2*((ABS($B122-M122))/$B122)))))</f>
        <v/>
      </c>
      <c r="O122" s="285"/>
      <c r="P122" s="132" t="str">
        <f t="shared" ref="P122" si="1140">IF(O122="","",IF($B$7="Menor valor",($E$4/$A$4)*($B122/O122),IF(O122&lt;=$B122,($E$4/$A$4)*(1-(($B122-O122)/$B122)),($E$4*60%/$A$4)*(1-2*((ABS($B122-O122))/$B122)))))</f>
        <v/>
      </c>
      <c r="Q122" s="285"/>
      <c r="R122" s="132" t="str">
        <f t="shared" ref="R122" si="1141">IF(Q122="","",IF($B$7="Menor valor",($E$4/$A$4)*($B122/Q122),IF(Q122&lt;=$B122,($E$4/$A$4)*(1-(($B122-Q122)/$B122)),($E$4*60%/$A$4)*(1-2*((ABS($B122-Q122))/$B122)))))</f>
        <v/>
      </c>
      <c r="S122" s="285"/>
      <c r="T122" s="132" t="str">
        <f t="shared" ref="T122" si="1142">IF(S122="","",IF($B$7="Menor valor",($E$4/$A$4)*($B122/S122),IF(S122&lt;=$B122,($E$4/$A$4)*(1-(($B122-S122)/$B122)),($E$4*60%/$A$4)*(1-2*((ABS($B122-S122))/$B122)))))</f>
        <v/>
      </c>
      <c r="U122" s="285"/>
      <c r="V122" s="132" t="str">
        <f t="shared" ref="V122" si="1143">IF(U122="","",IF($B$7="Menor valor",($E$4/$A$4)*($B122/U122),IF(U122&lt;=$B122,($E$4/$A$4)*(1-(($B122-U122)/$B122)),($E$4*60%/$A$4)*(1-2*((ABS($B122-U122))/$B122)))))</f>
        <v/>
      </c>
      <c r="W122" s="285"/>
      <c r="X122" s="132" t="str">
        <f t="shared" ref="X122" si="1144">IF(W122="","",IF($B$7="Menor valor",($E$4/$A$4)*($B122/W122),IF(W122&lt;=$B122,($E$4/$A$4)*(1-(($B122-W122)/$B122)),($E$4*60%/$A$4)*(1-2*((ABS($B122-W122))/$B122)))))</f>
        <v/>
      </c>
      <c r="Y122" s="285"/>
      <c r="Z122" s="132" t="str">
        <f t="shared" ref="Z122" si="1145">IF(Y122="","",IF($B$7="Menor valor",($E$4/$A$4)*($B122/Y122),IF(Y122&lt;=$B122,($E$4/$A$4)*(1-(($B122-Y122)/$B122)),($E$4*60%/$A$4)*(1-2*((ABS($B122-Y122))/$B122)))))</f>
        <v/>
      </c>
      <c r="AA122" s="129">
        <v>1</v>
      </c>
    </row>
    <row r="123" spans="1:27" s="129" customFormat="1" ht="21" customHeight="1">
      <c r="A123" s="204" t="str">
        <f>+'Presupuesto Consolidado'!A144</f>
        <v>4.2.11</v>
      </c>
      <c r="B123" s="130">
        <f t="shared" si="955"/>
        <v>87874</v>
      </c>
      <c r="C123" s="131">
        <f>IF($C$7="Habilitado",ROUND('Presupuesto Consolidado'!E144,2),"")</f>
        <v>87874</v>
      </c>
      <c r="D123" s="132">
        <f t="shared" si="644"/>
        <v>0.78125</v>
      </c>
      <c r="E123" s="131" t="str">
        <f>IF($E$7="Habilitado",ROUND('Presupuesto Consolidado'!L144,2),"")</f>
        <v/>
      </c>
      <c r="F123" s="132" t="str">
        <f t="shared" si="644"/>
        <v/>
      </c>
      <c r="G123" s="285"/>
      <c r="H123" s="132" t="str">
        <f t="shared" ref="H123" si="1146">IF(G123="","",IF($B$7="Menor valor",($E$4/$A$4)*($B123/G123),IF(G123&lt;=$B123,($E$4/$A$4)*(1-(($B123-G123)/$B123)),($E$4*60%/$A$4)*(1-2*((ABS($B123-G123))/$B123)))))</f>
        <v/>
      </c>
      <c r="I123" s="285"/>
      <c r="J123" s="132" t="str">
        <f t="shared" ref="J123" si="1147">IF(I123="","",IF($B$7="Menor valor",($E$4/$A$4)*($B123/I123),IF(I123&lt;=$B123,($E$4/$A$4)*(1-(($B123-I123)/$B123)),($E$4*60%/$A$4)*(1-2*((ABS($B123-I123))/$B123)))))</f>
        <v/>
      </c>
      <c r="K123" s="285"/>
      <c r="L123" s="132" t="str">
        <f t="shared" ref="L123" si="1148">IF(K123="","",IF($B$7="Menor valor",($E$4/$A$4)*($B123/K123),IF(K123&lt;=$B123,($E$4/$A$4)*(1-(($B123-K123)/$B123)),($E$4*60%/$A$4)*(1-2*((ABS($B123-K123))/$B123)))))</f>
        <v/>
      </c>
      <c r="M123" s="285"/>
      <c r="N123" s="132" t="str">
        <f t="shared" ref="N123" si="1149">IF(M123="","",IF($B$7="Menor valor",($E$4/$A$4)*($B123/M123),IF(M123&lt;=$B123,($E$4/$A$4)*(1-(($B123-M123)/$B123)),($E$4*60%/$A$4)*(1-2*((ABS($B123-M123))/$B123)))))</f>
        <v/>
      </c>
      <c r="O123" s="285"/>
      <c r="P123" s="132" t="str">
        <f t="shared" ref="P123" si="1150">IF(O123="","",IF($B$7="Menor valor",($E$4/$A$4)*($B123/O123),IF(O123&lt;=$B123,($E$4/$A$4)*(1-(($B123-O123)/$B123)),($E$4*60%/$A$4)*(1-2*((ABS($B123-O123))/$B123)))))</f>
        <v/>
      </c>
      <c r="Q123" s="285"/>
      <c r="R123" s="132" t="str">
        <f t="shared" ref="R123" si="1151">IF(Q123="","",IF($B$7="Menor valor",($E$4/$A$4)*($B123/Q123),IF(Q123&lt;=$B123,($E$4/$A$4)*(1-(($B123-Q123)/$B123)),($E$4*60%/$A$4)*(1-2*((ABS($B123-Q123))/$B123)))))</f>
        <v/>
      </c>
      <c r="S123" s="285"/>
      <c r="T123" s="132" t="str">
        <f t="shared" ref="T123" si="1152">IF(S123="","",IF($B$7="Menor valor",($E$4/$A$4)*($B123/S123),IF(S123&lt;=$B123,($E$4/$A$4)*(1-(($B123-S123)/$B123)),($E$4*60%/$A$4)*(1-2*((ABS($B123-S123))/$B123)))))</f>
        <v/>
      </c>
      <c r="U123" s="285"/>
      <c r="V123" s="132" t="str">
        <f t="shared" ref="V123" si="1153">IF(U123="","",IF($B$7="Menor valor",($E$4/$A$4)*($B123/U123),IF(U123&lt;=$B123,($E$4/$A$4)*(1-(($B123-U123)/$B123)),($E$4*60%/$A$4)*(1-2*((ABS($B123-U123))/$B123)))))</f>
        <v/>
      </c>
      <c r="W123" s="285"/>
      <c r="X123" s="132" t="str">
        <f t="shared" ref="X123" si="1154">IF(W123="","",IF($B$7="Menor valor",($E$4/$A$4)*($B123/W123),IF(W123&lt;=$B123,($E$4/$A$4)*(1-(($B123-W123)/$B123)),($E$4*60%/$A$4)*(1-2*((ABS($B123-W123))/$B123)))))</f>
        <v/>
      </c>
      <c r="Y123" s="285"/>
      <c r="Z123" s="132" t="str">
        <f t="shared" ref="Z123" si="1155">IF(Y123="","",IF($B$7="Menor valor",($E$4/$A$4)*($B123/Y123),IF(Y123&lt;=$B123,($E$4/$A$4)*(1-(($B123-Y123)/$B123)),($E$4*60%/$A$4)*(1-2*((ABS($B123-Y123))/$B123)))))</f>
        <v/>
      </c>
      <c r="AA123" s="129">
        <v>1</v>
      </c>
    </row>
    <row r="124" spans="1:27" s="129" customFormat="1" ht="21" customHeight="1">
      <c r="A124" s="204" t="str">
        <f>+'Presupuesto Consolidado'!A145</f>
        <v>4.2.12</v>
      </c>
      <c r="B124" s="130">
        <f t="shared" si="955"/>
        <v>250122</v>
      </c>
      <c r="C124" s="131">
        <f>IF($C$7="Habilitado",ROUND('Presupuesto Consolidado'!E145,2),"")</f>
        <v>250122</v>
      </c>
      <c r="D124" s="132">
        <f t="shared" si="644"/>
        <v>0.78125</v>
      </c>
      <c r="E124" s="131" t="str">
        <f>IF($E$7="Habilitado",ROUND('Presupuesto Consolidado'!L145,2),"")</f>
        <v/>
      </c>
      <c r="F124" s="132" t="str">
        <f t="shared" si="644"/>
        <v/>
      </c>
      <c r="G124" s="285"/>
      <c r="H124" s="132" t="str">
        <f t="shared" ref="H124" si="1156">IF(G124="","",IF($B$7="Menor valor",($E$4/$A$4)*($B124/G124),IF(G124&lt;=$B124,($E$4/$A$4)*(1-(($B124-G124)/$B124)),($E$4*60%/$A$4)*(1-2*((ABS($B124-G124))/$B124)))))</f>
        <v/>
      </c>
      <c r="I124" s="285"/>
      <c r="J124" s="132" t="str">
        <f t="shared" ref="J124" si="1157">IF(I124="","",IF($B$7="Menor valor",($E$4/$A$4)*($B124/I124),IF(I124&lt;=$B124,($E$4/$A$4)*(1-(($B124-I124)/$B124)),($E$4*60%/$A$4)*(1-2*((ABS($B124-I124))/$B124)))))</f>
        <v/>
      </c>
      <c r="K124" s="285"/>
      <c r="L124" s="132" t="str">
        <f t="shared" ref="L124" si="1158">IF(K124="","",IF($B$7="Menor valor",($E$4/$A$4)*($B124/K124),IF(K124&lt;=$B124,($E$4/$A$4)*(1-(($B124-K124)/$B124)),($E$4*60%/$A$4)*(1-2*((ABS($B124-K124))/$B124)))))</f>
        <v/>
      </c>
      <c r="M124" s="285"/>
      <c r="N124" s="132" t="str">
        <f t="shared" ref="N124" si="1159">IF(M124="","",IF($B$7="Menor valor",($E$4/$A$4)*($B124/M124),IF(M124&lt;=$B124,($E$4/$A$4)*(1-(($B124-M124)/$B124)),($E$4*60%/$A$4)*(1-2*((ABS($B124-M124))/$B124)))))</f>
        <v/>
      </c>
      <c r="O124" s="285"/>
      <c r="P124" s="132" t="str">
        <f t="shared" ref="P124" si="1160">IF(O124="","",IF($B$7="Menor valor",($E$4/$A$4)*($B124/O124),IF(O124&lt;=$B124,($E$4/$A$4)*(1-(($B124-O124)/$B124)),($E$4*60%/$A$4)*(1-2*((ABS($B124-O124))/$B124)))))</f>
        <v/>
      </c>
      <c r="Q124" s="285"/>
      <c r="R124" s="132" t="str">
        <f t="shared" ref="R124" si="1161">IF(Q124="","",IF($B$7="Menor valor",($E$4/$A$4)*($B124/Q124),IF(Q124&lt;=$B124,($E$4/$A$4)*(1-(($B124-Q124)/$B124)),($E$4*60%/$A$4)*(1-2*((ABS($B124-Q124))/$B124)))))</f>
        <v/>
      </c>
      <c r="S124" s="285"/>
      <c r="T124" s="132" t="str">
        <f t="shared" ref="T124" si="1162">IF(S124="","",IF($B$7="Menor valor",($E$4/$A$4)*($B124/S124),IF(S124&lt;=$B124,($E$4/$A$4)*(1-(($B124-S124)/$B124)),($E$4*60%/$A$4)*(1-2*((ABS($B124-S124))/$B124)))))</f>
        <v/>
      </c>
      <c r="U124" s="285"/>
      <c r="V124" s="132" t="str">
        <f t="shared" ref="V124" si="1163">IF(U124="","",IF($B$7="Menor valor",($E$4/$A$4)*($B124/U124),IF(U124&lt;=$B124,($E$4/$A$4)*(1-(($B124-U124)/$B124)),($E$4*60%/$A$4)*(1-2*((ABS($B124-U124))/$B124)))))</f>
        <v/>
      </c>
      <c r="W124" s="285"/>
      <c r="X124" s="132" t="str">
        <f t="shared" ref="X124" si="1164">IF(W124="","",IF($B$7="Menor valor",($E$4/$A$4)*($B124/W124),IF(W124&lt;=$B124,($E$4/$A$4)*(1-(($B124-W124)/$B124)),($E$4*60%/$A$4)*(1-2*((ABS($B124-W124))/$B124)))))</f>
        <v/>
      </c>
      <c r="Y124" s="285"/>
      <c r="Z124" s="132" t="str">
        <f t="shared" ref="Z124" si="1165">IF(Y124="","",IF($B$7="Menor valor",($E$4/$A$4)*($B124/Y124),IF(Y124&lt;=$B124,($E$4/$A$4)*(1-(($B124-Y124)/$B124)),($E$4*60%/$A$4)*(1-2*((ABS($B124-Y124))/$B124)))))</f>
        <v/>
      </c>
      <c r="AA124" s="129">
        <v>1</v>
      </c>
    </row>
    <row r="125" spans="1:27" s="129" customFormat="1" ht="21" customHeight="1">
      <c r="A125" s="204" t="str">
        <f>+'Presupuesto Consolidado'!A146</f>
        <v>4.2.13</v>
      </c>
      <c r="B125" s="130">
        <f t="shared" si="955"/>
        <v>250122</v>
      </c>
      <c r="C125" s="131">
        <f>IF($C$7="Habilitado",ROUND('Presupuesto Consolidado'!E146,2),"")</f>
        <v>250122</v>
      </c>
      <c r="D125" s="132">
        <f t="shared" si="644"/>
        <v>0.78125</v>
      </c>
      <c r="E125" s="131" t="str">
        <f>IF($E$7="Habilitado",ROUND('Presupuesto Consolidado'!L146,2),"")</f>
        <v/>
      </c>
      <c r="F125" s="132" t="str">
        <f t="shared" si="644"/>
        <v/>
      </c>
      <c r="G125" s="285"/>
      <c r="H125" s="132" t="str">
        <f t="shared" ref="H125" si="1166">IF(G125="","",IF($B$7="Menor valor",($E$4/$A$4)*($B125/G125),IF(G125&lt;=$B125,($E$4/$A$4)*(1-(($B125-G125)/$B125)),($E$4*60%/$A$4)*(1-2*((ABS($B125-G125))/$B125)))))</f>
        <v/>
      </c>
      <c r="I125" s="285"/>
      <c r="J125" s="132" t="str">
        <f t="shared" ref="J125" si="1167">IF(I125="","",IF($B$7="Menor valor",($E$4/$A$4)*($B125/I125),IF(I125&lt;=$B125,($E$4/$A$4)*(1-(($B125-I125)/$B125)),($E$4*60%/$A$4)*(1-2*((ABS($B125-I125))/$B125)))))</f>
        <v/>
      </c>
      <c r="K125" s="285"/>
      <c r="L125" s="132" t="str">
        <f t="shared" ref="L125" si="1168">IF(K125="","",IF($B$7="Menor valor",($E$4/$A$4)*($B125/K125),IF(K125&lt;=$B125,($E$4/$A$4)*(1-(($B125-K125)/$B125)),($E$4*60%/$A$4)*(1-2*((ABS($B125-K125))/$B125)))))</f>
        <v/>
      </c>
      <c r="M125" s="285"/>
      <c r="N125" s="132" t="str">
        <f t="shared" ref="N125" si="1169">IF(M125="","",IF($B$7="Menor valor",($E$4/$A$4)*($B125/M125),IF(M125&lt;=$B125,($E$4/$A$4)*(1-(($B125-M125)/$B125)),($E$4*60%/$A$4)*(1-2*((ABS($B125-M125))/$B125)))))</f>
        <v/>
      </c>
      <c r="O125" s="285"/>
      <c r="P125" s="132" t="str">
        <f t="shared" ref="P125" si="1170">IF(O125="","",IF($B$7="Menor valor",($E$4/$A$4)*($B125/O125),IF(O125&lt;=$B125,($E$4/$A$4)*(1-(($B125-O125)/$B125)),($E$4*60%/$A$4)*(1-2*((ABS($B125-O125))/$B125)))))</f>
        <v/>
      </c>
      <c r="Q125" s="285"/>
      <c r="R125" s="132" t="str">
        <f t="shared" ref="R125" si="1171">IF(Q125="","",IF($B$7="Menor valor",($E$4/$A$4)*($B125/Q125),IF(Q125&lt;=$B125,($E$4/$A$4)*(1-(($B125-Q125)/$B125)),($E$4*60%/$A$4)*(1-2*((ABS($B125-Q125))/$B125)))))</f>
        <v/>
      </c>
      <c r="S125" s="285"/>
      <c r="T125" s="132" t="str">
        <f t="shared" ref="T125" si="1172">IF(S125="","",IF($B$7="Menor valor",($E$4/$A$4)*($B125/S125),IF(S125&lt;=$B125,($E$4/$A$4)*(1-(($B125-S125)/$B125)),($E$4*60%/$A$4)*(1-2*((ABS($B125-S125))/$B125)))))</f>
        <v/>
      </c>
      <c r="U125" s="285"/>
      <c r="V125" s="132" t="str">
        <f t="shared" ref="V125" si="1173">IF(U125="","",IF($B$7="Menor valor",($E$4/$A$4)*($B125/U125),IF(U125&lt;=$B125,($E$4/$A$4)*(1-(($B125-U125)/$B125)),($E$4*60%/$A$4)*(1-2*((ABS($B125-U125))/$B125)))))</f>
        <v/>
      </c>
      <c r="W125" s="285"/>
      <c r="X125" s="132" t="str">
        <f t="shared" ref="X125" si="1174">IF(W125="","",IF($B$7="Menor valor",($E$4/$A$4)*($B125/W125),IF(W125&lt;=$B125,($E$4/$A$4)*(1-(($B125-W125)/$B125)),($E$4*60%/$A$4)*(1-2*((ABS($B125-W125))/$B125)))))</f>
        <v/>
      </c>
      <c r="Y125" s="285"/>
      <c r="Z125" s="132" t="str">
        <f t="shared" ref="Z125" si="1175">IF(Y125="","",IF($B$7="Menor valor",($E$4/$A$4)*($B125/Y125),IF(Y125&lt;=$B125,($E$4/$A$4)*(1-(($B125-Y125)/$B125)),($E$4*60%/$A$4)*(1-2*((ABS($B125-Y125))/$B125)))))</f>
        <v/>
      </c>
      <c r="AA125" s="129">
        <v>1</v>
      </c>
    </row>
    <row r="126" spans="1:27" s="129" customFormat="1" ht="21" customHeight="1">
      <c r="A126" s="204" t="str">
        <f>+'Presupuesto Consolidado'!A147</f>
        <v>4.2.14</v>
      </c>
      <c r="B126" s="130">
        <f t="shared" si="955"/>
        <v>622102</v>
      </c>
      <c r="C126" s="131">
        <f>IF($C$7="Habilitado",ROUND('Presupuesto Consolidado'!E147,2),"")</f>
        <v>622102</v>
      </c>
      <c r="D126" s="132">
        <f t="shared" si="644"/>
        <v>0.78125</v>
      </c>
      <c r="E126" s="131" t="str">
        <f>IF($E$7="Habilitado",ROUND('Presupuesto Consolidado'!L147,2),"")</f>
        <v/>
      </c>
      <c r="F126" s="132" t="str">
        <f t="shared" si="644"/>
        <v/>
      </c>
      <c r="G126" s="285"/>
      <c r="H126" s="132" t="str">
        <f t="shared" ref="H126" si="1176">IF(G126="","",IF($B$7="Menor valor",($E$4/$A$4)*($B126/G126),IF(G126&lt;=$B126,($E$4/$A$4)*(1-(($B126-G126)/$B126)),($E$4*60%/$A$4)*(1-2*((ABS($B126-G126))/$B126)))))</f>
        <v/>
      </c>
      <c r="I126" s="285"/>
      <c r="J126" s="132" t="str">
        <f t="shared" ref="J126" si="1177">IF(I126="","",IF($B$7="Menor valor",($E$4/$A$4)*($B126/I126),IF(I126&lt;=$B126,($E$4/$A$4)*(1-(($B126-I126)/$B126)),($E$4*60%/$A$4)*(1-2*((ABS($B126-I126))/$B126)))))</f>
        <v/>
      </c>
      <c r="K126" s="285"/>
      <c r="L126" s="132" t="str">
        <f t="shared" ref="L126" si="1178">IF(K126="","",IF($B$7="Menor valor",($E$4/$A$4)*($B126/K126),IF(K126&lt;=$B126,($E$4/$A$4)*(1-(($B126-K126)/$B126)),($E$4*60%/$A$4)*(1-2*((ABS($B126-K126))/$B126)))))</f>
        <v/>
      </c>
      <c r="M126" s="285"/>
      <c r="N126" s="132" t="str">
        <f t="shared" ref="N126" si="1179">IF(M126="","",IF($B$7="Menor valor",($E$4/$A$4)*($B126/M126),IF(M126&lt;=$B126,($E$4/$A$4)*(1-(($B126-M126)/$B126)),($E$4*60%/$A$4)*(1-2*((ABS($B126-M126))/$B126)))))</f>
        <v/>
      </c>
      <c r="O126" s="285"/>
      <c r="P126" s="132" t="str">
        <f t="shared" ref="P126" si="1180">IF(O126="","",IF($B$7="Menor valor",($E$4/$A$4)*($B126/O126),IF(O126&lt;=$B126,($E$4/$A$4)*(1-(($B126-O126)/$B126)),($E$4*60%/$A$4)*(1-2*((ABS($B126-O126))/$B126)))))</f>
        <v/>
      </c>
      <c r="Q126" s="285"/>
      <c r="R126" s="132" t="str">
        <f t="shared" ref="R126" si="1181">IF(Q126="","",IF($B$7="Menor valor",($E$4/$A$4)*($B126/Q126),IF(Q126&lt;=$B126,($E$4/$A$4)*(1-(($B126-Q126)/$B126)),($E$4*60%/$A$4)*(1-2*((ABS($B126-Q126))/$B126)))))</f>
        <v/>
      </c>
      <c r="S126" s="285"/>
      <c r="T126" s="132" t="str">
        <f t="shared" ref="T126" si="1182">IF(S126="","",IF($B$7="Menor valor",($E$4/$A$4)*($B126/S126),IF(S126&lt;=$B126,($E$4/$A$4)*(1-(($B126-S126)/$B126)),($E$4*60%/$A$4)*(1-2*((ABS($B126-S126))/$B126)))))</f>
        <v/>
      </c>
      <c r="U126" s="285"/>
      <c r="V126" s="132" t="str">
        <f t="shared" ref="V126" si="1183">IF(U126="","",IF($B$7="Menor valor",($E$4/$A$4)*($B126/U126),IF(U126&lt;=$B126,($E$4/$A$4)*(1-(($B126-U126)/$B126)),($E$4*60%/$A$4)*(1-2*((ABS($B126-U126))/$B126)))))</f>
        <v/>
      </c>
      <c r="W126" s="285"/>
      <c r="X126" s="132" t="str">
        <f t="shared" ref="X126" si="1184">IF(W126="","",IF($B$7="Menor valor",($E$4/$A$4)*($B126/W126),IF(W126&lt;=$B126,($E$4/$A$4)*(1-(($B126-W126)/$B126)),($E$4*60%/$A$4)*(1-2*((ABS($B126-W126))/$B126)))))</f>
        <v/>
      </c>
      <c r="Y126" s="285"/>
      <c r="Z126" s="132" t="str">
        <f t="shared" ref="Z126" si="1185">IF(Y126="","",IF($B$7="Menor valor",($E$4/$A$4)*($B126/Y126),IF(Y126&lt;=$B126,($E$4/$A$4)*(1-(($B126-Y126)/$B126)),($E$4*60%/$A$4)*(1-2*((ABS($B126-Y126))/$B126)))))</f>
        <v/>
      </c>
      <c r="AA126" s="129">
        <v>1</v>
      </c>
    </row>
    <row r="127" spans="1:27" s="129" customFormat="1" ht="21" customHeight="1">
      <c r="A127" s="204" t="str">
        <f>+'Presupuesto Consolidado'!A148</f>
        <v>4.2.15</v>
      </c>
      <c r="B127" s="130">
        <f t="shared" si="955"/>
        <v>5480648</v>
      </c>
      <c r="C127" s="131">
        <f>IF($C$7="Habilitado",ROUND('Presupuesto Consolidado'!E148,2),"")</f>
        <v>5480648</v>
      </c>
      <c r="D127" s="132">
        <f t="shared" si="644"/>
        <v>0.78125</v>
      </c>
      <c r="E127" s="131" t="str">
        <f>IF($E$7="Habilitado",ROUND('Presupuesto Consolidado'!L148,2),"")</f>
        <v/>
      </c>
      <c r="F127" s="132" t="str">
        <f t="shared" si="644"/>
        <v/>
      </c>
      <c r="G127" s="285"/>
      <c r="H127" s="132" t="str">
        <f t="shared" ref="H127" si="1186">IF(G127="","",IF($B$7="Menor valor",($E$4/$A$4)*($B127/G127),IF(G127&lt;=$B127,($E$4/$A$4)*(1-(($B127-G127)/$B127)),($E$4*60%/$A$4)*(1-2*((ABS($B127-G127))/$B127)))))</f>
        <v/>
      </c>
      <c r="I127" s="285"/>
      <c r="J127" s="132" t="str">
        <f t="shared" ref="J127" si="1187">IF(I127="","",IF($B$7="Menor valor",($E$4/$A$4)*($B127/I127),IF(I127&lt;=$B127,($E$4/$A$4)*(1-(($B127-I127)/$B127)),($E$4*60%/$A$4)*(1-2*((ABS($B127-I127))/$B127)))))</f>
        <v/>
      </c>
      <c r="K127" s="285"/>
      <c r="L127" s="132" t="str">
        <f t="shared" ref="L127" si="1188">IF(K127="","",IF($B$7="Menor valor",($E$4/$A$4)*($B127/K127),IF(K127&lt;=$B127,($E$4/$A$4)*(1-(($B127-K127)/$B127)),($E$4*60%/$A$4)*(1-2*((ABS($B127-K127))/$B127)))))</f>
        <v/>
      </c>
      <c r="M127" s="285"/>
      <c r="N127" s="132" t="str">
        <f t="shared" ref="N127" si="1189">IF(M127="","",IF($B$7="Menor valor",($E$4/$A$4)*($B127/M127),IF(M127&lt;=$B127,($E$4/$A$4)*(1-(($B127-M127)/$B127)),($E$4*60%/$A$4)*(1-2*((ABS($B127-M127))/$B127)))))</f>
        <v/>
      </c>
      <c r="O127" s="285"/>
      <c r="P127" s="132" t="str">
        <f t="shared" ref="P127" si="1190">IF(O127="","",IF($B$7="Menor valor",($E$4/$A$4)*($B127/O127),IF(O127&lt;=$B127,($E$4/$A$4)*(1-(($B127-O127)/$B127)),($E$4*60%/$A$4)*(1-2*((ABS($B127-O127))/$B127)))))</f>
        <v/>
      </c>
      <c r="Q127" s="285"/>
      <c r="R127" s="132" t="str">
        <f t="shared" ref="R127" si="1191">IF(Q127="","",IF($B$7="Menor valor",($E$4/$A$4)*($B127/Q127),IF(Q127&lt;=$B127,($E$4/$A$4)*(1-(($B127-Q127)/$B127)),($E$4*60%/$A$4)*(1-2*((ABS($B127-Q127))/$B127)))))</f>
        <v/>
      </c>
      <c r="S127" s="285"/>
      <c r="T127" s="132" t="str">
        <f t="shared" ref="T127" si="1192">IF(S127="","",IF($B$7="Menor valor",($E$4/$A$4)*($B127/S127),IF(S127&lt;=$B127,($E$4/$A$4)*(1-(($B127-S127)/$B127)),($E$4*60%/$A$4)*(1-2*((ABS($B127-S127))/$B127)))))</f>
        <v/>
      </c>
      <c r="U127" s="285"/>
      <c r="V127" s="132" t="str">
        <f t="shared" ref="V127" si="1193">IF(U127="","",IF($B$7="Menor valor",($E$4/$A$4)*($B127/U127),IF(U127&lt;=$B127,($E$4/$A$4)*(1-(($B127-U127)/$B127)),($E$4*60%/$A$4)*(1-2*((ABS($B127-U127))/$B127)))))</f>
        <v/>
      </c>
      <c r="W127" s="285"/>
      <c r="X127" s="132" t="str">
        <f t="shared" ref="X127" si="1194">IF(W127="","",IF($B$7="Menor valor",($E$4/$A$4)*($B127/W127),IF(W127&lt;=$B127,($E$4/$A$4)*(1-(($B127-W127)/$B127)),($E$4*60%/$A$4)*(1-2*((ABS($B127-W127))/$B127)))))</f>
        <v/>
      </c>
      <c r="Y127" s="285"/>
      <c r="Z127" s="132" t="str">
        <f t="shared" ref="Z127" si="1195">IF(Y127="","",IF($B$7="Menor valor",($E$4/$A$4)*($B127/Y127),IF(Y127&lt;=$B127,($E$4/$A$4)*(1-(($B127-Y127)/$B127)),($E$4*60%/$A$4)*(1-2*((ABS($B127-Y127))/$B127)))))</f>
        <v/>
      </c>
      <c r="AA127" s="129">
        <v>1</v>
      </c>
    </row>
    <row r="128" spans="1:27" s="129" customFormat="1" ht="21" customHeight="1">
      <c r="A128" s="204" t="str">
        <f>+'Presupuesto Consolidado'!A149</f>
        <v>4.2.16</v>
      </c>
      <c r="B128" s="130">
        <f t="shared" si="955"/>
        <v>36836</v>
      </c>
      <c r="C128" s="131">
        <f>IF($C$7="Habilitado",ROUND('Presupuesto Consolidado'!E149,2),"")</f>
        <v>36836</v>
      </c>
      <c r="D128" s="132">
        <f t="shared" si="644"/>
        <v>0.78125</v>
      </c>
      <c r="E128" s="131" t="str">
        <f>IF($E$7="Habilitado",ROUND('Presupuesto Consolidado'!L149,2),"")</f>
        <v/>
      </c>
      <c r="F128" s="132" t="str">
        <f t="shared" si="644"/>
        <v/>
      </c>
      <c r="G128" s="285"/>
      <c r="H128" s="132" t="str">
        <f t="shared" ref="H128" si="1196">IF(G128="","",IF($B$7="Menor valor",($E$4/$A$4)*($B128/G128),IF(G128&lt;=$B128,($E$4/$A$4)*(1-(($B128-G128)/$B128)),($E$4*60%/$A$4)*(1-2*((ABS($B128-G128))/$B128)))))</f>
        <v/>
      </c>
      <c r="I128" s="285"/>
      <c r="J128" s="132" t="str">
        <f t="shared" ref="J128" si="1197">IF(I128="","",IF($B$7="Menor valor",($E$4/$A$4)*($B128/I128),IF(I128&lt;=$B128,($E$4/$A$4)*(1-(($B128-I128)/$B128)),($E$4*60%/$A$4)*(1-2*((ABS($B128-I128))/$B128)))))</f>
        <v/>
      </c>
      <c r="K128" s="285"/>
      <c r="L128" s="132" t="str">
        <f t="shared" ref="L128" si="1198">IF(K128="","",IF($B$7="Menor valor",($E$4/$A$4)*($B128/K128),IF(K128&lt;=$B128,($E$4/$A$4)*(1-(($B128-K128)/$B128)),($E$4*60%/$A$4)*(1-2*((ABS($B128-K128))/$B128)))))</f>
        <v/>
      </c>
      <c r="M128" s="285"/>
      <c r="N128" s="132" t="str">
        <f t="shared" ref="N128" si="1199">IF(M128="","",IF($B$7="Menor valor",($E$4/$A$4)*($B128/M128),IF(M128&lt;=$B128,($E$4/$A$4)*(1-(($B128-M128)/$B128)),($E$4*60%/$A$4)*(1-2*((ABS($B128-M128))/$B128)))))</f>
        <v/>
      </c>
      <c r="O128" s="285"/>
      <c r="P128" s="132" t="str">
        <f t="shared" ref="P128" si="1200">IF(O128="","",IF($B$7="Menor valor",($E$4/$A$4)*($B128/O128),IF(O128&lt;=$B128,($E$4/$A$4)*(1-(($B128-O128)/$B128)),($E$4*60%/$A$4)*(1-2*((ABS($B128-O128))/$B128)))))</f>
        <v/>
      </c>
      <c r="Q128" s="285"/>
      <c r="R128" s="132" t="str">
        <f t="shared" ref="R128" si="1201">IF(Q128="","",IF($B$7="Menor valor",($E$4/$A$4)*($B128/Q128),IF(Q128&lt;=$B128,($E$4/$A$4)*(1-(($B128-Q128)/$B128)),($E$4*60%/$A$4)*(1-2*((ABS($B128-Q128))/$B128)))))</f>
        <v/>
      </c>
      <c r="S128" s="285"/>
      <c r="T128" s="132" t="str">
        <f t="shared" ref="T128" si="1202">IF(S128="","",IF($B$7="Menor valor",($E$4/$A$4)*($B128/S128),IF(S128&lt;=$B128,($E$4/$A$4)*(1-(($B128-S128)/$B128)),($E$4*60%/$A$4)*(1-2*((ABS($B128-S128))/$B128)))))</f>
        <v/>
      </c>
      <c r="U128" s="285"/>
      <c r="V128" s="132" t="str">
        <f t="shared" ref="V128" si="1203">IF(U128="","",IF($B$7="Menor valor",($E$4/$A$4)*($B128/U128),IF(U128&lt;=$B128,($E$4/$A$4)*(1-(($B128-U128)/$B128)),($E$4*60%/$A$4)*(1-2*((ABS($B128-U128))/$B128)))))</f>
        <v/>
      </c>
      <c r="W128" s="285"/>
      <c r="X128" s="132" t="str">
        <f t="shared" ref="X128" si="1204">IF(W128="","",IF($B$7="Menor valor",($E$4/$A$4)*($B128/W128),IF(W128&lt;=$B128,($E$4/$A$4)*(1-(($B128-W128)/$B128)),($E$4*60%/$A$4)*(1-2*((ABS($B128-W128))/$B128)))))</f>
        <v/>
      </c>
      <c r="Y128" s="285"/>
      <c r="Z128" s="132" t="str">
        <f t="shared" ref="Z128" si="1205">IF(Y128="","",IF($B$7="Menor valor",($E$4/$A$4)*($B128/Y128),IF(Y128&lt;=$B128,($E$4/$A$4)*(1-(($B128-Y128)/$B128)),($E$4*60%/$A$4)*(1-2*((ABS($B128-Y128))/$B128)))))</f>
        <v/>
      </c>
      <c r="AA128" s="129">
        <v>1</v>
      </c>
    </row>
    <row r="129" spans="1:27" s="129" customFormat="1" ht="21" customHeight="1">
      <c r="A129" s="204" t="str">
        <f>+'Presupuesto Consolidado'!A150</f>
        <v>4.2.17</v>
      </c>
      <c r="B129" s="130">
        <f t="shared" si="955"/>
        <v>303025</v>
      </c>
      <c r="C129" s="131">
        <f>IF($C$7="Habilitado",ROUND('Presupuesto Consolidado'!E150,2),"")</f>
        <v>303025</v>
      </c>
      <c r="D129" s="132">
        <f t="shared" si="644"/>
        <v>0.78125</v>
      </c>
      <c r="E129" s="131" t="str">
        <f>IF($E$7="Habilitado",ROUND('Presupuesto Consolidado'!L150,2),"")</f>
        <v/>
      </c>
      <c r="F129" s="132" t="str">
        <f t="shared" si="644"/>
        <v/>
      </c>
      <c r="G129" s="285"/>
      <c r="H129" s="132" t="str">
        <f t="shared" ref="H129" si="1206">IF(G129="","",IF($B$7="Menor valor",($E$4/$A$4)*($B129/G129),IF(G129&lt;=$B129,($E$4/$A$4)*(1-(($B129-G129)/$B129)),($E$4*60%/$A$4)*(1-2*((ABS($B129-G129))/$B129)))))</f>
        <v/>
      </c>
      <c r="I129" s="285"/>
      <c r="J129" s="132" t="str">
        <f t="shared" ref="J129" si="1207">IF(I129="","",IF($B$7="Menor valor",($E$4/$A$4)*($B129/I129),IF(I129&lt;=$B129,($E$4/$A$4)*(1-(($B129-I129)/$B129)),($E$4*60%/$A$4)*(1-2*((ABS($B129-I129))/$B129)))))</f>
        <v/>
      </c>
      <c r="K129" s="285"/>
      <c r="L129" s="132" t="str">
        <f t="shared" ref="L129" si="1208">IF(K129="","",IF($B$7="Menor valor",($E$4/$A$4)*($B129/K129),IF(K129&lt;=$B129,($E$4/$A$4)*(1-(($B129-K129)/$B129)),($E$4*60%/$A$4)*(1-2*((ABS($B129-K129))/$B129)))))</f>
        <v/>
      </c>
      <c r="M129" s="285"/>
      <c r="N129" s="132" t="str">
        <f t="shared" ref="N129" si="1209">IF(M129="","",IF($B$7="Menor valor",($E$4/$A$4)*($B129/M129),IF(M129&lt;=$B129,($E$4/$A$4)*(1-(($B129-M129)/$B129)),($E$4*60%/$A$4)*(1-2*((ABS($B129-M129))/$B129)))))</f>
        <v/>
      </c>
      <c r="O129" s="285"/>
      <c r="P129" s="132" t="str">
        <f t="shared" ref="P129" si="1210">IF(O129="","",IF($B$7="Menor valor",($E$4/$A$4)*($B129/O129),IF(O129&lt;=$B129,($E$4/$A$4)*(1-(($B129-O129)/$B129)),($E$4*60%/$A$4)*(1-2*((ABS($B129-O129))/$B129)))))</f>
        <v/>
      </c>
      <c r="Q129" s="285"/>
      <c r="R129" s="132" t="str">
        <f t="shared" ref="R129" si="1211">IF(Q129="","",IF($B$7="Menor valor",($E$4/$A$4)*($B129/Q129),IF(Q129&lt;=$B129,($E$4/$A$4)*(1-(($B129-Q129)/$B129)),($E$4*60%/$A$4)*(1-2*((ABS($B129-Q129))/$B129)))))</f>
        <v/>
      </c>
      <c r="S129" s="285"/>
      <c r="T129" s="132" t="str">
        <f t="shared" ref="T129" si="1212">IF(S129="","",IF($B$7="Menor valor",($E$4/$A$4)*($B129/S129),IF(S129&lt;=$B129,($E$4/$A$4)*(1-(($B129-S129)/$B129)),($E$4*60%/$A$4)*(1-2*((ABS($B129-S129))/$B129)))))</f>
        <v/>
      </c>
      <c r="U129" s="285"/>
      <c r="V129" s="132" t="str">
        <f t="shared" ref="V129" si="1213">IF(U129="","",IF($B$7="Menor valor",($E$4/$A$4)*($B129/U129),IF(U129&lt;=$B129,($E$4/$A$4)*(1-(($B129-U129)/$B129)),($E$4*60%/$A$4)*(1-2*((ABS($B129-U129))/$B129)))))</f>
        <v/>
      </c>
      <c r="W129" s="285"/>
      <c r="X129" s="132" t="str">
        <f t="shared" ref="X129" si="1214">IF(W129="","",IF($B$7="Menor valor",($E$4/$A$4)*($B129/W129),IF(W129&lt;=$B129,($E$4/$A$4)*(1-(($B129-W129)/$B129)),($E$4*60%/$A$4)*(1-2*((ABS($B129-W129))/$B129)))))</f>
        <v/>
      </c>
      <c r="Y129" s="285"/>
      <c r="Z129" s="132" t="str">
        <f t="shared" ref="Z129" si="1215">IF(Y129="","",IF($B$7="Menor valor",($E$4/$A$4)*($B129/Y129),IF(Y129&lt;=$B129,($E$4/$A$4)*(1-(($B129-Y129)/$B129)),($E$4*60%/$A$4)*(1-2*((ABS($B129-Y129))/$B129)))))</f>
        <v/>
      </c>
      <c r="AA129" s="129">
        <v>1</v>
      </c>
    </row>
    <row r="130" spans="1:27" s="129" customFormat="1" ht="21" customHeight="1">
      <c r="A130" s="204" t="str">
        <f>+'Presupuesto Consolidado'!A151</f>
        <v>4.2.18</v>
      </c>
      <c r="B130" s="130">
        <f t="shared" si="955"/>
        <v>162599</v>
      </c>
      <c r="C130" s="131">
        <f>IF($C$7="Habilitado",ROUND('Presupuesto Consolidado'!E151,2),"")</f>
        <v>162599</v>
      </c>
      <c r="D130" s="132">
        <f t="shared" si="644"/>
        <v>0.78125</v>
      </c>
      <c r="E130" s="131" t="str">
        <f>IF($E$7="Habilitado",ROUND('Presupuesto Consolidado'!L151,2),"")</f>
        <v/>
      </c>
      <c r="F130" s="132" t="str">
        <f t="shared" si="644"/>
        <v/>
      </c>
      <c r="G130" s="285"/>
      <c r="H130" s="132" t="str">
        <f t="shared" ref="H130" si="1216">IF(G130="","",IF($B$7="Menor valor",($E$4/$A$4)*($B130/G130),IF(G130&lt;=$B130,($E$4/$A$4)*(1-(($B130-G130)/$B130)),($E$4*60%/$A$4)*(1-2*((ABS($B130-G130))/$B130)))))</f>
        <v/>
      </c>
      <c r="I130" s="285"/>
      <c r="J130" s="132" t="str">
        <f t="shared" ref="J130" si="1217">IF(I130="","",IF($B$7="Menor valor",($E$4/$A$4)*($B130/I130),IF(I130&lt;=$B130,($E$4/$A$4)*(1-(($B130-I130)/$B130)),($E$4*60%/$A$4)*(1-2*((ABS($B130-I130))/$B130)))))</f>
        <v/>
      </c>
      <c r="K130" s="285"/>
      <c r="L130" s="132" t="str">
        <f t="shared" ref="L130" si="1218">IF(K130="","",IF($B$7="Menor valor",($E$4/$A$4)*($B130/K130),IF(K130&lt;=$B130,($E$4/$A$4)*(1-(($B130-K130)/$B130)),($E$4*60%/$A$4)*(1-2*((ABS($B130-K130))/$B130)))))</f>
        <v/>
      </c>
      <c r="M130" s="285"/>
      <c r="N130" s="132" t="str">
        <f t="shared" ref="N130" si="1219">IF(M130="","",IF($B$7="Menor valor",($E$4/$A$4)*($B130/M130),IF(M130&lt;=$B130,($E$4/$A$4)*(1-(($B130-M130)/$B130)),($E$4*60%/$A$4)*(1-2*((ABS($B130-M130))/$B130)))))</f>
        <v/>
      </c>
      <c r="O130" s="285"/>
      <c r="P130" s="132" t="str">
        <f t="shared" ref="P130" si="1220">IF(O130="","",IF($B$7="Menor valor",($E$4/$A$4)*($B130/O130),IF(O130&lt;=$B130,($E$4/$A$4)*(1-(($B130-O130)/$B130)),($E$4*60%/$A$4)*(1-2*((ABS($B130-O130))/$B130)))))</f>
        <v/>
      </c>
      <c r="Q130" s="285"/>
      <c r="R130" s="132" t="str">
        <f t="shared" ref="R130" si="1221">IF(Q130="","",IF($B$7="Menor valor",($E$4/$A$4)*($B130/Q130),IF(Q130&lt;=$B130,($E$4/$A$4)*(1-(($B130-Q130)/$B130)),($E$4*60%/$A$4)*(1-2*((ABS($B130-Q130))/$B130)))))</f>
        <v/>
      </c>
      <c r="S130" s="285"/>
      <c r="T130" s="132" t="str">
        <f t="shared" ref="T130" si="1222">IF(S130="","",IF($B$7="Menor valor",($E$4/$A$4)*($B130/S130),IF(S130&lt;=$B130,($E$4/$A$4)*(1-(($B130-S130)/$B130)),($E$4*60%/$A$4)*(1-2*((ABS($B130-S130))/$B130)))))</f>
        <v/>
      </c>
      <c r="U130" s="285"/>
      <c r="V130" s="132" t="str">
        <f t="shared" ref="V130" si="1223">IF(U130="","",IF($B$7="Menor valor",($E$4/$A$4)*($B130/U130),IF(U130&lt;=$B130,($E$4/$A$4)*(1-(($B130-U130)/$B130)),($E$4*60%/$A$4)*(1-2*((ABS($B130-U130))/$B130)))))</f>
        <v/>
      </c>
      <c r="W130" s="285"/>
      <c r="X130" s="132" t="str">
        <f t="shared" ref="X130" si="1224">IF(W130="","",IF($B$7="Menor valor",($E$4/$A$4)*($B130/W130),IF(W130&lt;=$B130,($E$4/$A$4)*(1-(($B130-W130)/$B130)),($E$4*60%/$A$4)*(1-2*((ABS($B130-W130))/$B130)))))</f>
        <v/>
      </c>
      <c r="Y130" s="285"/>
      <c r="Z130" s="132" t="str">
        <f t="shared" ref="Z130" si="1225">IF(Y130="","",IF($B$7="Menor valor",($E$4/$A$4)*($B130/Y130),IF(Y130&lt;=$B130,($E$4/$A$4)*(1-(($B130-Y130)/$B130)),($E$4*60%/$A$4)*(1-2*((ABS($B130-Y130))/$B130)))))</f>
        <v/>
      </c>
      <c r="AA130" s="129">
        <v>1</v>
      </c>
    </row>
    <row r="131" spans="1:27" s="129" customFormat="1" ht="21" customHeight="1">
      <c r="A131" s="204" t="str">
        <f>+'Presupuesto Consolidado'!A153</f>
        <v>4.3.1</v>
      </c>
      <c r="B131" s="130">
        <f t="shared" si="955"/>
        <v>19126214.41</v>
      </c>
      <c r="C131" s="131">
        <f>IF($C$7="Habilitado",ROUND('Presupuesto Consolidado'!E153,2),"")</f>
        <v>19126214.41</v>
      </c>
      <c r="D131" s="132">
        <f t="shared" si="644"/>
        <v>0.78125</v>
      </c>
      <c r="E131" s="131" t="str">
        <f>IF($E$7="Habilitado",ROUND('Presupuesto Consolidado'!L153,2),"")</f>
        <v/>
      </c>
      <c r="F131" s="132" t="str">
        <f t="shared" si="644"/>
        <v/>
      </c>
      <c r="G131" s="285"/>
      <c r="H131" s="132" t="str">
        <f t="shared" ref="H131" si="1226">IF(G131="","",IF($B$7="Menor valor",($E$4/$A$4)*($B131/G131),IF(G131&lt;=$B131,($E$4/$A$4)*(1-(($B131-G131)/$B131)),($E$4*60%/$A$4)*(1-2*((ABS($B131-G131))/$B131)))))</f>
        <v/>
      </c>
      <c r="I131" s="285"/>
      <c r="J131" s="132" t="str">
        <f t="shared" ref="J131" si="1227">IF(I131="","",IF($B$7="Menor valor",($E$4/$A$4)*($B131/I131),IF(I131&lt;=$B131,($E$4/$A$4)*(1-(($B131-I131)/$B131)),($E$4*60%/$A$4)*(1-2*((ABS($B131-I131))/$B131)))))</f>
        <v/>
      </c>
      <c r="K131" s="285"/>
      <c r="L131" s="132" t="str">
        <f t="shared" ref="L131" si="1228">IF(K131="","",IF($B$7="Menor valor",($E$4/$A$4)*($B131/K131),IF(K131&lt;=$B131,($E$4/$A$4)*(1-(($B131-K131)/$B131)),($E$4*60%/$A$4)*(1-2*((ABS($B131-K131))/$B131)))))</f>
        <v/>
      </c>
      <c r="M131" s="285"/>
      <c r="N131" s="132" t="str">
        <f t="shared" ref="N131" si="1229">IF(M131="","",IF($B$7="Menor valor",($E$4/$A$4)*($B131/M131),IF(M131&lt;=$B131,($E$4/$A$4)*(1-(($B131-M131)/$B131)),($E$4*60%/$A$4)*(1-2*((ABS($B131-M131))/$B131)))))</f>
        <v/>
      </c>
      <c r="O131" s="285"/>
      <c r="P131" s="132" t="str">
        <f t="shared" ref="P131" si="1230">IF(O131="","",IF($B$7="Menor valor",($E$4/$A$4)*($B131/O131),IF(O131&lt;=$B131,($E$4/$A$4)*(1-(($B131-O131)/$B131)),($E$4*60%/$A$4)*(1-2*((ABS($B131-O131))/$B131)))))</f>
        <v/>
      </c>
      <c r="Q131" s="285"/>
      <c r="R131" s="132" t="str">
        <f t="shared" ref="R131" si="1231">IF(Q131="","",IF($B$7="Menor valor",($E$4/$A$4)*($B131/Q131),IF(Q131&lt;=$B131,($E$4/$A$4)*(1-(($B131-Q131)/$B131)),($E$4*60%/$A$4)*(1-2*((ABS($B131-Q131))/$B131)))))</f>
        <v/>
      </c>
      <c r="S131" s="285"/>
      <c r="T131" s="132" t="str">
        <f t="shared" ref="T131" si="1232">IF(S131="","",IF($B$7="Menor valor",($E$4/$A$4)*($B131/S131),IF(S131&lt;=$B131,($E$4/$A$4)*(1-(($B131-S131)/$B131)),($E$4*60%/$A$4)*(1-2*((ABS($B131-S131))/$B131)))))</f>
        <v/>
      </c>
      <c r="U131" s="285"/>
      <c r="V131" s="132" t="str">
        <f t="shared" ref="V131" si="1233">IF(U131="","",IF($B$7="Menor valor",($E$4/$A$4)*($B131/U131),IF(U131&lt;=$B131,($E$4/$A$4)*(1-(($B131-U131)/$B131)),($E$4*60%/$A$4)*(1-2*((ABS($B131-U131))/$B131)))))</f>
        <v/>
      </c>
      <c r="W131" s="285"/>
      <c r="X131" s="132" t="str">
        <f t="shared" ref="X131" si="1234">IF(W131="","",IF($B$7="Menor valor",($E$4/$A$4)*($B131/W131),IF(W131&lt;=$B131,($E$4/$A$4)*(1-(($B131-W131)/$B131)),($E$4*60%/$A$4)*(1-2*((ABS($B131-W131))/$B131)))))</f>
        <v/>
      </c>
      <c r="Y131" s="285"/>
      <c r="Z131" s="132" t="str">
        <f t="shared" ref="Z131" si="1235">IF(Y131="","",IF($B$7="Menor valor",($E$4/$A$4)*($B131/Y131),IF(Y131&lt;=$B131,($E$4/$A$4)*(1-(($B131-Y131)/$B131)),($E$4*60%/$A$4)*(1-2*((ABS($B131-Y131))/$B131)))))</f>
        <v/>
      </c>
      <c r="AA131" s="129">
        <v>1</v>
      </c>
    </row>
    <row r="132" spans="1:27" s="129" customFormat="1" ht="21" customHeight="1">
      <c r="A132" s="204" t="str">
        <f>+'Presupuesto Consolidado'!A154</f>
        <v>4.3.2</v>
      </c>
      <c r="B132" s="130">
        <f t="shared" si="955"/>
        <v>140692.81</v>
      </c>
      <c r="C132" s="131">
        <f>IF($C$7="Habilitado",ROUND('Presupuesto Consolidado'!E154,2),"")</f>
        <v>140692.81</v>
      </c>
      <c r="D132" s="132">
        <f t="shared" si="644"/>
        <v>0.78125</v>
      </c>
      <c r="E132" s="131" t="str">
        <f>IF($E$7="Habilitado",ROUND('Presupuesto Consolidado'!L154,2),"")</f>
        <v/>
      </c>
      <c r="F132" s="132" t="str">
        <f t="shared" si="644"/>
        <v/>
      </c>
      <c r="G132" s="285"/>
      <c r="H132" s="132" t="str">
        <f t="shared" ref="H132" si="1236">IF(G132="","",IF($B$7="Menor valor",($E$4/$A$4)*($B132/G132),IF(G132&lt;=$B132,($E$4/$A$4)*(1-(($B132-G132)/$B132)),($E$4*60%/$A$4)*(1-2*((ABS($B132-G132))/$B132)))))</f>
        <v/>
      </c>
      <c r="I132" s="285"/>
      <c r="J132" s="132" t="str">
        <f t="shared" ref="J132" si="1237">IF(I132="","",IF($B$7="Menor valor",($E$4/$A$4)*($B132/I132),IF(I132&lt;=$B132,($E$4/$A$4)*(1-(($B132-I132)/$B132)),($E$4*60%/$A$4)*(1-2*((ABS($B132-I132))/$B132)))))</f>
        <v/>
      </c>
      <c r="K132" s="285"/>
      <c r="L132" s="132" t="str">
        <f t="shared" ref="L132" si="1238">IF(K132="","",IF($B$7="Menor valor",($E$4/$A$4)*($B132/K132),IF(K132&lt;=$B132,($E$4/$A$4)*(1-(($B132-K132)/$B132)),($E$4*60%/$A$4)*(1-2*((ABS($B132-K132))/$B132)))))</f>
        <v/>
      </c>
      <c r="M132" s="285"/>
      <c r="N132" s="132" t="str">
        <f t="shared" ref="N132" si="1239">IF(M132="","",IF($B$7="Menor valor",($E$4/$A$4)*($B132/M132),IF(M132&lt;=$B132,($E$4/$A$4)*(1-(($B132-M132)/$B132)),($E$4*60%/$A$4)*(1-2*((ABS($B132-M132))/$B132)))))</f>
        <v/>
      </c>
      <c r="O132" s="285"/>
      <c r="P132" s="132" t="str">
        <f t="shared" ref="P132" si="1240">IF(O132="","",IF($B$7="Menor valor",($E$4/$A$4)*($B132/O132),IF(O132&lt;=$B132,($E$4/$A$4)*(1-(($B132-O132)/$B132)),($E$4*60%/$A$4)*(1-2*((ABS($B132-O132))/$B132)))))</f>
        <v/>
      </c>
      <c r="Q132" s="285"/>
      <c r="R132" s="132" t="str">
        <f t="shared" ref="R132" si="1241">IF(Q132="","",IF($B$7="Menor valor",($E$4/$A$4)*($B132/Q132),IF(Q132&lt;=$B132,($E$4/$A$4)*(1-(($B132-Q132)/$B132)),($E$4*60%/$A$4)*(1-2*((ABS($B132-Q132))/$B132)))))</f>
        <v/>
      </c>
      <c r="S132" s="285"/>
      <c r="T132" s="132" t="str">
        <f t="shared" ref="T132" si="1242">IF(S132="","",IF($B$7="Menor valor",($E$4/$A$4)*($B132/S132),IF(S132&lt;=$B132,($E$4/$A$4)*(1-(($B132-S132)/$B132)),($E$4*60%/$A$4)*(1-2*((ABS($B132-S132))/$B132)))))</f>
        <v/>
      </c>
      <c r="U132" s="285"/>
      <c r="V132" s="132" t="str">
        <f t="shared" ref="V132" si="1243">IF(U132="","",IF($B$7="Menor valor",($E$4/$A$4)*($B132/U132),IF(U132&lt;=$B132,($E$4/$A$4)*(1-(($B132-U132)/$B132)),($E$4*60%/$A$4)*(1-2*((ABS($B132-U132))/$B132)))))</f>
        <v/>
      </c>
      <c r="W132" s="285"/>
      <c r="X132" s="132" t="str">
        <f t="shared" ref="X132" si="1244">IF(W132="","",IF($B$7="Menor valor",($E$4/$A$4)*($B132/W132),IF(W132&lt;=$B132,($E$4/$A$4)*(1-(($B132-W132)/$B132)),($E$4*60%/$A$4)*(1-2*((ABS($B132-W132))/$B132)))))</f>
        <v/>
      </c>
      <c r="Y132" s="285"/>
      <c r="Z132" s="132" t="str">
        <f t="shared" ref="Z132" si="1245">IF(Y132="","",IF($B$7="Menor valor",($E$4/$A$4)*($B132/Y132),IF(Y132&lt;=$B132,($E$4/$A$4)*(1-(($B132-Y132)/$B132)),($E$4*60%/$A$4)*(1-2*((ABS($B132-Y132))/$B132)))))</f>
        <v/>
      </c>
      <c r="AA132" s="129">
        <v>1</v>
      </c>
    </row>
    <row r="133" spans="1:27" s="129" customFormat="1" ht="21" customHeight="1">
      <c r="A133" s="204" t="str">
        <f>+'Presupuesto Consolidado'!A155</f>
        <v>4.3.3</v>
      </c>
      <c r="B133" s="130">
        <f t="shared" si="955"/>
        <v>7274957.2400000002</v>
      </c>
      <c r="C133" s="131">
        <f>IF($C$7="Habilitado",ROUND('Presupuesto Consolidado'!E155,2),"")</f>
        <v>7274957.2400000002</v>
      </c>
      <c r="D133" s="132">
        <f t="shared" si="644"/>
        <v>0.78125</v>
      </c>
      <c r="E133" s="131" t="str">
        <f>IF($E$7="Habilitado",ROUND('Presupuesto Consolidado'!L155,2),"")</f>
        <v/>
      </c>
      <c r="F133" s="132" t="str">
        <f t="shared" si="644"/>
        <v/>
      </c>
      <c r="G133" s="285"/>
      <c r="H133" s="132" t="str">
        <f t="shared" ref="H133" si="1246">IF(G133="","",IF($B$7="Menor valor",($E$4/$A$4)*($B133/G133),IF(G133&lt;=$B133,($E$4/$A$4)*(1-(($B133-G133)/$B133)),($E$4*60%/$A$4)*(1-2*((ABS($B133-G133))/$B133)))))</f>
        <v/>
      </c>
      <c r="I133" s="285"/>
      <c r="J133" s="132" t="str">
        <f t="shared" ref="J133" si="1247">IF(I133="","",IF($B$7="Menor valor",($E$4/$A$4)*($B133/I133),IF(I133&lt;=$B133,($E$4/$A$4)*(1-(($B133-I133)/$B133)),($E$4*60%/$A$4)*(1-2*((ABS($B133-I133))/$B133)))))</f>
        <v/>
      </c>
      <c r="K133" s="285"/>
      <c r="L133" s="132" t="str">
        <f t="shared" ref="L133" si="1248">IF(K133="","",IF($B$7="Menor valor",($E$4/$A$4)*($B133/K133),IF(K133&lt;=$B133,($E$4/$A$4)*(1-(($B133-K133)/$B133)),($E$4*60%/$A$4)*(1-2*((ABS($B133-K133))/$B133)))))</f>
        <v/>
      </c>
      <c r="M133" s="285"/>
      <c r="N133" s="132" t="str">
        <f t="shared" ref="N133" si="1249">IF(M133="","",IF($B$7="Menor valor",($E$4/$A$4)*($B133/M133),IF(M133&lt;=$B133,($E$4/$A$4)*(1-(($B133-M133)/$B133)),($E$4*60%/$A$4)*(1-2*((ABS($B133-M133))/$B133)))))</f>
        <v/>
      </c>
      <c r="O133" s="285"/>
      <c r="P133" s="132" t="str">
        <f t="shared" ref="P133" si="1250">IF(O133="","",IF($B$7="Menor valor",($E$4/$A$4)*($B133/O133),IF(O133&lt;=$B133,($E$4/$A$4)*(1-(($B133-O133)/$B133)),($E$4*60%/$A$4)*(1-2*((ABS($B133-O133))/$B133)))))</f>
        <v/>
      </c>
      <c r="Q133" s="285"/>
      <c r="R133" s="132" t="str">
        <f t="shared" ref="R133" si="1251">IF(Q133="","",IF($B$7="Menor valor",($E$4/$A$4)*($B133/Q133),IF(Q133&lt;=$B133,($E$4/$A$4)*(1-(($B133-Q133)/$B133)),($E$4*60%/$A$4)*(1-2*((ABS($B133-Q133))/$B133)))))</f>
        <v/>
      </c>
      <c r="S133" s="285"/>
      <c r="T133" s="132" t="str">
        <f t="shared" ref="T133" si="1252">IF(S133="","",IF($B$7="Menor valor",($E$4/$A$4)*($B133/S133),IF(S133&lt;=$B133,($E$4/$A$4)*(1-(($B133-S133)/$B133)),($E$4*60%/$A$4)*(1-2*((ABS($B133-S133))/$B133)))))</f>
        <v/>
      </c>
      <c r="U133" s="285"/>
      <c r="V133" s="132" t="str">
        <f t="shared" ref="V133" si="1253">IF(U133="","",IF($B$7="Menor valor",($E$4/$A$4)*($B133/U133),IF(U133&lt;=$B133,($E$4/$A$4)*(1-(($B133-U133)/$B133)),($E$4*60%/$A$4)*(1-2*((ABS($B133-U133))/$B133)))))</f>
        <v/>
      </c>
      <c r="W133" s="285"/>
      <c r="X133" s="132" t="str">
        <f t="shared" ref="X133" si="1254">IF(W133="","",IF($B$7="Menor valor",($E$4/$A$4)*($B133/W133),IF(W133&lt;=$B133,($E$4/$A$4)*(1-(($B133-W133)/$B133)),($E$4*60%/$A$4)*(1-2*((ABS($B133-W133))/$B133)))))</f>
        <v/>
      </c>
      <c r="Y133" s="285"/>
      <c r="Z133" s="132" t="str">
        <f t="shared" ref="Z133" si="1255">IF(Y133="","",IF($B$7="Menor valor",($E$4/$A$4)*($B133/Y133),IF(Y133&lt;=$B133,($E$4/$A$4)*(1-(($B133-Y133)/$B133)),($E$4*60%/$A$4)*(1-2*((ABS($B133-Y133))/$B133)))))</f>
        <v/>
      </c>
      <c r="AA133" s="129">
        <v>1</v>
      </c>
    </row>
    <row r="134" spans="1:27" s="129" customFormat="1" ht="21" customHeight="1">
      <c r="A134" s="204" t="str">
        <f>+'Presupuesto Consolidado'!A156</f>
        <v>4.3.4</v>
      </c>
      <c r="B134" s="130">
        <f t="shared" si="955"/>
        <v>585825.89</v>
      </c>
      <c r="C134" s="131">
        <f>IF($C$7="Habilitado",ROUND('Presupuesto Consolidado'!E156,2),"")</f>
        <v>585825.89</v>
      </c>
      <c r="D134" s="132">
        <f t="shared" si="644"/>
        <v>0.78125</v>
      </c>
      <c r="E134" s="131" t="str">
        <f>IF($E$7="Habilitado",ROUND('Presupuesto Consolidado'!L156,2),"")</f>
        <v/>
      </c>
      <c r="F134" s="132" t="str">
        <f t="shared" si="644"/>
        <v/>
      </c>
      <c r="G134" s="285"/>
      <c r="H134" s="132" t="str">
        <f t="shared" ref="H134" si="1256">IF(G134="","",IF($B$7="Menor valor",($E$4/$A$4)*($B134/G134),IF(G134&lt;=$B134,($E$4/$A$4)*(1-(($B134-G134)/$B134)),($E$4*60%/$A$4)*(1-2*((ABS($B134-G134))/$B134)))))</f>
        <v/>
      </c>
      <c r="I134" s="285"/>
      <c r="J134" s="132" t="str">
        <f t="shared" ref="J134" si="1257">IF(I134="","",IF($B$7="Menor valor",($E$4/$A$4)*($B134/I134),IF(I134&lt;=$B134,($E$4/$A$4)*(1-(($B134-I134)/$B134)),($E$4*60%/$A$4)*(1-2*((ABS($B134-I134))/$B134)))))</f>
        <v/>
      </c>
      <c r="K134" s="285"/>
      <c r="L134" s="132" t="str">
        <f t="shared" ref="L134" si="1258">IF(K134="","",IF($B$7="Menor valor",($E$4/$A$4)*($B134/K134),IF(K134&lt;=$B134,($E$4/$A$4)*(1-(($B134-K134)/$B134)),($E$4*60%/$A$4)*(1-2*((ABS($B134-K134))/$B134)))))</f>
        <v/>
      </c>
      <c r="M134" s="285"/>
      <c r="N134" s="132" t="str">
        <f t="shared" ref="N134" si="1259">IF(M134="","",IF($B$7="Menor valor",($E$4/$A$4)*($B134/M134),IF(M134&lt;=$B134,($E$4/$A$4)*(1-(($B134-M134)/$B134)),($E$4*60%/$A$4)*(1-2*((ABS($B134-M134))/$B134)))))</f>
        <v/>
      </c>
      <c r="O134" s="285"/>
      <c r="P134" s="132" t="str">
        <f t="shared" ref="P134" si="1260">IF(O134="","",IF($B$7="Menor valor",($E$4/$A$4)*($B134/O134),IF(O134&lt;=$B134,($E$4/$A$4)*(1-(($B134-O134)/$B134)),($E$4*60%/$A$4)*(1-2*((ABS($B134-O134))/$B134)))))</f>
        <v/>
      </c>
      <c r="Q134" s="285"/>
      <c r="R134" s="132" t="str">
        <f t="shared" ref="R134" si="1261">IF(Q134="","",IF($B$7="Menor valor",($E$4/$A$4)*($B134/Q134),IF(Q134&lt;=$B134,($E$4/$A$4)*(1-(($B134-Q134)/$B134)),($E$4*60%/$A$4)*(1-2*((ABS($B134-Q134))/$B134)))))</f>
        <v/>
      </c>
      <c r="S134" s="285"/>
      <c r="T134" s="132" t="str">
        <f t="shared" ref="T134" si="1262">IF(S134="","",IF($B$7="Menor valor",($E$4/$A$4)*($B134/S134),IF(S134&lt;=$B134,($E$4/$A$4)*(1-(($B134-S134)/$B134)),($E$4*60%/$A$4)*(1-2*((ABS($B134-S134))/$B134)))))</f>
        <v/>
      </c>
      <c r="U134" s="285"/>
      <c r="V134" s="132" t="str">
        <f t="shared" ref="V134" si="1263">IF(U134="","",IF($B$7="Menor valor",($E$4/$A$4)*($B134/U134),IF(U134&lt;=$B134,($E$4/$A$4)*(1-(($B134-U134)/$B134)),($E$4*60%/$A$4)*(1-2*((ABS($B134-U134))/$B134)))))</f>
        <v/>
      </c>
      <c r="W134" s="285"/>
      <c r="X134" s="132" t="str">
        <f t="shared" ref="X134" si="1264">IF(W134="","",IF($B$7="Menor valor",($E$4/$A$4)*($B134/W134),IF(W134&lt;=$B134,($E$4/$A$4)*(1-(($B134-W134)/$B134)),($E$4*60%/$A$4)*(1-2*((ABS($B134-W134))/$B134)))))</f>
        <v/>
      </c>
      <c r="Y134" s="285"/>
      <c r="Z134" s="132" t="str">
        <f t="shared" ref="Z134" si="1265">IF(Y134="","",IF($B$7="Menor valor",($E$4/$A$4)*($B134/Y134),IF(Y134&lt;=$B134,($E$4/$A$4)*(1-(($B134-Y134)/$B134)),($E$4*60%/$A$4)*(1-2*((ABS($B134-Y134))/$B134)))))</f>
        <v/>
      </c>
      <c r="AA134" s="129">
        <v>1</v>
      </c>
    </row>
    <row r="135" spans="1:27" s="129" customFormat="1" ht="21" customHeight="1">
      <c r="A135" s="204" t="str">
        <f>+'Presupuesto Consolidado'!A158</f>
        <v>4.4.1</v>
      </c>
      <c r="B135" s="130">
        <f t="shared" si="955"/>
        <v>189554.33</v>
      </c>
      <c r="C135" s="131">
        <f>IF($C$7="Habilitado",ROUND('Presupuesto Consolidado'!E158,2),"")</f>
        <v>189554.33</v>
      </c>
      <c r="D135" s="132">
        <f t="shared" si="644"/>
        <v>0.78125</v>
      </c>
      <c r="E135" s="131" t="str">
        <f>IF($E$7="Habilitado",ROUND('Presupuesto Consolidado'!L158,2),"")</f>
        <v/>
      </c>
      <c r="F135" s="132" t="str">
        <f t="shared" si="644"/>
        <v/>
      </c>
      <c r="G135" s="131"/>
      <c r="H135" s="132" t="str">
        <f t="shared" ref="H135" si="1266">IF(G135="","",IF($B$7="Menor valor",($E$4/$A$4)*($B135/G135),IF(G135&lt;=$B135,($E$4/$A$4)*(1-(($B135-G135)/$B135)),($E$4*60%/$A$4)*(1-2*((ABS($B135-G135))/$B135)))))</f>
        <v/>
      </c>
      <c r="I135" s="131"/>
      <c r="J135" s="132" t="str">
        <f t="shared" ref="J135" si="1267">IF(I135="","",IF($B$7="Menor valor",($E$4/$A$4)*($B135/I135),IF(I135&lt;=$B135,($E$4/$A$4)*(1-(($B135-I135)/$B135)),($E$4*60%/$A$4)*(1-2*((ABS($B135-I135))/$B135)))))</f>
        <v/>
      </c>
      <c r="K135" s="131"/>
      <c r="L135" s="132" t="str">
        <f t="shared" ref="L135" si="1268">IF(K135="","",IF($B$7="Menor valor",($E$4/$A$4)*($B135/K135),IF(K135&lt;=$B135,($E$4/$A$4)*(1-(($B135-K135)/$B135)),($E$4*60%/$A$4)*(1-2*((ABS($B135-K135))/$B135)))))</f>
        <v/>
      </c>
      <c r="M135" s="131"/>
      <c r="N135" s="132" t="str">
        <f t="shared" ref="N135" si="1269">IF(M135="","",IF($B$7="Menor valor",($E$4/$A$4)*($B135/M135),IF(M135&lt;=$B135,($E$4/$A$4)*(1-(($B135-M135)/$B135)),($E$4*60%/$A$4)*(1-2*((ABS($B135-M135))/$B135)))))</f>
        <v/>
      </c>
      <c r="O135" s="131"/>
      <c r="P135" s="132" t="str">
        <f t="shared" ref="P135" si="1270">IF(O135="","",IF($B$7="Menor valor",($E$4/$A$4)*($B135/O135),IF(O135&lt;=$B135,($E$4/$A$4)*(1-(($B135-O135)/$B135)),($E$4*60%/$A$4)*(1-2*((ABS($B135-O135))/$B135)))))</f>
        <v/>
      </c>
      <c r="Q135" s="131"/>
      <c r="R135" s="132" t="str">
        <f t="shared" ref="R135" si="1271">IF(Q135="","",IF($B$7="Menor valor",($E$4/$A$4)*($B135/Q135),IF(Q135&lt;=$B135,($E$4/$A$4)*(1-(($B135-Q135)/$B135)),($E$4*60%/$A$4)*(1-2*((ABS($B135-Q135))/$B135)))))</f>
        <v/>
      </c>
      <c r="S135" s="131"/>
      <c r="T135" s="132" t="str">
        <f t="shared" ref="T135" si="1272">IF(S135="","",IF($B$7="Menor valor",($E$4/$A$4)*($B135/S135),IF(S135&lt;=$B135,($E$4/$A$4)*(1-(($B135-S135)/$B135)),($E$4*60%/$A$4)*(1-2*((ABS($B135-S135))/$B135)))))</f>
        <v/>
      </c>
      <c r="U135" s="131"/>
      <c r="V135" s="132" t="str">
        <f t="shared" ref="V135" si="1273">IF(U135="","",IF($B$7="Menor valor",($E$4/$A$4)*($B135/U135),IF(U135&lt;=$B135,($E$4/$A$4)*(1-(($B135-U135)/$B135)),($E$4*60%/$A$4)*(1-2*((ABS($B135-U135))/$B135)))))</f>
        <v/>
      </c>
      <c r="W135" s="131"/>
      <c r="X135" s="132" t="str">
        <f t="shared" ref="X135" si="1274">IF(W135="","",IF($B$7="Menor valor",($E$4/$A$4)*($B135/W135),IF(W135&lt;=$B135,($E$4/$A$4)*(1-(($B135-W135)/$B135)),($E$4*60%/$A$4)*(1-2*((ABS($B135-W135))/$B135)))))</f>
        <v/>
      </c>
      <c r="Y135" s="131"/>
      <c r="Z135" s="132" t="str">
        <f t="shared" ref="Z135" si="1275">IF(Y135="","",IF($B$7="Menor valor",($E$4/$A$4)*($B135/Y135),IF(Y135&lt;=$B135,($E$4/$A$4)*(1-(($B135-Y135)/$B135)),($E$4*60%/$A$4)*(1-2*((ABS($B135-Y135))/$B135)))))</f>
        <v/>
      </c>
      <c r="AA135" s="129">
        <v>1</v>
      </c>
    </row>
    <row r="136" spans="1:27" s="129" customFormat="1" ht="21" customHeight="1">
      <c r="A136" s="127" t="s">
        <v>118</v>
      </c>
      <c r="B136" s="358">
        <f t="shared" ref="B136:B138" si="1276">IF($B$7="Menor valor"=3,MIN(C136,E136,G136,I136,K136,M136,O136,Q136,S136,U136,W136,Y136),IF($B$7="Media aritmética alta",(MAX(C136,E136,G136,I136,K136,M136,O136,Q136,S136,U136,W136,Y136)+AVERAGE(C136,E136,G136,I136,K136,M136,O136,Q136,S136,U136,W136,Y136))/2,AVERAGE(C136,E136,G136,I136,K136,M136,O136,Q136,S136,U136,W136,Y136)))</f>
        <v>0.19980000000000001</v>
      </c>
      <c r="C136" s="133">
        <f>IF($C$7="Habilitado",ROUND('Presupuesto Consolidado'!E160,4),"")</f>
        <v>0.19980000000000001</v>
      </c>
      <c r="D136" s="132">
        <f>IF(C136="","",ROUND(IF($B$7="Menor valor",IF(C136=0,33.3333333333333,($G$4/3)*($B136/C136)),IF(C136&lt;=$B136,($G$4/3)*(1-(($B136-C136)/$B136)),($G$4*60%/3)*(1-2*((ABS($B136-C136))/$B136)))),3))</f>
        <v>33.332999999999998</v>
      </c>
      <c r="E136" s="133" t="str">
        <f>IF($E$7="Habilitado",ROUND('Presupuesto Consolidado'!L160,4),"")</f>
        <v/>
      </c>
      <c r="F136" s="132" t="str">
        <f>IF(E136="","",IF($B$7="Menor valor",IF(E136=0,33.3333333333333,($G$4/3)*($B136/E136)),IF(E136&lt;=$B136,($G$4/3)*(1-(($B136-E136)/$B136)),($G$4*60%/3)*(1-2*((ABS($B136-E136))/$B136)))))</f>
        <v/>
      </c>
      <c r="G136" s="133"/>
      <c r="H136" s="132" t="str">
        <f>IF(G136="","",ROUND(IF($B$7="Menor valor",IF(G136=0,33.3333333333333,($G$4/3)*($B136/G136)),IF(G136&lt;=$B136,($G$4/3)*(1-(($B136-G136)/$B136)),($G$4*60%/3)*(1-2*((ABS($B136-G136))/$B136)))),3))</f>
        <v/>
      </c>
      <c r="I136" s="133"/>
      <c r="J136" s="132" t="str">
        <f>IF(I136="","",ROUND(IF($B$7="Menor valor",IF(I136=0,33.3333333333333,($G$4/3)*($B136/I136)),IF(I136&lt;=$B136,($G$4/3)*(1-(($B136-I136)/$B136)),($G$4*60%/3)*(1-2*((ABS($B136-I136))/$B136)))),3))</f>
        <v/>
      </c>
      <c r="K136" s="133"/>
      <c r="L136" s="132" t="str">
        <f>IF(K136="","",ROUND(IF($B$7="Menor valor",IF(K136=0,33.3333333333333,($G$4/3)*($B136/K136)),IF(K136&lt;=$B136,($G$4/3)*(1-(($B136-K136)/$B136)),($G$4*60%/3)*(1-2*((ABS($B136-K136))/$B136)))),3))</f>
        <v/>
      </c>
      <c r="M136" s="133"/>
      <c r="N136" s="132" t="str">
        <f>IF(M136="","",ROUND(IF($B$7="Menor valor",IF(M136=0,33.3333333333333,($G$4/3)*($B136/M136)),IF(M136&lt;=$B136,($G$4/3)*(1-(($B136-M136)/$B136)),($G$4*60%/3)*(1-2*((ABS($B136-M136))/$B136)))),3))</f>
        <v/>
      </c>
      <c r="O136" s="133"/>
      <c r="P136" s="132" t="str">
        <f>IF(O136="","",ROUND(IF($B$7="Menor valor",IF(O136=0,33.3333333333333,($G$4/3)*($B136/O136)),IF(O136&lt;=$B136,($G$4/3)*(1-(($B136-O136)/$B136)),($G$4*60%/3)*(1-2*((ABS($B136-O136))/$B136)))),3))</f>
        <v/>
      </c>
      <c r="Q136" s="133"/>
      <c r="R136" s="132" t="str">
        <f>IF(Q136="","",ROUND(IF($B$7="Menor valor",IF(Q136=0,33.3333333333333,($G$4/3)*($B136/Q136)),IF(Q136&lt;=$B136,($G$4/3)*(1-(($B136-Q136)/$B136)),($G$4*60%/3)*(1-2*((ABS($B136-Q136))/$B136)))),3))</f>
        <v/>
      </c>
      <c r="S136" s="133"/>
      <c r="T136" s="132" t="str">
        <f>IF(S136="","",ROUND(IF($B$7="Menor valor",IF(S136=0,33.3333333333333,($G$4/3)*($B136/S136)),IF(S136&lt;=$B136,($G$4/3)*(1-(($B136-S136)/$B136)),($G$4*60%/3)*(1-2*((ABS($B136-S136))/$B136)))),3))</f>
        <v/>
      </c>
      <c r="U136" s="133"/>
      <c r="V136" s="132" t="str">
        <f>IF(U136="","",ROUND(IF($B$7="Menor valor",IF(U136=0,33.3333333333333,($G$4/3)*($B136/U136)),IF(U136&lt;=$B136,($G$4/3)*(1-(($B136-U136)/$B136)),($G$4*60%/3)*(1-2*((ABS($B136-U136))/$B136)))),3))</f>
        <v/>
      </c>
      <c r="W136" s="133"/>
      <c r="X136" s="132" t="str">
        <f>IF(W136="","",ROUND(IF($B$7="Menor valor",IF(W136=0,33.3333333333333,($G$4/3)*($B136/W136)),IF(W136&lt;=$B136,($G$4/3)*(1-(($B136-W136)/$B136)),($G$4*60%/3)*(1-2*((ABS($B136-W136))/$B136)))),3))</f>
        <v/>
      </c>
      <c r="Y136" s="133"/>
      <c r="Z136" s="132" t="str">
        <f>IF(Y136="","",ROUND(IF($B$7="Menor valor",IF(Y136=0,33.3333333333333,($G$4/3)*($B136/Y136)),IF(Y136&lt;=$B136,($G$4/3)*(1-(($B136-Y136)/$B136)),($G$4*60%/3)*(1-2*((ABS($B136-Y136))/$B136)))),3))</f>
        <v/>
      </c>
    </row>
    <row r="137" spans="1:27" s="129" customFormat="1" ht="21" customHeight="1">
      <c r="A137" s="127" t="s">
        <v>119</v>
      </c>
      <c r="B137" s="358">
        <f t="shared" si="1276"/>
        <v>0.01</v>
      </c>
      <c r="C137" s="133">
        <f>IF($C$7="Habilitado",ROUND('Presupuesto Consolidado'!E161,4),"")</f>
        <v>0.01</v>
      </c>
      <c r="D137" s="132">
        <f t="shared" ref="D137:D138" si="1277">IF(C137="","",ROUND(IF($B$7="Menor valor",IF(C137=0,33.3333333333333,($G$4/3)*($B137/C137)),IF(C137&lt;=$B137,($G$4/3)*(1-(($B137-C137)/$B137)),($G$4*60%/3)*(1-2*((ABS($B137-C137))/$B137)))),3))</f>
        <v>33.332999999999998</v>
      </c>
      <c r="E137" s="133" t="str">
        <f>IF($E$7="Habilitado",ROUND('Presupuesto Consolidado'!L161,4),"")</f>
        <v/>
      </c>
      <c r="F137" s="132" t="str">
        <f t="shared" ref="F137:F138" si="1278">IF(E137="","",IF($B$7="Menor valor",IF(E137=0,33.3333333333333,($G$4/3)*($B137/E137)),IF(E137&lt;=$B137,($G$4/3)*(1-(($B137-E137)/$B137)),($G$4*60%/3)*(1-2*((ABS($B137-E137))/$B137)))))</f>
        <v/>
      </c>
      <c r="G137" s="133"/>
      <c r="H137" s="132" t="str">
        <f t="shared" ref="H137" si="1279">IF(G137="","",ROUND(IF($B$7="Menor valor",IF(G137=0,33.3333333333333,($G$4/3)*($B137/G137)),IF(G137&lt;=$B137,($G$4/3)*(1-(($B137-G137)/$B137)),($G$4*60%/3)*(1-2*((ABS($B137-G137))/$B137)))),3))</f>
        <v/>
      </c>
      <c r="I137" s="133"/>
      <c r="J137" s="132" t="str">
        <f t="shared" ref="J137" si="1280">IF(I137="","",ROUND(IF($B$7="Menor valor",IF(I137=0,33.3333333333333,($G$4/3)*($B137/I137)),IF(I137&lt;=$B137,($G$4/3)*(1-(($B137-I137)/$B137)),($G$4*60%/3)*(1-2*((ABS($B137-I137))/$B137)))),3))</f>
        <v/>
      </c>
      <c r="K137" s="133"/>
      <c r="L137" s="132" t="str">
        <f t="shared" ref="L137" si="1281">IF(K137="","",ROUND(IF($B$7="Menor valor",IF(K137=0,33.3333333333333,($G$4/3)*($B137/K137)),IF(K137&lt;=$B137,($G$4/3)*(1-(($B137-K137)/$B137)),($G$4*60%/3)*(1-2*((ABS($B137-K137))/$B137)))),3))</f>
        <v/>
      </c>
      <c r="M137" s="133"/>
      <c r="N137" s="132" t="str">
        <f t="shared" ref="N137" si="1282">IF(M137="","",ROUND(IF($B$7="Menor valor",IF(M137=0,33.3333333333333,($G$4/3)*($B137/M137)),IF(M137&lt;=$B137,($G$4/3)*(1-(($B137-M137)/$B137)),($G$4*60%/3)*(1-2*((ABS($B137-M137))/$B137)))),3))</f>
        <v/>
      </c>
      <c r="O137" s="133"/>
      <c r="P137" s="132" t="str">
        <f t="shared" ref="P137" si="1283">IF(O137="","",ROUND(IF($B$7="Menor valor",IF(O137=0,33.3333333333333,($G$4/3)*($B137/O137)),IF(O137&lt;=$B137,($G$4/3)*(1-(($B137-O137)/$B137)),($G$4*60%/3)*(1-2*((ABS($B137-O137))/$B137)))),3))</f>
        <v/>
      </c>
      <c r="Q137" s="133"/>
      <c r="R137" s="132" t="str">
        <f t="shared" ref="R137" si="1284">IF(Q137="","",ROUND(IF($B$7="Menor valor",IF(Q137=0,33.3333333333333,($G$4/3)*($B137/Q137)),IF(Q137&lt;=$B137,($G$4/3)*(1-(($B137-Q137)/$B137)),($G$4*60%/3)*(1-2*((ABS($B137-Q137))/$B137)))),3))</f>
        <v/>
      </c>
      <c r="S137" s="133"/>
      <c r="T137" s="132" t="str">
        <f t="shared" ref="T137" si="1285">IF(S137="","",ROUND(IF($B$7="Menor valor",IF(S137=0,33.3333333333333,($G$4/3)*($B137/S137)),IF(S137&lt;=$B137,($G$4/3)*(1-(($B137-S137)/$B137)),($G$4*60%/3)*(1-2*((ABS($B137-S137))/$B137)))),3))</f>
        <v/>
      </c>
      <c r="U137" s="133"/>
      <c r="V137" s="132" t="str">
        <f t="shared" ref="V137" si="1286">IF(U137="","",ROUND(IF($B$7="Menor valor",IF(U137=0,33.3333333333333,($G$4/3)*($B137/U137)),IF(U137&lt;=$B137,($G$4/3)*(1-(($B137-U137)/$B137)),($G$4*60%/3)*(1-2*((ABS($B137-U137))/$B137)))),3))</f>
        <v/>
      </c>
      <c r="W137" s="133"/>
      <c r="X137" s="132" t="str">
        <f t="shared" ref="X137" si="1287">IF(W137="","",ROUND(IF($B$7="Menor valor",IF(W137=0,33.3333333333333,($G$4/3)*($B137/W137)),IF(W137&lt;=$B137,($G$4/3)*(1-(($B137-W137)/$B137)),($G$4*60%/3)*(1-2*((ABS($B137-W137))/$B137)))),3))</f>
        <v/>
      </c>
      <c r="Y137" s="133"/>
      <c r="Z137" s="132" t="str">
        <f t="shared" ref="Z137" si="1288">IF(Y137="","",ROUND(IF($B$7="Menor valor",IF(Y137=0,33.3333333333333,($G$4/3)*($B137/Y137)),IF(Y137&lt;=$B137,($G$4/3)*(1-(($B137-Y137)/$B137)),($G$4*60%/3)*(1-2*((ABS($B137-Y137))/$B137)))),3))</f>
        <v/>
      </c>
    </row>
    <row r="138" spans="1:27" s="129" customFormat="1" ht="21" customHeight="1">
      <c r="A138" s="127" t="s">
        <v>120</v>
      </c>
      <c r="B138" s="358">
        <f t="shared" si="1276"/>
        <v>0.03</v>
      </c>
      <c r="C138" s="133">
        <f>IF($C$7="Habilitado",ROUND('Presupuesto Consolidado'!E162,4),"")</f>
        <v>0.03</v>
      </c>
      <c r="D138" s="132">
        <f t="shared" si="1277"/>
        <v>33.332999999999998</v>
      </c>
      <c r="E138" s="133" t="str">
        <f>IF($E$7="Habilitado",ROUND('Presupuesto Consolidado'!L162,4),"")</f>
        <v/>
      </c>
      <c r="F138" s="132" t="str">
        <f t="shared" si="1278"/>
        <v/>
      </c>
      <c r="G138" s="133"/>
      <c r="H138" s="132" t="str">
        <f t="shared" ref="H138" si="1289">IF(G138="","",ROUND(IF($B$7="Menor valor",IF(G138=0,33.3333333333333,($G$4/3)*($B138/G138)),IF(G138&lt;=$B138,($G$4/3)*(1-(($B138-G138)/$B138)),($G$4*60%/3)*(1-2*((ABS($B138-G138))/$B138)))),3))</f>
        <v/>
      </c>
      <c r="I138" s="133"/>
      <c r="J138" s="132" t="str">
        <f t="shared" ref="J138" si="1290">IF(I138="","",ROUND(IF($B$7="Menor valor",IF(I138=0,33.3333333333333,($G$4/3)*($B138/I138)),IF(I138&lt;=$B138,($G$4/3)*(1-(($B138-I138)/$B138)),($G$4*60%/3)*(1-2*((ABS($B138-I138))/$B138)))),3))</f>
        <v/>
      </c>
      <c r="K138" s="133"/>
      <c r="L138" s="132" t="str">
        <f t="shared" ref="L138" si="1291">IF(K138="","",ROUND(IF($B$7="Menor valor",IF(K138=0,33.3333333333333,($G$4/3)*($B138/K138)),IF(K138&lt;=$B138,($G$4/3)*(1-(($B138-K138)/$B138)),($G$4*60%/3)*(1-2*((ABS($B138-K138))/$B138)))),3))</f>
        <v/>
      </c>
      <c r="M138" s="133"/>
      <c r="N138" s="132" t="str">
        <f t="shared" ref="N138" si="1292">IF(M138="","",ROUND(IF($B$7="Menor valor",IF(M138=0,33.3333333333333,($G$4/3)*($B138/M138)),IF(M138&lt;=$B138,($G$4/3)*(1-(($B138-M138)/$B138)),($G$4*60%/3)*(1-2*((ABS($B138-M138))/$B138)))),3))</f>
        <v/>
      </c>
      <c r="O138" s="133"/>
      <c r="P138" s="132" t="str">
        <f t="shared" ref="P138" si="1293">IF(O138="","",ROUND(IF($B$7="Menor valor",IF(O138=0,33.3333333333333,($G$4/3)*($B138/O138)),IF(O138&lt;=$B138,($G$4/3)*(1-(($B138-O138)/$B138)),($G$4*60%/3)*(1-2*((ABS($B138-O138))/$B138)))),3))</f>
        <v/>
      </c>
      <c r="Q138" s="133"/>
      <c r="R138" s="132" t="str">
        <f t="shared" ref="R138" si="1294">IF(Q138="","",ROUND(IF($B$7="Menor valor",IF(Q138=0,33.3333333333333,($G$4/3)*($B138/Q138)),IF(Q138&lt;=$B138,($G$4/3)*(1-(($B138-Q138)/$B138)),($G$4*60%/3)*(1-2*((ABS($B138-Q138))/$B138)))),3))</f>
        <v/>
      </c>
      <c r="S138" s="133"/>
      <c r="T138" s="132" t="str">
        <f t="shared" ref="T138" si="1295">IF(S138="","",ROUND(IF($B$7="Menor valor",IF(S138=0,33.3333333333333,($G$4/3)*($B138/S138)),IF(S138&lt;=$B138,($G$4/3)*(1-(($B138-S138)/$B138)),($G$4*60%/3)*(1-2*((ABS($B138-S138))/$B138)))),3))</f>
        <v/>
      </c>
      <c r="U138" s="133"/>
      <c r="V138" s="132" t="str">
        <f t="shared" ref="V138" si="1296">IF(U138="","",ROUND(IF($B$7="Menor valor",IF(U138=0,33.3333333333333,($G$4/3)*($B138/U138)),IF(U138&lt;=$B138,($G$4/3)*(1-(($B138-U138)/$B138)),($G$4*60%/3)*(1-2*((ABS($B138-U138))/$B138)))),3))</f>
        <v/>
      </c>
      <c r="W138" s="133"/>
      <c r="X138" s="132" t="str">
        <f t="shared" ref="X138" si="1297">IF(W138="","",ROUND(IF($B$7="Menor valor",IF(W138=0,33.3333333333333,($G$4/3)*($B138/W138)),IF(W138&lt;=$B138,($G$4/3)*(1-(($B138-W138)/$B138)),($G$4*60%/3)*(1-2*((ABS($B138-W138))/$B138)))),3))</f>
        <v/>
      </c>
      <c r="Y138" s="133"/>
      <c r="Z138" s="132" t="str">
        <f t="shared" ref="Z138" si="1298">IF(Y138="","",ROUND(IF($B$7="Menor valor",IF(Y138=0,33.3333333333333,($G$4/3)*($B138/Y138)),IF(Y138&lt;=$B138,($G$4/3)*(1-(($B138-Y138)/$B138)),($G$4*60%/3)*(1-2*((ABS($B138-Y138))/$B138)))),3))</f>
        <v/>
      </c>
    </row>
    <row r="139" spans="1:27" s="129" customFormat="1" ht="23.25" customHeight="1">
      <c r="A139" s="506" t="s">
        <v>122</v>
      </c>
      <c r="B139" s="506"/>
      <c r="C139" s="498">
        <f>ROUND(SUM(D8:D135),2)</f>
        <v>100</v>
      </c>
      <c r="D139" s="499"/>
      <c r="E139" s="498">
        <f>ROUND(SUM(F8:F135),2)</f>
        <v>0</v>
      </c>
      <c r="F139" s="499"/>
      <c r="G139" s="498">
        <f>ROUND(SUM(H8:H135),2)</f>
        <v>0</v>
      </c>
      <c r="H139" s="499"/>
      <c r="I139" s="498">
        <f t="shared" ref="I139" si="1299">ROUND(SUM(J8:J135),2)</f>
        <v>0</v>
      </c>
      <c r="J139" s="499"/>
      <c r="K139" s="498">
        <f t="shared" ref="K139:Y139" si="1300">ROUND(SUM(L8:L135),2)</f>
        <v>0</v>
      </c>
      <c r="L139" s="499"/>
      <c r="M139" s="498">
        <f t="shared" si="1300"/>
        <v>0</v>
      </c>
      <c r="N139" s="499"/>
      <c r="O139" s="498">
        <f t="shared" si="1300"/>
        <v>0</v>
      </c>
      <c r="P139" s="499"/>
      <c r="Q139" s="498">
        <f t="shared" si="1300"/>
        <v>0</v>
      </c>
      <c r="R139" s="499"/>
      <c r="S139" s="498">
        <f t="shared" si="1300"/>
        <v>0</v>
      </c>
      <c r="T139" s="499"/>
      <c r="U139" s="498">
        <f t="shared" si="1300"/>
        <v>0</v>
      </c>
      <c r="V139" s="499"/>
      <c r="W139" s="498">
        <f t="shared" si="1300"/>
        <v>0</v>
      </c>
      <c r="X139" s="499"/>
      <c r="Y139" s="498">
        <f t="shared" si="1300"/>
        <v>0</v>
      </c>
      <c r="Z139" s="499"/>
    </row>
    <row r="140" spans="1:27" s="129" customFormat="1" ht="23.25" customHeight="1">
      <c r="A140" s="506" t="s">
        <v>123</v>
      </c>
      <c r="B140" s="506"/>
      <c r="C140" s="498">
        <f>ROUND(SUM(D136:D138),2)</f>
        <v>100</v>
      </c>
      <c r="D140" s="498"/>
      <c r="E140" s="498">
        <f>ROUND(SUM(F136:F138),2)</f>
        <v>0</v>
      </c>
      <c r="F140" s="498"/>
      <c r="G140" s="498">
        <f>ROUND(SUM(H136:H138),2)</f>
        <v>0</v>
      </c>
      <c r="H140" s="498"/>
      <c r="I140" s="498">
        <f t="shared" ref="I140" si="1301">ROUND(SUM(J136:J138),2)</f>
        <v>0</v>
      </c>
      <c r="J140" s="498"/>
      <c r="K140" s="498">
        <f t="shared" ref="K140" si="1302">ROUND(SUM(L136:L138),2)</f>
        <v>0</v>
      </c>
      <c r="L140" s="498"/>
      <c r="M140" s="498">
        <f t="shared" ref="M140" si="1303">ROUND(SUM(N136:N138),2)</f>
        <v>0</v>
      </c>
      <c r="N140" s="498"/>
      <c r="O140" s="498">
        <f t="shared" ref="O140" si="1304">ROUND(SUM(P136:P138),2)</f>
        <v>0</v>
      </c>
      <c r="P140" s="498"/>
      <c r="Q140" s="498">
        <f t="shared" ref="Q140" si="1305">ROUND(SUM(R136:R138),2)</f>
        <v>0</v>
      </c>
      <c r="R140" s="498"/>
      <c r="S140" s="498">
        <f t="shared" ref="S140" si="1306">ROUND(SUM(T136:T138),2)</f>
        <v>0</v>
      </c>
      <c r="T140" s="498"/>
      <c r="U140" s="498">
        <f t="shared" ref="U140" si="1307">ROUND(SUM(V136:V138),2)</f>
        <v>0</v>
      </c>
      <c r="V140" s="498"/>
      <c r="W140" s="498">
        <f t="shared" ref="W140" si="1308">ROUND(SUM(X136:X138),2)</f>
        <v>0</v>
      </c>
      <c r="X140" s="498"/>
      <c r="Y140" s="498">
        <f t="shared" ref="Y140" si="1309">ROUND(SUM(Z136:Z138),2)</f>
        <v>0</v>
      </c>
      <c r="Z140" s="498"/>
    </row>
  </sheetData>
  <sheetProtection algorithmName="SHA-512" hashValue="Pkc0KU+h+6FtjyGVivmvjKEvoBbokd6qtzHnKueSJF9MsMAwe+wWsiovHJq/mramCUCTsQj57Y8bpR1gjaBs3Q==" saltValue="nujtNTrDTJyaYGJmS4zOpg==" spinCount="100000" sheet="1" objects="1" scenarios="1" formatCells="0" formatColumns="0" formatRows="0" insertColumns="0" insertRows="0" insertHyperlinks="0" deleteColumns="0" deleteRows="0"/>
  <mergeCells count="58">
    <mergeCell ref="E4:F4"/>
    <mergeCell ref="G4:H4"/>
    <mergeCell ref="A139:B139"/>
    <mergeCell ref="A140:B140"/>
    <mergeCell ref="A6:A7"/>
    <mergeCell ref="A4:B4"/>
    <mergeCell ref="C7:D7"/>
    <mergeCell ref="C139:D139"/>
    <mergeCell ref="C140:D140"/>
    <mergeCell ref="E7:F7"/>
    <mergeCell ref="E139:F139"/>
    <mergeCell ref="E140:F140"/>
    <mergeCell ref="G139:H139"/>
    <mergeCell ref="A3:B3"/>
    <mergeCell ref="A1:Z1"/>
    <mergeCell ref="Q6:R6"/>
    <mergeCell ref="G6:H6"/>
    <mergeCell ref="I6:J6"/>
    <mergeCell ref="K6:L6"/>
    <mergeCell ref="M6:N6"/>
    <mergeCell ref="O6:P6"/>
    <mergeCell ref="S6:T6"/>
    <mergeCell ref="U6:V6"/>
    <mergeCell ref="W6:X6"/>
    <mergeCell ref="Y6:Z6"/>
    <mergeCell ref="E3:F3"/>
    <mergeCell ref="G3:H3"/>
    <mergeCell ref="C6:D6"/>
    <mergeCell ref="E6:F6"/>
    <mergeCell ref="W7:X7"/>
    <mergeCell ref="Y7:Z7"/>
    <mergeCell ref="G7:H7"/>
    <mergeCell ref="I7:J7"/>
    <mergeCell ref="K7:L7"/>
    <mergeCell ref="M7:N7"/>
    <mergeCell ref="O7:P7"/>
    <mergeCell ref="Q139:R139"/>
    <mergeCell ref="Q140:R140"/>
    <mergeCell ref="Q7:R7"/>
    <mergeCell ref="S7:T7"/>
    <mergeCell ref="U7:V7"/>
    <mergeCell ref="S140:T140"/>
    <mergeCell ref="U140:V140"/>
    <mergeCell ref="I139:J139"/>
    <mergeCell ref="K139:L139"/>
    <mergeCell ref="M139:N139"/>
    <mergeCell ref="O139:P139"/>
    <mergeCell ref="G140:H140"/>
    <mergeCell ref="I140:J140"/>
    <mergeCell ref="K140:L140"/>
    <mergeCell ref="M140:N140"/>
    <mergeCell ref="O140:P140"/>
    <mergeCell ref="W140:X140"/>
    <mergeCell ref="Y140:Z140"/>
    <mergeCell ref="S139:T139"/>
    <mergeCell ref="U139:V139"/>
    <mergeCell ref="W139:X139"/>
    <mergeCell ref="Y139:Z139"/>
  </mergeCells>
  <printOptions horizontalCentered="1"/>
  <pageMargins left="0.39370078740157483" right="0.19685039370078741" top="0.39370078740157483" bottom="0.19685039370078741"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N188"/>
  <sheetViews>
    <sheetView showGridLines="0" topLeftCell="C1" zoomScale="85" zoomScaleNormal="85" zoomScaleSheetLayoutView="96" zoomScalePageLayoutView="96" workbookViewId="0">
      <selection activeCell="K6" sqref="K6:M7"/>
    </sheetView>
  </sheetViews>
  <sheetFormatPr baseColWidth="10" defaultRowHeight="12.75" outlineLevelRow="2"/>
  <cols>
    <col min="1" max="1" width="8.85546875" style="16" customWidth="1"/>
    <col min="2" max="2" width="71.42578125" style="17" customWidth="1"/>
    <col min="3" max="3" width="9.5703125" style="17" bestFit="1" customWidth="1"/>
    <col min="4" max="4" width="10.85546875" style="17" bestFit="1" customWidth="1"/>
    <col min="5" max="5" width="15.42578125" style="17" bestFit="1" customWidth="1"/>
    <col min="6" max="6" width="23.140625" style="17" customWidth="1"/>
    <col min="7" max="7" width="4" style="213" customWidth="1"/>
    <col min="8" max="8" width="8.85546875" style="16" customWidth="1"/>
    <col min="9" max="9" width="71.42578125" style="17" customWidth="1"/>
    <col min="10" max="10" width="9.5703125" style="17" bestFit="1" customWidth="1"/>
    <col min="11" max="11" width="10.85546875" style="17" bestFit="1" customWidth="1"/>
    <col min="12" max="12" width="16.42578125" style="17" bestFit="1" customWidth="1"/>
    <col min="13" max="13" width="23" style="17" customWidth="1"/>
    <col min="14" max="14" width="4" style="213" customWidth="1"/>
    <col min="15" max="16384" width="11.42578125" style="17"/>
  </cols>
  <sheetData>
    <row r="1" spans="1:14" ht="21" thickBot="1">
      <c r="A1" s="225" t="str">
        <f>IF(ENTREGA!A7="","",ENTREGA!A7)</f>
        <v>1</v>
      </c>
      <c r="B1" s="542" t="str">
        <f>IF(A1="","",VLOOKUP(A1,ENTREGA!$A$7:$B$11,2,FALSE))</f>
        <v>MAURO VELEZ GÓMEZ</v>
      </c>
      <c r="C1" s="542"/>
      <c r="D1" s="542"/>
      <c r="E1" s="542"/>
      <c r="F1" s="542"/>
      <c r="G1" s="226"/>
      <c r="H1" s="225" t="str">
        <f>IF(ENTREGA!A8="","",ENTREGA!A8)</f>
        <v>2</v>
      </c>
      <c r="I1" s="542" t="str">
        <f>IF(H1="","",VLOOKUP(H1,ENTREGA!$A$7:$B$11,2,FALSE))</f>
        <v>LUIS ENRIQUE OYOLA QUINTERO</v>
      </c>
      <c r="J1" s="542"/>
      <c r="K1" s="542"/>
      <c r="L1" s="542"/>
      <c r="M1" s="542"/>
      <c r="N1" s="226"/>
    </row>
    <row r="2" spans="1:14" ht="19.5" customHeight="1" thickTop="1" thickBot="1">
      <c r="A2" s="532" t="s">
        <v>178</v>
      </c>
      <c r="B2" s="533"/>
      <c r="C2" s="511" t="s">
        <v>7</v>
      </c>
      <c r="D2" s="512"/>
      <c r="E2" s="512"/>
      <c r="F2" s="513"/>
      <c r="G2" s="208"/>
      <c r="H2" s="532" t="s">
        <v>178</v>
      </c>
      <c r="I2" s="533"/>
      <c r="J2" s="511" t="s">
        <v>7</v>
      </c>
      <c r="K2" s="512"/>
      <c r="L2" s="512"/>
      <c r="M2" s="513"/>
      <c r="N2" s="208"/>
    </row>
    <row r="3" spans="1:14" ht="13.5" customHeight="1" thickTop="1">
      <c r="A3" s="534"/>
      <c r="B3" s="535"/>
      <c r="C3" s="523" t="s">
        <v>179</v>
      </c>
      <c r="D3" s="524"/>
      <c r="E3" s="524"/>
      <c r="F3" s="525"/>
      <c r="G3" s="208"/>
      <c r="H3" s="534"/>
      <c r="I3" s="535"/>
      <c r="J3" s="523" t="s">
        <v>179</v>
      </c>
      <c r="K3" s="524"/>
      <c r="L3" s="524"/>
      <c r="M3" s="525"/>
      <c r="N3" s="208"/>
    </row>
    <row r="4" spans="1:14" ht="12.75" customHeight="1">
      <c r="A4" s="534"/>
      <c r="B4" s="535"/>
      <c r="C4" s="526"/>
      <c r="D4" s="527"/>
      <c r="E4" s="527"/>
      <c r="F4" s="528"/>
      <c r="G4" s="208"/>
      <c r="H4" s="534"/>
      <c r="I4" s="535"/>
      <c r="J4" s="526"/>
      <c r="K4" s="527"/>
      <c r="L4" s="527"/>
      <c r="M4" s="528"/>
      <c r="N4" s="208"/>
    </row>
    <row r="5" spans="1:14" ht="13.5" customHeight="1" thickBot="1">
      <c r="A5" s="534"/>
      <c r="B5" s="535"/>
      <c r="C5" s="529"/>
      <c r="D5" s="530"/>
      <c r="E5" s="530"/>
      <c r="F5" s="531"/>
      <c r="G5" s="209"/>
      <c r="H5" s="534"/>
      <c r="I5" s="535"/>
      <c r="J5" s="529"/>
      <c r="K5" s="530"/>
      <c r="L5" s="530"/>
      <c r="M5" s="531"/>
      <c r="N5" s="209"/>
    </row>
    <row r="6" spans="1:14" ht="13.5" customHeight="1" thickTop="1">
      <c r="A6" s="534"/>
      <c r="B6" s="535"/>
      <c r="C6" s="538" t="s">
        <v>107</v>
      </c>
      <c r="D6" s="514" t="s">
        <v>180</v>
      </c>
      <c r="E6" s="515"/>
      <c r="F6" s="516"/>
      <c r="G6" s="208"/>
      <c r="H6" s="534"/>
      <c r="I6" s="535"/>
      <c r="J6" s="538" t="s">
        <v>107</v>
      </c>
      <c r="K6" s="514" t="s">
        <v>180</v>
      </c>
      <c r="L6" s="515"/>
      <c r="M6" s="516"/>
      <c r="N6" s="208"/>
    </row>
    <row r="7" spans="1:14" ht="13.5" customHeight="1" thickBot="1">
      <c r="A7" s="536"/>
      <c r="B7" s="537"/>
      <c r="C7" s="539"/>
      <c r="D7" s="517"/>
      <c r="E7" s="518"/>
      <c r="F7" s="519"/>
      <c r="G7" s="209"/>
      <c r="H7" s="536"/>
      <c r="I7" s="537"/>
      <c r="J7" s="539"/>
      <c r="K7" s="517"/>
      <c r="L7" s="518"/>
      <c r="M7" s="519"/>
      <c r="N7" s="209"/>
    </row>
    <row r="8" spans="1:14" s="104" customFormat="1" ht="15" thickTop="1" thickBot="1">
      <c r="A8" s="185"/>
      <c r="B8" s="186"/>
      <c r="C8" s="520"/>
      <c r="D8" s="521"/>
      <c r="E8" s="521"/>
      <c r="F8" s="522"/>
      <c r="G8" s="210"/>
      <c r="H8" s="185"/>
      <c r="I8" s="186"/>
      <c r="J8" s="520"/>
      <c r="K8" s="521"/>
      <c r="L8" s="521"/>
      <c r="M8" s="522"/>
      <c r="N8" s="210"/>
    </row>
    <row r="9" spans="1:14" s="103" customFormat="1" ht="15.75" thickBot="1">
      <c r="A9" s="227" t="s">
        <v>21</v>
      </c>
      <c r="B9" s="228" t="s">
        <v>181</v>
      </c>
      <c r="C9" s="229" t="s">
        <v>105</v>
      </c>
      <c r="D9" s="230" t="s">
        <v>106</v>
      </c>
      <c r="E9" s="231" t="s">
        <v>62</v>
      </c>
      <c r="F9" s="232" t="s">
        <v>63</v>
      </c>
      <c r="H9" s="227" t="s">
        <v>21</v>
      </c>
      <c r="I9" s="228" t="s">
        <v>181</v>
      </c>
      <c r="J9" s="229" t="s">
        <v>105</v>
      </c>
      <c r="K9" s="230" t="s">
        <v>106</v>
      </c>
      <c r="L9" s="231" t="s">
        <v>62</v>
      </c>
      <c r="M9" s="232" t="s">
        <v>63</v>
      </c>
    </row>
    <row r="10" spans="1:14" s="103" customFormat="1" ht="27.75" customHeight="1" thickTop="1" thickBot="1">
      <c r="A10" s="233" t="s">
        <v>72</v>
      </c>
      <c r="B10" s="234" t="s">
        <v>182</v>
      </c>
      <c r="C10" s="235"/>
      <c r="D10" s="236"/>
      <c r="E10" s="237"/>
      <c r="F10" s="238"/>
      <c r="H10" s="233" t="s">
        <v>72</v>
      </c>
      <c r="I10" s="234" t="s">
        <v>182</v>
      </c>
      <c r="J10" s="235"/>
      <c r="K10" s="236"/>
      <c r="L10" s="237"/>
      <c r="M10" s="238"/>
    </row>
    <row r="11" spans="1:14" s="102" customFormat="1" ht="24" customHeight="1" outlineLevel="1" thickTop="1" thickBot="1">
      <c r="A11" s="239" t="s">
        <v>154</v>
      </c>
      <c r="B11" s="240" t="s">
        <v>183</v>
      </c>
      <c r="C11" s="241"/>
      <c r="D11" s="242"/>
      <c r="E11" s="243"/>
      <c r="F11" s="244"/>
      <c r="H11" s="239" t="s">
        <v>154</v>
      </c>
      <c r="I11" s="240" t="s">
        <v>183</v>
      </c>
      <c r="J11" s="241"/>
      <c r="K11" s="242"/>
      <c r="L11" s="243"/>
      <c r="M11" s="244"/>
    </row>
    <row r="12" spans="1:14" s="102" customFormat="1" ht="78.75" customHeight="1" outlineLevel="1" thickTop="1">
      <c r="A12" s="245" t="s">
        <v>74</v>
      </c>
      <c r="B12" s="246" t="s">
        <v>184</v>
      </c>
      <c r="C12" s="247" t="s">
        <v>67</v>
      </c>
      <c r="D12" s="248">
        <v>45</v>
      </c>
      <c r="E12" s="249">
        <v>25000</v>
      </c>
      <c r="F12" s="250">
        <f>+D12*E12</f>
        <v>1125000</v>
      </c>
      <c r="G12" s="211"/>
      <c r="H12" s="245" t="s">
        <v>74</v>
      </c>
      <c r="I12" s="246" t="s">
        <v>184</v>
      </c>
      <c r="J12" s="247" t="s">
        <v>67</v>
      </c>
      <c r="K12" s="248">
        <v>45</v>
      </c>
      <c r="L12" s="249">
        <v>65300</v>
      </c>
      <c r="M12" s="250">
        <f>+K12*L12</f>
        <v>2938500</v>
      </c>
      <c r="N12" s="211"/>
    </row>
    <row r="13" spans="1:14" s="102" customFormat="1" ht="75" outlineLevel="1">
      <c r="A13" s="251" t="s">
        <v>185</v>
      </c>
      <c r="B13" s="252" t="s">
        <v>186</v>
      </c>
      <c r="C13" s="253" t="s">
        <v>140</v>
      </c>
      <c r="D13" s="254">
        <v>25</v>
      </c>
      <c r="E13" s="255">
        <v>75000</v>
      </c>
      <c r="F13" s="256">
        <f>+D13*E13</f>
        <v>1875000</v>
      </c>
      <c r="G13" s="211"/>
      <c r="H13" s="251" t="s">
        <v>185</v>
      </c>
      <c r="I13" s="252" t="s">
        <v>186</v>
      </c>
      <c r="J13" s="253" t="s">
        <v>140</v>
      </c>
      <c r="K13" s="254">
        <v>25</v>
      </c>
      <c r="L13" s="255">
        <v>31800</v>
      </c>
      <c r="M13" s="256">
        <f>+K13*L13</f>
        <v>795000</v>
      </c>
      <c r="N13" s="211"/>
    </row>
    <row r="14" spans="1:14" s="102" customFormat="1" ht="30" outlineLevel="1">
      <c r="A14" s="251" t="s">
        <v>187</v>
      </c>
      <c r="B14" s="252" t="s">
        <v>151</v>
      </c>
      <c r="C14" s="253" t="s">
        <v>141</v>
      </c>
      <c r="D14" s="254">
        <v>31</v>
      </c>
      <c r="E14" s="255">
        <v>80000</v>
      </c>
      <c r="F14" s="256">
        <f>+D14*E14</f>
        <v>2480000</v>
      </c>
      <c r="G14" s="211"/>
      <c r="H14" s="251" t="s">
        <v>187</v>
      </c>
      <c r="I14" s="252" t="s">
        <v>151</v>
      </c>
      <c r="J14" s="253" t="s">
        <v>141</v>
      </c>
      <c r="K14" s="254">
        <v>31</v>
      </c>
      <c r="L14" s="255">
        <v>6200</v>
      </c>
      <c r="M14" s="256">
        <f>+K14*L14</f>
        <v>192200</v>
      </c>
      <c r="N14" s="211"/>
    </row>
    <row r="15" spans="1:14" s="18" customFormat="1" ht="15" outlineLevel="2">
      <c r="A15" s="257" t="s">
        <v>156</v>
      </c>
      <c r="B15" s="258" t="s">
        <v>188</v>
      </c>
      <c r="C15" s="259"/>
      <c r="D15" s="260"/>
      <c r="E15" s="261"/>
      <c r="F15" s="262"/>
      <c r="G15" s="211"/>
      <c r="H15" s="257" t="s">
        <v>156</v>
      </c>
      <c r="I15" s="258" t="s">
        <v>188</v>
      </c>
      <c r="J15" s="259"/>
      <c r="K15" s="260"/>
      <c r="L15" s="261"/>
      <c r="M15" s="262"/>
      <c r="N15" s="211"/>
    </row>
    <row r="16" spans="1:14" s="18" customFormat="1" ht="45" outlineLevel="2">
      <c r="A16" s="251" t="s">
        <v>158</v>
      </c>
      <c r="B16" s="252" t="s">
        <v>189</v>
      </c>
      <c r="C16" s="253" t="s">
        <v>141</v>
      </c>
      <c r="D16" s="254">
        <v>35</v>
      </c>
      <c r="E16" s="255">
        <v>80000</v>
      </c>
      <c r="F16" s="256">
        <f>+D16*E16</f>
        <v>2800000</v>
      </c>
      <c r="G16" s="211"/>
      <c r="H16" s="251" t="s">
        <v>158</v>
      </c>
      <c r="I16" s="252" t="s">
        <v>189</v>
      </c>
      <c r="J16" s="253" t="s">
        <v>141</v>
      </c>
      <c r="K16" s="254">
        <v>35</v>
      </c>
      <c r="L16" s="255">
        <v>53400</v>
      </c>
      <c r="M16" s="256">
        <f>+K16*L16</f>
        <v>1869000</v>
      </c>
      <c r="N16" s="211"/>
    </row>
    <row r="17" spans="1:14" s="18" customFormat="1" ht="15" outlineLevel="2">
      <c r="A17" s="257" t="s">
        <v>190</v>
      </c>
      <c r="B17" s="258" t="s">
        <v>191</v>
      </c>
      <c r="C17" s="259"/>
      <c r="D17" s="260"/>
      <c r="E17" s="261"/>
      <c r="F17" s="262"/>
      <c r="G17" s="211"/>
      <c r="H17" s="257" t="s">
        <v>190</v>
      </c>
      <c r="I17" s="258" t="s">
        <v>191</v>
      </c>
      <c r="J17" s="259"/>
      <c r="K17" s="260"/>
      <c r="L17" s="261"/>
      <c r="M17" s="262"/>
      <c r="N17" s="211"/>
    </row>
    <row r="18" spans="1:14" s="18" customFormat="1" ht="60" outlineLevel="2">
      <c r="A18" s="251" t="s">
        <v>192</v>
      </c>
      <c r="B18" s="252" t="s">
        <v>152</v>
      </c>
      <c r="C18" s="253" t="s">
        <v>141</v>
      </c>
      <c r="D18" s="254">
        <v>17</v>
      </c>
      <c r="E18" s="255">
        <v>45000</v>
      </c>
      <c r="F18" s="256">
        <f>+D18*E18</f>
        <v>765000</v>
      </c>
      <c r="G18" s="211"/>
      <c r="H18" s="251" t="s">
        <v>192</v>
      </c>
      <c r="I18" s="252" t="s">
        <v>152</v>
      </c>
      <c r="J18" s="253" t="s">
        <v>141</v>
      </c>
      <c r="K18" s="254">
        <v>17</v>
      </c>
      <c r="L18" s="255">
        <v>15600</v>
      </c>
      <c r="M18" s="256">
        <f>+K18*L18</f>
        <v>265200</v>
      </c>
      <c r="N18" s="211"/>
    </row>
    <row r="19" spans="1:14" s="18" customFormat="1" ht="60" outlineLevel="2">
      <c r="A19" s="251" t="s">
        <v>193</v>
      </c>
      <c r="B19" s="252" t="s">
        <v>194</v>
      </c>
      <c r="C19" s="253" t="s">
        <v>141</v>
      </c>
      <c r="D19" s="254">
        <f>(4.6*4+3.7*2)*0.2+((19+9+9)*0.5*0.5)</f>
        <v>14.41</v>
      </c>
      <c r="E19" s="255">
        <v>180000</v>
      </c>
      <c r="F19" s="256">
        <f>+D19*E19</f>
        <v>2593800</v>
      </c>
      <c r="G19" s="211"/>
      <c r="H19" s="251" t="s">
        <v>193</v>
      </c>
      <c r="I19" s="252" t="s">
        <v>194</v>
      </c>
      <c r="J19" s="253" t="s">
        <v>141</v>
      </c>
      <c r="K19" s="254">
        <f>(4.6*4+3.7*2)*0.2+((19+9+9)*0.5*0.5)</f>
        <v>14.41</v>
      </c>
      <c r="L19" s="255">
        <v>123200</v>
      </c>
      <c r="M19" s="256">
        <f>+K19*L19</f>
        <v>1775312</v>
      </c>
      <c r="N19" s="211"/>
    </row>
    <row r="20" spans="1:14" s="18" customFormat="1" ht="15" outlineLevel="2">
      <c r="A20" s="257" t="s">
        <v>195</v>
      </c>
      <c r="B20" s="258" t="s">
        <v>153</v>
      </c>
      <c r="C20" s="259"/>
      <c r="D20" s="260"/>
      <c r="E20" s="261"/>
      <c r="F20" s="262"/>
      <c r="G20" s="211"/>
      <c r="H20" s="257" t="s">
        <v>195</v>
      </c>
      <c r="I20" s="258" t="s">
        <v>153</v>
      </c>
      <c r="J20" s="259"/>
      <c r="K20" s="260"/>
      <c r="L20" s="261"/>
      <c r="M20" s="262"/>
      <c r="N20" s="211"/>
    </row>
    <row r="21" spans="1:14" s="18" customFormat="1" ht="90" outlineLevel="2">
      <c r="A21" s="251" t="s">
        <v>196</v>
      </c>
      <c r="B21" s="252" t="s">
        <v>197</v>
      </c>
      <c r="C21" s="253" t="s">
        <v>140</v>
      </c>
      <c r="D21" s="254">
        <f>4.6*4+3.7*2</f>
        <v>25.799999999999997</v>
      </c>
      <c r="E21" s="255">
        <v>160000</v>
      </c>
      <c r="F21" s="256">
        <f>+D21*E21</f>
        <v>4127999.9999999995</v>
      </c>
      <c r="G21" s="211"/>
      <c r="H21" s="251" t="s">
        <v>196</v>
      </c>
      <c r="I21" s="252" t="s">
        <v>197</v>
      </c>
      <c r="J21" s="253" t="s">
        <v>140</v>
      </c>
      <c r="K21" s="254">
        <f>4.6*4+3.7*2</f>
        <v>25.799999999999997</v>
      </c>
      <c r="L21" s="255">
        <v>198300</v>
      </c>
      <c r="M21" s="256">
        <f>+K21*L21</f>
        <v>5116139.9999999991</v>
      </c>
      <c r="N21" s="211"/>
    </row>
    <row r="22" spans="1:14" s="18" customFormat="1" ht="135" outlineLevel="2">
      <c r="A22" s="251" t="s">
        <v>198</v>
      </c>
      <c r="B22" s="252" t="s">
        <v>199</v>
      </c>
      <c r="C22" s="253" t="s">
        <v>150</v>
      </c>
      <c r="D22" s="254">
        <v>77.697674000000006</v>
      </c>
      <c r="E22" s="255">
        <v>200000</v>
      </c>
      <c r="F22" s="256">
        <f t="shared" ref="F22:F23" si="0">+D22*E22</f>
        <v>15539534.800000001</v>
      </c>
      <c r="G22" s="211"/>
      <c r="H22" s="251" t="s">
        <v>198</v>
      </c>
      <c r="I22" s="252" t="s">
        <v>199</v>
      </c>
      <c r="J22" s="253" t="s">
        <v>150</v>
      </c>
      <c r="K22" s="254">
        <v>77.697674000000006</v>
      </c>
      <c r="L22" s="255">
        <v>387600</v>
      </c>
      <c r="M22" s="256">
        <f t="shared" ref="M22:M23" si="1">+K22*L22</f>
        <v>30115618.442400001</v>
      </c>
      <c r="N22" s="211"/>
    </row>
    <row r="23" spans="1:14" s="18" customFormat="1" ht="105" outlineLevel="2">
      <c r="A23" s="251" t="s">
        <v>200</v>
      </c>
      <c r="B23" s="252" t="s">
        <v>201</v>
      </c>
      <c r="C23" s="253" t="s">
        <v>140</v>
      </c>
      <c r="D23" s="254">
        <v>25</v>
      </c>
      <c r="E23" s="255">
        <v>120000</v>
      </c>
      <c r="F23" s="256">
        <f t="shared" si="0"/>
        <v>3000000</v>
      </c>
      <c r="G23" s="211"/>
      <c r="H23" s="251" t="s">
        <v>200</v>
      </c>
      <c r="I23" s="252" t="s">
        <v>201</v>
      </c>
      <c r="J23" s="253" t="s">
        <v>140</v>
      </c>
      <c r="K23" s="254">
        <v>25</v>
      </c>
      <c r="L23" s="255">
        <v>75000</v>
      </c>
      <c r="M23" s="256">
        <f t="shared" si="1"/>
        <v>1875000</v>
      </c>
      <c r="N23" s="211"/>
    </row>
    <row r="24" spans="1:14" s="18" customFormat="1" ht="15" outlineLevel="2">
      <c r="A24" s="257" t="s">
        <v>202</v>
      </c>
      <c r="B24" s="258" t="s">
        <v>203</v>
      </c>
      <c r="C24" s="259"/>
      <c r="D24" s="260"/>
      <c r="E24" s="261"/>
      <c r="F24" s="262"/>
      <c r="G24" s="211"/>
      <c r="H24" s="257" t="s">
        <v>202</v>
      </c>
      <c r="I24" s="258" t="s">
        <v>203</v>
      </c>
      <c r="J24" s="259"/>
      <c r="K24" s="260"/>
      <c r="L24" s="261"/>
      <c r="M24" s="262"/>
      <c r="N24" s="211"/>
    </row>
    <row r="25" spans="1:14" s="18" customFormat="1" ht="75" outlineLevel="1">
      <c r="A25" s="251" t="s">
        <v>204</v>
      </c>
      <c r="B25" s="252" t="s">
        <v>205</v>
      </c>
      <c r="C25" s="253" t="s">
        <v>140</v>
      </c>
      <c r="D25" s="254">
        <v>350</v>
      </c>
      <c r="E25" s="255">
        <v>12500</v>
      </c>
      <c r="F25" s="256">
        <f>+D25*E25</f>
        <v>4375000</v>
      </c>
      <c r="G25" s="211"/>
      <c r="H25" s="251" t="s">
        <v>204</v>
      </c>
      <c r="I25" s="252" t="s">
        <v>205</v>
      </c>
      <c r="J25" s="253" t="s">
        <v>140</v>
      </c>
      <c r="K25" s="254">
        <v>350</v>
      </c>
      <c r="L25" s="255">
        <v>14300</v>
      </c>
      <c r="M25" s="256">
        <f>+K25*L25</f>
        <v>5005000</v>
      </c>
      <c r="N25" s="211"/>
    </row>
    <row r="26" spans="1:14" s="18" customFormat="1" ht="90" outlineLevel="1">
      <c r="A26" s="251" t="s">
        <v>206</v>
      </c>
      <c r="B26" s="252" t="s">
        <v>207</v>
      </c>
      <c r="C26" s="253" t="s">
        <v>140</v>
      </c>
      <c r="D26" s="254">
        <v>50</v>
      </c>
      <c r="E26" s="255">
        <v>18000</v>
      </c>
      <c r="F26" s="256">
        <f>+D26*E26</f>
        <v>900000</v>
      </c>
      <c r="G26" s="211"/>
      <c r="H26" s="251" t="s">
        <v>206</v>
      </c>
      <c r="I26" s="252" t="s">
        <v>207</v>
      </c>
      <c r="J26" s="253" t="s">
        <v>140</v>
      </c>
      <c r="K26" s="254">
        <v>50</v>
      </c>
      <c r="L26" s="255">
        <v>18200</v>
      </c>
      <c r="M26" s="256">
        <f>+K26*L26</f>
        <v>910000</v>
      </c>
      <c r="N26" s="211"/>
    </row>
    <row r="27" spans="1:14" s="18" customFormat="1" ht="15" outlineLevel="1">
      <c r="A27" s="257" t="s">
        <v>208</v>
      </c>
      <c r="B27" s="258" t="s">
        <v>209</v>
      </c>
      <c r="C27" s="259"/>
      <c r="D27" s="260"/>
      <c r="E27" s="261"/>
      <c r="F27" s="262"/>
      <c r="G27" s="211"/>
      <c r="H27" s="257" t="s">
        <v>208</v>
      </c>
      <c r="I27" s="258" t="s">
        <v>209</v>
      </c>
      <c r="J27" s="259"/>
      <c r="K27" s="260"/>
      <c r="L27" s="261"/>
      <c r="M27" s="262"/>
      <c r="N27" s="211"/>
    </row>
    <row r="28" spans="1:14" s="18" customFormat="1" ht="90.75" thickBot="1">
      <c r="A28" s="263" t="s">
        <v>210</v>
      </c>
      <c r="B28" s="264" t="s">
        <v>211</v>
      </c>
      <c r="C28" s="265" t="s">
        <v>150</v>
      </c>
      <c r="D28" s="266">
        <v>72</v>
      </c>
      <c r="E28" s="267">
        <v>130000</v>
      </c>
      <c r="F28" s="268">
        <f>+D28*E28</f>
        <v>9360000</v>
      </c>
      <c r="G28" s="211"/>
      <c r="H28" s="263" t="s">
        <v>210</v>
      </c>
      <c r="I28" s="264" t="s">
        <v>211</v>
      </c>
      <c r="J28" s="265" t="s">
        <v>150</v>
      </c>
      <c r="K28" s="266">
        <v>72</v>
      </c>
      <c r="L28" s="267">
        <v>298600</v>
      </c>
      <c r="M28" s="268">
        <f>+K28*L28</f>
        <v>21499200</v>
      </c>
      <c r="N28" s="211"/>
    </row>
    <row r="29" spans="1:14" s="18" customFormat="1" ht="16.5" outlineLevel="1" thickTop="1" thickBot="1">
      <c r="A29" s="233" t="s">
        <v>75</v>
      </c>
      <c r="B29" s="234" t="s">
        <v>212</v>
      </c>
      <c r="C29" s="235"/>
      <c r="D29" s="236"/>
      <c r="E29" s="237"/>
      <c r="F29" s="238"/>
      <c r="G29" s="211"/>
      <c r="H29" s="233" t="s">
        <v>75</v>
      </c>
      <c r="I29" s="234" t="s">
        <v>212</v>
      </c>
      <c r="J29" s="235"/>
      <c r="K29" s="236"/>
      <c r="L29" s="237"/>
      <c r="M29" s="238"/>
      <c r="N29" s="211"/>
    </row>
    <row r="30" spans="1:14" s="18" customFormat="1" ht="15.75" outlineLevel="1" thickTop="1">
      <c r="A30" s="269" t="s">
        <v>159</v>
      </c>
      <c r="B30" s="270" t="s">
        <v>213</v>
      </c>
      <c r="C30" s="271"/>
      <c r="D30" s="272"/>
      <c r="E30" s="273"/>
      <c r="F30" s="274"/>
      <c r="G30" s="211"/>
      <c r="H30" s="269" t="s">
        <v>159</v>
      </c>
      <c r="I30" s="270" t="s">
        <v>213</v>
      </c>
      <c r="J30" s="271"/>
      <c r="K30" s="272"/>
      <c r="L30" s="273"/>
      <c r="M30" s="274"/>
      <c r="N30" s="211"/>
    </row>
    <row r="31" spans="1:14" s="18" customFormat="1" ht="45" outlineLevel="1">
      <c r="A31" s="263" t="s">
        <v>76</v>
      </c>
      <c r="B31" s="264" t="s">
        <v>214</v>
      </c>
      <c r="C31" s="265" t="s">
        <v>67</v>
      </c>
      <c r="D31" s="266">
        <v>1</v>
      </c>
      <c r="E31" s="267">
        <v>44414743</v>
      </c>
      <c r="F31" s="268">
        <f>E31*D31</f>
        <v>44414743</v>
      </c>
      <c r="G31" s="211"/>
      <c r="H31" s="263" t="s">
        <v>76</v>
      </c>
      <c r="I31" s="264" t="s">
        <v>214</v>
      </c>
      <c r="J31" s="265" t="s">
        <v>67</v>
      </c>
      <c r="K31" s="266">
        <v>1</v>
      </c>
      <c r="L31" s="267">
        <v>48970000</v>
      </c>
      <c r="M31" s="268">
        <f>L31*K31</f>
        <v>48970000</v>
      </c>
      <c r="N31" s="211"/>
    </row>
    <row r="32" spans="1:14" s="18" customFormat="1" ht="30" outlineLevel="1">
      <c r="A32" s="263" t="s">
        <v>160</v>
      </c>
      <c r="B32" s="264" t="s">
        <v>215</v>
      </c>
      <c r="C32" s="265" t="s">
        <v>67</v>
      </c>
      <c r="D32" s="266">
        <v>8</v>
      </c>
      <c r="E32" s="267">
        <v>3741318</v>
      </c>
      <c r="F32" s="268">
        <f t="shared" ref="F32:F54" si="2">E32*D32</f>
        <v>29930544</v>
      </c>
      <c r="G32" s="211"/>
      <c r="H32" s="263" t="s">
        <v>160</v>
      </c>
      <c r="I32" s="264" t="s">
        <v>215</v>
      </c>
      <c r="J32" s="265" t="s">
        <v>67</v>
      </c>
      <c r="K32" s="266">
        <v>8</v>
      </c>
      <c r="L32" s="267">
        <v>5320000</v>
      </c>
      <c r="M32" s="268">
        <f t="shared" ref="M32:M54" si="3">L32*K32</f>
        <v>42560000</v>
      </c>
      <c r="N32" s="211"/>
    </row>
    <row r="33" spans="1:14" s="18" customFormat="1" ht="15" outlineLevel="2">
      <c r="A33" s="263" t="s">
        <v>216</v>
      </c>
      <c r="B33" s="264" t="s">
        <v>217</v>
      </c>
      <c r="C33" s="265" t="s">
        <v>67</v>
      </c>
      <c r="D33" s="266">
        <v>8</v>
      </c>
      <c r="E33" s="267">
        <v>443078</v>
      </c>
      <c r="F33" s="268">
        <f t="shared" si="2"/>
        <v>3544624</v>
      </c>
      <c r="G33" s="211"/>
      <c r="H33" s="263" t="s">
        <v>216</v>
      </c>
      <c r="I33" s="264" t="s">
        <v>217</v>
      </c>
      <c r="J33" s="265" t="s">
        <v>67</v>
      </c>
      <c r="K33" s="266">
        <v>8</v>
      </c>
      <c r="L33" s="267">
        <v>320000</v>
      </c>
      <c r="M33" s="268">
        <f t="shared" si="3"/>
        <v>2560000</v>
      </c>
      <c r="N33" s="211"/>
    </row>
    <row r="34" spans="1:14" s="18" customFormat="1" ht="15" outlineLevel="2">
      <c r="A34" s="263" t="s">
        <v>218</v>
      </c>
      <c r="B34" s="264" t="s">
        <v>219</v>
      </c>
      <c r="C34" s="265" t="s">
        <v>220</v>
      </c>
      <c r="D34" s="266">
        <v>19</v>
      </c>
      <c r="E34" s="267">
        <v>133382</v>
      </c>
      <c r="F34" s="268">
        <f t="shared" si="2"/>
        <v>2534258</v>
      </c>
      <c r="G34" s="211"/>
      <c r="H34" s="263" t="s">
        <v>218</v>
      </c>
      <c r="I34" s="264" t="s">
        <v>219</v>
      </c>
      <c r="J34" s="265" t="s">
        <v>220</v>
      </c>
      <c r="K34" s="266">
        <v>19</v>
      </c>
      <c r="L34" s="267">
        <v>76200</v>
      </c>
      <c r="M34" s="268">
        <f t="shared" si="3"/>
        <v>1447800</v>
      </c>
      <c r="N34" s="211"/>
    </row>
    <row r="35" spans="1:14" s="18" customFormat="1" ht="15" outlineLevel="2">
      <c r="A35" s="263" t="s">
        <v>221</v>
      </c>
      <c r="B35" s="264" t="s">
        <v>222</v>
      </c>
      <c r="C35" s="265" t="s">
        <v>220</v>
      </c>
      <c r="D35" s="266">
        <v>7</v>
      </c>
      <c r="E35" s="267">
        <v>103469</v>
      </c>
      <c r="F35" s="268">
        <f t="shared" si="2"/>
        <v>724283</v>
      </c>
      <c r="G35" s="211"/>
      <c r="H35" s="263" t="s">
        <v>221</v>
      </c>
      <c r="I35" s="264" t="s">
        <v>222</v>
      </c>
      <c r="J35" s="265" t="s">
        <v>220</v>
      </c>
      <c r="K35" s="266">
        <v>7</v>
      </c>
      <c r="L35" s="267">
        <v>51100</v>
      </c>
      <c r="M35" s="268">
        <f t="shared" si="3"/>
        <v>357700</v>
      </c>
      <c r="N35" s="211"/>
    </row>
    <row r="36" spans="1:14" s="18" customFormat="1" ht="15" outlineLevel="2">
      <c r="A36" s="263" t="s">
        <v>223</v>
      </c>
      <c r="B36" s="264" t="s">
        <v>224</v>
      </c>
      <c r="C36" s="265" t="s">
        <v>220</v>
      </c>
      <c r="D36" s="266">
        <v>16</v>
      </c>
      <c r="E36" s="267">
        <v>90240</v>
      </c>
      <c r="F36" s="268">
        <f t="shared" si="2"/>
        <v>1443840</v>
      </c>
      <c r="G36" s="211"/>
      <c r="H36" s="263" t="s">
        <v>223</v>
      </c>
      <c r="I36" s="264" t="s">
        <v>224</v>
      </c>
      <c r="J36" s="265" t="s">
        <v>220</v>
      </c>
      <c r="K36" s="266">
        <v>16</v>
      </c>
      <c r="L36" s="267">
        <v>48100</v>
      </c>
      <c r="M36" s="268">
        <f t="shared" si="3"/>
        <v>769600</v>
      </c>
      <c r="N36" s="211"/>
    </row>
    <row r="37" spans="1:14" s="18" customFormat="1" ht="15" outlineLevel="2">
      <c r="A37" s="263" t="s">
        <v>225</v>
      </c>
      <c r="B37" s="264" t="s">
        <v>226</v>
      </c>
      <c r="C37" s="265" t="s">
        <v>220</v>
      </c>
      <c r="D37" s="266">
        <v>15</v>
      </c>
      <c r="E37" s="267">
        <v>73026</v>
      </c>
      <c r="F37" s="268">
        <f t="shared" si="2"/>
        <v>1095390</v>
      </c>
      <c r="G37" s="211"/>
      <c r="H37" s="263" t="s">
        <v>225</v>
      </c>
      <c r="I37" s="264" t="s">
        <v>226</v>
      </c>
      <c r="J37" s="265" t="s">
        <v>220</v>
      </c>
      <c r="K37" s="266">
        <v>15</v>
      </c>
      <c r="L37" s="267">
        <v>41200</v>
      </c>
      <c r="M37" s="268">
        <f t="shared" si="3"/>
        <v>618000</v>
      </c>
      <c r="N37" s="211"/>
    </row>
    <row r="38" spans="1:14" s="18" customFormat="1" ht="15" outlineLevel="2">
      <c r="A38" s="263" t="s">
        <v>227</v>
      </c>
      <c r="B38" s="264" t="s">
        <v>228</v>
      </c>
      <c r="C38" s="265" t="s">
        <v>220</v>
      </c>
      <c r="D38" s="266">
        <f>7+19</f>
        <v>26</v>
      </c>
      <c r="E38" s="267">
        <v>58918</v>
      </c>
      <c r="F38" s="268">
        <f t="shared" si="2"/>
        <v>1531868</v>
      </c>
      <c r="G38" s="211"/>
      <c r="H38" s="263" t="s">
        <v>227</v>
      </c>
      <c r="I38" s="264" t="s">
        <v>228</v>
      </c>
      <c r="J38" s="265" t="s">
        <v>220</v>
      </c>
      <c r="K38" s="266">
        <f>7+19</f>
        <v>26</v>
      </c>
      <c r="L38" s="267">
        <v>35000</v>
      </c>
      <c r="M38" s="268">
        <f t="shared" si="3"/>
        <v>910000</v>
      </c>
      <c r="N38" s="211"/>
    </row>
    <row r="39" spans="1:14" s="18" customFormat="1" ht="15" outlineLevel="2">
      <c r="A39" s="263" t="s">
        <v>229</v>
      </c>
      <c r="B39" s="264" t="s">
        <v>230</v>
      </c>
      <c r="C39" s="265" t="s">
        <v>220</v>
      </c>
      <c r="D39" s="266">
        <v>47</v>
      </c>
      <c r="E39" s="267">
        <v>52264</v>
      </c>
      <c r="F39" s="268">
        <f t="shared" si="2"/>
        <v>2456408</v>
      </c>
      <c r="G39" s="211"/>
      <c r="H39" s="263" t="s">
        <v>229</v>
      </c>
      <c r="I39" s="264" t="s">
        <v>230</v>
      </c>
      <c r="J39" s="265" t="s">
        <v>220</v>
      </c>
      <c r="K39" s="266">
        <v>47</v>
      </c>
      <c r="L39" s="267">
        <v>28700</v>
      </c>
      <c r="M39" s="268">
        <f t="shared" si="3"/>
        <v>1348900</v>
      </c>
      <c r="N39" s="211"/>
    </row>
    <row r="40" spans="1:14" s="18" customFormat="1" ht="15" outlineLevel="2">
      <c r="A40" s="263" t="s">
        <v>231</v>
      </c>
      <c r="B40" s="264" t="s">
        <v>232</v>
      </c>
      <c r="C40" s="265" t="s">
        <v>220</v>
      </c>
      <c r="D40" s="266">
        <v>16</v>
      </c>
      <c r="E40" s="267">
        <v>46246</v>
      </c>
      <c r="F40" s="268">
        <f t="shared" si="2"/>
        <v>739936</v>
      </c>
      <c r="G40" s="211"/>
      <c r="H40" s="263" t="s">
        <v>231</v>
      </c>
      <c r="I40" s="264" t="s">
        <v>232</v>
      </c>
      <c r="J40" s="265" t="s">
        <v>220</v>
      </c>
      <c r="K40" s="266">
        <v>16</v>
      </c>
      <c r="L40" s="267">
        <v>21300</v>
      </c>
      <c r="M40" s="268">
        <f t="shared" si="3"/>
        <v>340800</v>
      </c>
      <c r="N40" s="211"/>
    </row>
    <row r="41" spans="1:14" s="18" customFormat="1" ht="15" outlineLevel="2">
      <c r="A41" s="263" t="s">
        <v>233</v>
      </c>
      <c r="B41" s="264" t="s">
        <v>234</v>
      </c>
      <c r="C41" s="265" t="s">
        <v>220</v>
      </c>
      <c r="D41" s="266">
        <f>47+15</f>
        <v>62</v>
      </c>
      <c r="E41" s="267">
        <v>38572</v>
      </c>
      <c r="F41" s="268">
        <f t="shared" si="2"/>
        <v>2391464</v>
      </c>
      <c r="G41" s="211"/>
      <c r="H41" s="263" t="s">
        <v>233</v>
      </c>
      <c r="I41" s="264" t="s">
        <v>234</v>
      </c>
      <c r="J41" s="265" t="s">
        <v>220</v>
      </c>
      <c r="K41" s="266">
        <f>47+15</f>
        <v>62</v>
      </c>
      <c r="L41" s="267">
        <v>19800</v>
      </c>
      <c r="M41" s="268">
        <f t="shared" si="3"/>
        <v>1227600</v>
      </c>
      <c r="N41" s="211"/>
    </row>
    <row r="42" spans="1:14" s="18" customFormat="1" ht="30" outlineLevel="2">
      <c r="A42" s="263" t="s">
        <v>235</v>
      </c>
      <c r="B42" s="264" t="s">
        <v>236</v>
      </c>
      <c r="C42" s="265" t="s">
        <v>67</v>
      </c>
      <c r="D42" s="266">
        <v>1</v>
      </c>
      <c r="E42" s="267">
        <v>560191</v>
      </c>
      <c r="F42" s="268">
        <f t="shared" si="2"/>
        <v>560191</v>
      </c>
      <c r="G42" s="211"/>
      <c r="H42" s="263" t="s">
        <v>235</v>
      </c>
      <c r="I42" s="264" t="s">
        <v>236</v>
      </c>
      <c r="J42" s="265" t="s">
        <v>67</v>
      </c>
      <c r="K42" s="266">
        <v>1</v>
      </c>
      <c r="L42" s="267">
        <v>350000</v>
      </c>
      <c r="M42" s="268">
        <f t="shared" si="3"/>
        <v>350000</v>
      </c>
      <c r="N42" s="211"/>
    </row>
    <row r="43" spans="1:14" s="18" customFormat="1" ht="30" outlineLevel="2">
      <c r="A43" s="263" t="s">
        <v>237</v>
      </c>
      <c r="B43" s="264" t="s">
        <v>238</v>
      </c>
      <c r="C43" s="265" t="s">
        <v>67</v>
      </c>
      <c r="D43" s="266">
        <v>1</v>
      </c>
      <c r="E43" s="267">
        <v>448121</v>
      </c>
      <c r="F43" s="268">
        <f t="shared" si="2"/>
        <v>448121</v>
      </c>
      <c r="G43" s="211"/>
      <c r="H43" s="263" t="s">
        <v>237</v>
      </c>
      <c r="I43" s="264" t="s">
        <v>238</v>
      </c>
      <c r="J43" s="265" t="s">
        <v>67</v>
      </c>
      <c r="K43" s="266">
        <v>1</v>
      </c>
      <c r="L43" s="267">
        <v>280000</v>
      </c>
      <c r="M43" s="268">
        <f t="shared" si="3"/>
        <v>280000</v>
      </c>
      <c r="N43" s="211"/>
    </row>
    <row r="44" spans="1:14" s="18" customFormat="1" ht="30" outlineLevel="2">
      <c r="A44" s="263" t="s">
        <v>239</v>
      </c>
      <c r="B44" s="264" t="s">
        <v>240</v>
      </c>
      <c r="C44" s="265" t="s">
        <v>67</v>
      </c>
      <c r="D44" s="266">
        <v>5</v>
      </c>
      <c r="E44" s="267">
        <v>400275</v>
      </c>
      <c r="F44" s="268">
        <f t="shared" si="2"/>
        <v>2001375</v>
      </c>
      <c r="G44" s="211"/>
      <c r="H44" s="263" t="s">
        <v>239</v>
      </c>
      <c r="I44" s="264" t="s">
        <v>240</v>
      </c>
      <c r="J44" s="265" t="s">
        <v>67</v>
      </c>
      <c r="K44" s="266">
        <v>5</v>
      </c>
      <c r="L44" s="267">
        <v>180000</v>
      </c>
      <c r="M44" s="268">
        <f t="shared" si="3"/>
        <v>900000</v>
      </c>
      <c r="N44" s="211"/>
    </row>
    <row r="45" spans="1:14" s="18" customFormat="1" ht="30" outlineLevel="2">
      <c r="A45" s="263" t="s">
        <v>241</v>
      </c>
      <c r="B45" s="264" t="s">
        <v>242</v>
      </c>
      <c r="C45" s="265" t="s">
        <v>67</v>
      </c>
      <c r="D45" s="266">
        <v>1</v>
      </c>
      <c r="E45" s="267">
        <v>496150</v>
      </c>
      <c r="F45" s="268">
        <f t="shared" si="2"/>
        <v>496150</v>
      </c>
      <c r="G45" s="211"/>
      <c r="H45" s="263" t="s">
        <v>241</v>
      </c>
      <c r="I45" s="264" t="s">
        <v>242</v>
      </c>
      <c r="J45" s="265" t="s">
        <v>67</v>
      </c>
      <c r="K45" s="266">
        <v>1</v>
      </c>
      <c r="L45" s="267">
        <v>290000</v>
      </c>
      <c r="M45" s="268">
        <f t="shared" si="3"/>
        <v>290000</v>
      </c>
      <c r="N45" s="211"/>
    </row>
    <row r="46" spans="1:14" s="18" customFormat="1" ht="15" outlineLevel="2">
      <c r="A46" s="263" t="s">
        <v>243</v>
      </c>
      <c r="B46" s="264" t="s">
        <v>244</v>
      </c>
      <c r="C46" s="265" t="s">
        <v>245</v>
      </c>
      <c r="D46" s="266">
        <v>39</v>
      </c>
      <c r="E46" s="267">
        <v>20716</v>
      </c>
      <c r="F46" s="268">
        <f t="shared" si="2"/>
        <v>807924</v>
      </c>
      <c r="G46" s="211"/>
      <c r="H46" s="263" t="s">
        <v>243</v>
      </c>
      <c r="I46" s="264" t="s">
        <v>244</v>
      </c>
      <c r="J46" s="265" t="s">
        <v>245</v>
      </c>
      <c r="K46" s="266">
        <v>39</v>
      </c>
      <c r="L46" s="267">
        <v>23200</v>
      </c>
      <c r="M46" s="268">
        <f t="shared" si="3"/>
        <v>904800</v>
      </c>
      <c r="N46" s="211"/>
    </row>
    <row r="47" spans="1:14" s="18" customFormat="1" ht="15" outlineLevel="2">
      <c r="A47" s="263" t="s">
        <v>246</v>
      </c>
      <c r="B47" s="264" t="s">
        <v>247</v>
      </c>
      <c r="C47" s="265" t="s">
        <v>67</v>
      </c>
      <c r="D47" s="266">
        <v>8</v>
      </c>
      <c r="E47" s="267">
        <v>214965</v>
      </c>
      <c r="F47" s="268">
        <f t="shared" si="2"/>
        <v>1719720</v>
      </c>
      <c r="G47" s="211"/>
      <c r="H47" s="263" t="s">
        <v>246</v>
      </c>
      <c r="I47" s="264" t="s">
        <v>247</v>
      </c>
      <c r="J47" s="265" t="s">
        <v>67</v>
      </c>
      <c r="K47" s="266">
        <v>8</v>
      </c>
      <c r="L47" s="267">
        <v>190000</v>
      </c>
      <c r="M47" s="268">
        <f t="shared" si="3"/>
        <v>1520000</v>
      </c>
      <c r="N47" s="211"/>
    </row>
    <row r="48" spans="1:14" s="18" customFormat="1" ht="15" outlineLevel="2">
      <c r="A48" s="263" t="s">
        <v>248</v>
      </c>
      <c r="B48" s="264" t="s">
        <v>249</v>
      </c>
      <c r="C48" s="265" t="s">
        <v>67</v>
      </c>
      <c r="D48" s="266">
        <v>150</v>
      </c>
      <c r="E48" s="267">
        <v>11603</v>
      </c>
      <c r="F48" s="268">
        <f t="shared" si="2"/>
        <v>1740450</v>
      </c>
      <c r="G48" s="211"/>
      <c r="H48" s="263" t="s">
        <v>248</v>
      </c>
      <c r="I48" s="264" t="s">
        <v>249</v>
      </c>
      <c r="J48" s="265" t="s">
        <v>67</v>
      </c>
      <c r="K48" s="266">
        <v>150</v>
      </c>
      <c r="L48" s="267">
        <v>6200</v>
      </c>
      <c r="M48" s="268">
        <f t="shared" si="3"/>
        <v>930000</v>
      </c>
      <c r="N48" s="211"/>
    </row>
    <row r="49" spans="1:14" s="18" customFormat="1" ht="30" outlineLevel="2">
      <c r="A49" s="263" t="s">
        <v>250</v>
      </c>
      <c r="B49" s="264" t="s">
        <v>251</v>
      </c>
      <c r="C49" s="265" t="s">
        <v>220</v>
      </c>
      <c r="D49" s="266">
        <v>150</v>
      </c>
      <c r="E49" s="267">
        <v>21905</v>
      </c>
      <c r="F49" s="268">
        <f t="shared" si="2"/>
        <v>3285750</v>
      </c>
      <c r="G49" s="211"/>
      <c r="H49" s="263" t="s">
        <v>250</v>
      </c>
      <c r="I49" s="264" t="s">
        <v>251</v>
      </c>
      <c r="J49" s="265" t="s">
        <v>220</v>
      </c>
      <c r="K49" s="266">
        <v>150</v>
      </c>
      <c r="L49" s="267">
        <v>9800</v>
      </c>
      <c r="M49" s="268">
        <f t="shared" si="3"/>
        <v>1470000</v>
      </c>
      <c r="N49" s="211"/>
    </row>
    <row r="50" spans="1:14" s="18" customFormat="1" ht="30" outlineLevel="2">
      <c r="A50" s="263" t="s">
        <v>252</v>
      </c>
      <c r="B50" s="264" t="s">
        <v>253</v>
      </c>
      <c r="C50" s="265" t="s">
        <v>67</v>
      </c>
      <c r="D50" s="266">
        <v>12</v>
      </c>
      <c r="E50" s="267">
        <v>17017</v>
      </c>
      <c r="F50" s="268">
        <f t="shared" si="2"/>
        <v>204204</v>
      </c>
      <c r="G50" s="211"/>
      <c r="H50" s="263" t="s">
        <v>252</v>
      </c>
      <c r="I50" s="264" t="s">
        <v>253</v>
      </c>
      <c r="J50" s="265" t="s">
        <v>67</v>
      </c>
      <c r="K50" s="266">
        <v>12</v>
      </c>
      <c r="L50" s="267">
        <v>16300</v>
      </c>
      <c r="M50" s="268">
        <f t="shared" si="3"/>
        <v>195600</v>
      </c>
      <c r="N50" s="211"/>
    </row>
    <row r="51" spans="1:14" s="18" customFormat="1" ht="30" outlineLevel="2">
      <c r="A51" s="263" t="s">
        <v>254</v>
      </c>
      <c r="B51" s="264" t="s">
        <v>255</v>
      </c>
      <c r="C51" s="265" t="s">
        <v>220</v>
      </c>
      <c r="D51" s="266">
        <v>9</v>
      </c>
      <c r="E51" s="267">
        <v>66516</v>
      </c>
      <c r="F51" s="268">
        <f t="shared" si="2"/>
        <v>598644</v>
      </c>
      <c r="G51" s="211"/>
      <c r="H51" s="263" t="s">
        <v>254</v>
      </c>
      <c r="I51" s="264" t="s">
        <v>255</v>
      </c>
      <c r="J51" s="265" t="s">
        <v>220</v>
      </c>
      <c r="K51" s="266">
        <v>9</v>
      </c>
      <c r="L51" s="267">
        <v>5600</v>
      </c>
      <c r="M51" s="268">
        <f t="shared" si="3"/>
        <v>50400</v>
      </c>
      <c r="N51" s="211"/>
    </row>
    <row r="52" spans="1:14" s="18" customFormat="1" ht="30" outlineLevel="2">
      <c r="A52" s="263" t="s">
        <v>256</v>
      </c>
      <c r="B52" s="264" t="s">
        <v>257</v>
      </c>
      <c r="C52" s="265" t="s">
        <v>220</v>
      </c>
      <c r="D52" s="266">
        <v>150</v>
      </c>
      <c r="E52" s="267">
        <v>39449</v>
      </c>
      <c r="F52" s="268">
        <f t="shared" si="2"/>
        <v>5917350</v>
      </c>
      <c r="G52" s="211"/>
      <c r="H52" s="263" t="s">
        <v>256</v>
      </c>
      <c r="I52" s="264" t="s">
        <v>257</v>
      </c>
      <c r="J52" s="265" t="s">
        <v>220</v>
      </c>
      <c r="K52" s="266">
        <v>150</v>
      </c>
      <c r="L52" s="267">
        <v>2500</v>
      </c>
      <c r="M52" s="268">
        <f t="shared" si="3"/>
        <v>375000</v>
      </c>
      <c r="N52" s="211"/>
    </row>
    <row r="53" spans="1:14" s="18" customFormat="1" ht="15" outlineLevel="2">
      <c r="A53" s="263" t="s">
        <v>258</v>
      </c>
      <c r="B53" s="264" t="s">
        <v>259</v>
      </c>
      <c r="C53" s="265" t="s">
        <v>67</v>
      </c>
      <c r="D53" s="266">
        <v>1</v>
      </c>
      <c r="E53" s="267">
        <v>4377214</v>
      </c>
      <c r="F53" s="268">
        <f t="shared" si="2"/>
        <v>4377214</v>
      </c>
      <c r="G53" s="211"/>
      <c r="H53" s="263" t="s">
        <v>258</v>
      </c>
      <c r="I53" s="264" t="s">
        <v>259</v>
      </c>
      <c r="J53" s="265" t="s">
        <v>67</v>
      </c>
      <c r="K53" s="266">
        <v>1</v>
      </c>
      <c r="L53" s="267">
        <v>1700000</v>
      </c>
      <c r="M53" s="268">
        <f t="shared" si="3"/>
        <v>1700000</v>
      </c>
      <c r="N53" s="211"/>
    </row>
    <row r="54" spans="1:14" s="18" customFormat="1" ht="30" outlineLevel="2">
      <c r="A54" s="263" t="s">
        <v>260</v>
      </c>
      <c r="B54" s="264" t="s">
        <v>261</v>
      </c>
      <c r="C54" s="265" t="s">
        <v>262</v>
      </c>
      <c r="D54" s="266">
        <v>1</v>
      </c>
      <c r="E54" s="267">
        <v>53000000</v>
      </c>
      <c r="F54" s="268">
        <f t="shared" si="2"/>
        <v>53000000</v>
      </c>
      <c r="G54" s="211"/>
      <c r="H54" s="263" t="s">
        <v>260</v>
      </c>
      <c r="I54" s="264" t="s">
        <v>261</v>
      </c>
      <c r="J54" s="265" t="s">
        <v>262</v>
      </c>
      <c r="K54" s="266">
        <v>1</v>
      </c>
      <c r="L54" s="267">
        <v>10000000</v>
      </c>
      <c r="M54" s="268">
        <f t="shared" si="3"/>
        <v>10000000</v>
      </c>
      <c r="N54" s="211"/>
    </row>
    <row r="55" spans="1:14" s="18" customFormat="1" ht="15" outlineLevel="2">
      <c r="A55" s="257" t="s">
        <v>263</v>
      </c>
      <c r="B55" s="275" t="s">
        <v>264</v>
      </c>
      <c r="C55" s="276"/>
      <c r="D55" s="277"/>
      <c r="E55" s="278"/>
      <c r="F55" s="279"/>
      <c r="G55" s="211"/>
      <c r="H55" s="257" t="s">
        <v>263</v>
      </c>
      <c r="I55" s="275" t="s">
        <v>264</v>
      </c>
      <c r="J55" s="276"/>
      <c r="K55" s="277"/>
      <c r="L55" s="278"/>
      <c r="M55" s="279"/>
      <c r="N55" s="211"/>
    </row>
    <row r="56" spans="1:14" s="18" customFormat="1" ht="45" outlineLevel="2">
      <c r="A56" s="263" t="s">
        <v>265</v>
      </c>
      <c r="B56" s="264" t="s">
        <v>266</v>
      </c>
      <c r="C56" s="265" t="s">
        <v>67</v>
      </c>
      <c r="D56" s="266">
        <v>1</v>
      </c>
      <c r="E56" s="267">
        <v>45274385</v>
      </c>
      <c r="F56" s="268">
        <f>E56*D56</f>
        <v>45274385</v>
      </c>
      <c r="G56" s="211"/>
      <c r="H56" s="263" t="s">
        <v>265</v>
      </c>
      <c r="I56" s="264" t="s">
        <v>266</v>
      </c>
      <c r="J56" s="265" t="s">
        <v>67</v>
      </c>
      <c r="K56" s="266">
        <v>1</v>
      </c>
      <c r="L56" s="267">
        <v>33560000</v>
      </c>
      <c r="M56" s="268">
        <f>L56*K56</f>
        <v>33560000</v>
      </c>
      <c r="N56" s="211"/>
    </row>
    <row r="57" spans="1:14" s="18" customFormat="1" ht="60" outlineLevel="2">
      <c r="A57" s="263" t="s">
        <v>267</v>
      </c>
      <c r="B57" s="264" t="s">
        <v>268</v>
      </c>
      <c r="C57" s="265" t="s">
        <v>67</v>
      </c>
      <c r="D57" s="266">
        <v>1</v>
      </c>
      <c r="E57" s="267">
        <v>43240556</v>
      </c>
      <c r="F57" s="268">
        <f>E57*D57</f>
        <v>43240556</v>
      </c>
      <c r="G57" s="211"/>
      <c r="H57" s="263" t="s">
        <v>267</v>
      </c>
      <c r="I57" s="264" t="s">
        <v>268</v>
      </c>
      <c r="J57" s="265" t="s">
        <v>67</v>
      </c>
      <c r="K57" s="266">
        <v>1</v>
      </c>
      <c r="L57" s="267">
        <v>39870000</v>
      </c>
      <c r="M57" s="268">
        <f>L57*K57</f>
        <v>39870000</v>
      </c>
      <c r="N57" s="211"/>
    </row>
    <row r="58" spans="1:14" s="18" customFormat="1" ht="30" outlineLevel="2">
      <c r="A58" s="263" t="s">
        <v>269</v>
      </c>
      <c r="B58" s="264" t="s">
        <v>215</v>
      </c>
      <c r="C58" s="265" t="s">
        <v>67</v>
      </c>
      <c r="D58" s="266">
        <v>4</v>
      </c>
      <c r="E58" s="267">
        <v>3360971</v>
      </c>
      <c r="F58" s="268">
        <f t="shared" ref="F58:F85" si="4">E58*D58</f>
        <v>13443884</v>
      </c>
      <c r="G58" s="211"/>
      <c r="H58" s="263" t="s">
        <v>269</v>
      </c>
      <c r="I58" s="264" t="s">
        <v>215</v>
      </c>
      <c r="J58" s="265" t="s">
        <v>67</v>
      </c>
      <c r="K58" s="266">
        <v>4</v>
      </c>
      <c r="L58" s="267">
        <v>5320000</v>
      </c>
      <c r="M58" s="268">
        <f t="shared" ref="M58:M85" si="5">L58*K58</f>
        <v>21280000</v>
      </c>
      <c r="N58" s="211"/>
    </row>
    <row r="59" spans="1:14" s="18" customFormat="1" ht="15" outlineLevel="2">
      <c r="A59" s="263" t="s">
        <v>270</v>
      </c>
      <c r="B59" s="264" t="s">
        <v>217</v>
      </c>
      <c r="C59" s="265" t="s">
        <v>67</v>
      </c>
      <c r="D59" s="266">
        <v>4</v>
      </c>
      <c r="E59" s="267">
        <v>443078</v>
      </c>
      <c r="F59" s="268">
        <f t="shared" si="4"/>
        <v>1772312</v>
      </c>
      <c r="G59" s="211"/>
      <c r="H59" s="263" t="s">
        <v>270</v>
      </c>
      <c r="I59" s="264" t="s">
        <v>217</v>
      </c>
      <c r="J59" s="265" t="s">
        <v>67</v>
      </c>
      <c r="K59" s="266">
        <v>4</v>
      </c>
      <c r="L59" s="267">
        <v>320000</v>
      </c>
      <c r="M59" s="268">
        <f t="shared" si="5"/>
        <v>1280000</v>
      </c>
      <c r="N59" s="211"/>
    </row>
    <row r="60" spans="1:14" s="18" customFormat="1" ht="30" outlineLevel="2">
      <c r="A60" s="263" t="s">
        <v>271</v>
      </c>
      <c r="B60" s="264" t="s">
        <v>272</v>
      </c>
      <c r="C60" s="265" t="s">
        <v>67</v>
      </c>
      <c r="D60" s="266">
        <v>4</v>
      </c>
      <c r="E60" s="267">
        <v>1424582</v>
      </c>
      <c r="F60" s="268">
        <f t="shared" si="4"/>
        <v>5698328</v>
      </c>
      <c r="G60" s="211"/>
      <c r="H60" s="263" t="s">
        <v>271</v>
      </c>
      <c r="I60" s="264" t="s">
        <v>272</v>
      </c>
      <c r="J60" s="265" t="s">
        <v>67</v>
      </c>
      <c r="K60" s="266">
        <v>4</v>
      </c>
      <c r="L60" s="267">
        <v>1450000</v>
      </c>
      <c r="M60" s="268">
        <f t="shared" si="5"/>
        <v>5800000</v>
      </c>
      <c r="N60" s="211"/>
    </row>
    <row r="61" spans="1:14" s="18" customFormat="1" ht="30" outlineLevel="2">
      <c r="A61" s="263" t="s">
        <v>273</v>
      </c>
      <c r="B61" s="264" t="s">
        <v>274</v>
      </c>
      <c r="C61" s="265" t="s">
        <v>67</v>
      </c>
      <c r="D61" s="266">
        <v>9</v>
      </c>
      <c r="E61" s="267">
        <v>1526428</v>
      </c>
      <c r="F61" s="268">
        <f t="shared" si="4"/>
        <v>13737852</v>
      </c>
      <c r="G61" s="211"/>
      <c r="H61" s="263" t="s">
        <v>273</v>
      </c>
      <c r="I61" s="264" t="s">
        <v>274</v>
      </c>
      <c r="J61" s="265" t="s">
        <v>67</v>
      </c>
      <c r="K61" s="266">
        <v>9</v>
      </c>
      <c r="L61" s="267">
        <v>1650000</v>
      </c>
      <c r="M61" s="268">
        <f t="shared" si="5"/>
        <v>14850000</v>
      </c>
      <c r="N61" s="211"/>
    </row>
    <row r="62" spans="1:14" s="18" customFormat="1" ht="30" outlineLevel="2">
      <c r="A62" s="263" t="s">
        <v>275</v>
      </c>
      <c r="B62" s="264" t="s">
        <v>276</v>
      </c>
      <c r="C62" s="265" t="s">
        <v>67</v>
      </c>
      <c r="D62" s="266">
        <v>3</v>
      </c>
      <c r="E62" s="267">
        <v>6219052</v>
      </c>
      <c r="F62" s="268">
        <f t="shared" si="4"/>
        <v>18657156</v>
      </c>
      <c r="G62" s="211"/>
      <c r="H62" s="263" t="s">
        <v>275</v>
      </c>
      <c r="I62" s="264" t="s">
        <v>276</v>
      </c>
      <c r="J62" s="265" t="s">
        <v>67</v>
      </c>
      <c r="K62" s="266">
        <v>3</v>
      </c>
      <c r="L62" s="267">
        <v>4200000</v>
      </c>
      <c r="M62" s="268">
        <f t="shared" si="5"/>
        <v>12600000</v>
      </c>
      <c r="N62" s="211"/>
    </row>
    <row r="63" spans="1:14" s="18" customFormat="1" ht="15" outlineLevel="2">
      <c r="A63" s="263" t="s">
        <v>277</v>
      </c>
      <c r="B63" s="264" t="s">
        <v>219</v>
      </c>
      <c r="C63" s="265" t="s">
        <v>220</v>
      </c>
      <c r="D63" s="266">
        <v>58</v>
      </c>
      <c r="E63" s="267">
        <v>133382</v>
      </c>
      <c r="F63" s="268">
        <f t="shared" si="4"/>
        <v>7736156</v>
      </c>
      <c r="G63" s="211"/>
      <c r="H63" s="263" t="s">
        <v>277</v>
      </c>
      <c r="I63" s="264" t="s">
        <v>219</v>
      </c>
      <c r="J63" s="265" t="s">
        <v>220</v>
      </c>
      <c r="K63" s="266">
        <v>58</v>
      </c>
      <c r="L63" s="267">
        <v>76200</v>
      </c>
      <c r="M63" s="268">
        <f t="shared" si="5"/>
        <v>4419600</v>
      </c>
      <c r="N63" s="211"/>
    </row>
    <row r="64" spans="1:14" s="18" customFormat="1" ht="15" outlineLevel="2">
      <c r="A64" s="263" t="s">
        <v>278</v>
      </c>
      <c r="B64" s="264" t="s">
        <v>222</v>
      </c>
      <c r="C64" s="265" t="s">
        <v>220</v>
      </c>
      <c r="D64" s="266">
        <v>10</v>
      </c>
      <c r="E64" s="267">
        <v>103469</v>
      </c>
      <c r="F64" s="268">
        <f t="shared" si="4"/>
        <v>1034690</v>
      </c>
      <c r="G64" s="211"/>
      <c r="H64" s="263" t="s">
        <v>278</v>
      </c>
      <c r="I64" s="264" t="s">
        <v>222</v>
      </c>
      <c r="J64" s="265" t="s">
        <v>220</v>
      </c>
      <c r="K64" s="266">
        <v>10</v>
      </c>
      <c r="L64" s="267">
        <v>51100</v>
      </c>
      <c r="M64" s="268">
        <f t="shared" si="5"/>
        <v>511000</v>
      </c>
      <c r="N64" s="211"/>
    </row>
    <row r="65" spans="1:14" s="18" customFormat="1" ht="15" outlineLevel="2">
      <c r="A65" s="263" t="s">
        <v>279</v>
      </c>
      <c r="B65" s="264" t="s">
        <v>224</v>
      </c>
      <c r="C65" s="265" t="s">
        <v>220</v>
      </c>
      <c r="D65" s="266">
        <f>10+5</f>
        <v>15</v>
      </c>
      <c r="E65" s="267">
        <v>90240</v>
      </c>
      <c r="F65" s="268">
        <f t="shared" si="4"/>
        <v>1353600</v>
      </c>
      <c r="G65" s="211"/>
      <c r="H65" s="263" t="s">
        <v>279</v>
      </c>
      <c r="I65" s="264" t="s">
        <v>224</v>
      </c>
      <c r="J65" s="265" t="s">
        <v>220</v>
      </c>
      <c r="K65" s="266">
        <f>10+5</f>
        <v>15</v>
      </c>
      <c r="L65" s="267">
        <v>48100</v>
      </c>
      <c r="M65" s="268">
        <f t="shared" si="5"/>
        <v>721500</v>
      </c>
      <c r="N65" s="211"/>
    </row>
    <row r="66" spans="1:14" s="18" customFormat="1" ht="15" outlineLevel="2">
      <c r="A66" s="263" t="s">
        <v>280</v>
      </c>
      <c r="B66" s="264" t="s">
        <v>226</v>
      </c>
      <c r="C66" s="265" t="s">
        <v>220</v>
      </c>
      <c r="D66" s="266">
        <v>15</v>
      </c>
      <c r="E66" s="267">
        <v>73026</v>
      </c>
      <c r="F66" s="268">
        <f t="shared" si="4"/>
        <v>1095390</v>
      </c>
      <c r="G66" s="211"/>
      <c r="H66" s="263" t="s">
        <v>280</v>
      </c>
      <c r="I66" s="264" t="s">
        <v>226</v>
      </c>
      <c r="J66" s="265" t="s">
        <v>220</v>
      </c>
      <c r="K66" s="266">
        <v>15</v>
      </c>
      <c r="L66" s="267">
        <v>41200</v>
      </c>
      <c r="M66" s="268">
        <f t="shared" si="5"/>
        <v>618000</v>
      </c>
      <c r="N66" s="211"/>
    </row>
    <row r="67" spans="1:14" s="18" customFormat="1" ht="15" outlineLevel="2">
      <c r="A67" s="263" t="s">
        <v>281</v>
      </c>
      <c r="B67" s="264" t="s">
        <v>228</v>
      </c>
      <c r="C67" s="265" t="s">
        <v>220</v>
      </c>
      <c r="D67" s="266">
        <f>25+10+58</f>
        <v>93</v>
      </c>
      <c r="E67" s="267">
        <v>58918</v>
      </c>
      <c r="F67" s="268">
        <f t="shared" si="4"/>
        <v>5479374</v>
      </c>
      <c r="G67" s="211"/>
      <c r="H67" s="263" t="s">
        <v>281</v>
      </c>
      <c r="I67" s="264" t="s">
        <v>228</v>
      </c>
      <c r="J67" s="265" t="s">
        <v>220</v>
      </c>
      <c r="K67" s="266">
        <f>25+10+58</f>
        <v>93</v>
      </c>
      <c r="L67" s="267">
        <v>35000</v>
      </c>
      <c r="M67" s="268">
        <f t="shared" si="5"/>
        <v>3255000</v>
      </c>
      <c r="N67" s="211"/>
    </row>
    <row r="68" spans="1:14" s="18" customFormat="1" ht="15" outlineLevel="2">
      <c r="A68" s="263" t="s">
        <v>282</v>
      </c>
      <c r="B68" s="264" t="s">
        <v>230</v>
      </c>
      <c r="C68" s="265" t="s">
        <v>220</v>
      </c>
      <c r="D68" s="266">
        <f>28+10</f>
        <v>38</v>
      </c>
      <c r="E68" s="267">
        <v>52264</v>
      </c>
      <c r="F68" s="268">
        <f t="shared" si="4"/>
        <v>1986032</v>
      </c>
      <c r="G68" s="211"/>
      <c r="H68" s="263" t="s">
        <v>282</v>
      </c>
      <c r="I68" s="264" t="s">
        <v>230</v>
      </c>
      <c r="J68" s="265" t="s">
        <v>220</v>
      </c>
      <c r="K68" s="266">
        <f>28+10</f>
        <v>38</v>
      </c>
      <c r="L68" s="267">
        <v>28700</v>
      </c>
      <c r="M68" s="268">
        <f t="shared" si="5"/>
        <v>1090600</v>
      </c>
      <c r="N68" s="211"/>
    </row>
    <row r="69" spans="1:14" s="18" customFormat="1" ht="15" outlineLevel="2">
      <c r="A69" s="263" t="s">
        <v>283</v>
      </c>
      <c r="B69" s="264" t="s">
        <v>232</v>
      </c>
      <c r="C69" s="265" t="s">
        <v>220</v>
      </c>
      <c r="D69" s="266">
        <f>5+5</f>
        <v>10</v>
      </c>
      <c r="E69" s="267">
        <v>46246</v>
      </c>
      <c r="F69" s="268">
        <f t="shared" si="4"/>
        <v>462460</v>
      </c>
      <c r="G69" s="211"/>
      <c r="H69" s="263" t="s">
        <v>283</v>
      </c>
      <c r="I69" s="264" t="s">
        <v>232</v>
      </c>
      <c r="J69" s="265" t="s">
        <v>220</v>
      </c>
      <c r="K69" s="266">
        <f>5+5</f>
        <v>10</v>
      </c>
      <c r="L69" s="267">
        <v>21300</v>
      </c>
      <c r="M69" s="268">
        <f t="shared" si="5"/>
        <v>213000</v>
      </c>
      <c r="N69" s="211"/>
    </row>
    <row r="70" spans="1:14" s="18" customFormat="1" ht="15" outlineLevel="2">
      <c r="A70" s="263" t="s">
        <v>284</v>
      </c>
      <c r="B70" s="264" t="s">
        <v>234</v>
      </c>
      <c r="C70" s="265" t="s">
        <v>220</v>
      </c>
      <c r="D70" s="266">
        <f>28+25+15</f>
        <v>68</v>
      </c>
      <c r="E70" s="267">
        <v>38572</v>
      </c>
      <c r="F70" s="268">
        <f t="shared" si="4"/>
        <v>2622896</v>
      </c>
      <c r="G70" s="211"/>
      <c r="H70" s="263" t="s">
        <v>284</v>
      </c>
      <c r="I70" s="264" t="s">
        <v>234</v>
      </c>
      <c r="J70" s="265" t="s">
        <v>220</v>
      </c>
      <c r="K70" s="266">
        <f>28+25+15</f>
        <v>68</v>
      </c>
      <c r="L70" s="267">
        <v>19800</v>
      </c>
      <c r="M70" s="268">
        <f t="shared" si="5"/>
        <v>1346400</v>
      </c>
      <c r="N70" s="211"/>
    </row>
    <row r="71" spans="1:14" s="18" customFormat="1" ht="15" outlineLevel="2">
      <c r="A71" s="263" t="s">
        <v>285</v>
      </c>
      <c r="B71" s="264" t="s">
        <v>286</v>
      </c>
      <c r="C71" s="265" t="s">
        <v>220</v>
      </c>
      <c r="D71" s="266">
        <v>5</v>
      </c>
      <c r="E71" s="267">
        <v>33787</v>
      </c>
      <c r="F71" s="268">
        <f t="shared" si="4"/>
        <v>168935</v>
      </c>
      <c r="G71" s="211"/>
      <c r="H71" s="263" t="s">
        <v>285</v>
      </c>
      <c r="I71" s="264" t="s">
        <v>286</v>
      </c>
      <c r="J71" s="265" t="s">
        <v>220</v>
      </c>
      <c r="K71" s="266">
        <v>5</v>
      </c>
      <c r="L71" s="267">
        <v>15000</v>
      </c>
      <c r="M71" s="268">
        <f t="shared" si="5"/>
        <v>75000</v>
      </c>
      <c r="N71" s="211"/>
    </row>
    <row r="72" spans="1:14" s="18" customFormat="1" ht="30" outlineLevel="2">
      <c r="A72" s="263" t="s">
        <v>287</v>
      </c>
      <c r="B72" s="264" t="s">
        <v>236</v>
      </c>
      <c r="C72" s="265" t="s">
        <v>67</v>
      </c>
      <c r="D72" s="266">
        <v>6</v>
      </c>
      <c r="E72" s="267">
        <v>560191</v>
      </c>
      <c r="F72" s="268">
        <f t="shared" si="4"/>
        <v>3361146</v>
      </c>
      <c r="G72" s="211"/>
      <c r="H72" s="263" t="s">
        <v>287</v>
      </c>
      <c r="I72" s="264" t="s">
        <v>236</v>
      </c>
      <c r="J72" s="265" t="s">
        <v>67</v>
      </c>
      <c r="K72" s="266">
        <v>6</v>
      </c>
      <c r="L72" s="267">
        <v>350000</v>
      </c>
      <c r="M72" s="268">
        <f t="shared" si="5"/>
        <v>2100000</v>
      </c>
      <c r="N72" s="211"/>
    </row>
    <row r="73" spans="1:14" s="18" customFormat="1" ht="30" outlineLevel="2">
      <c r="A73" s="263" t="s">
        <v>288</v>
      </c>
      <c r="B73" s="264" t="s">
        <v>238</v>
      </c>
      <c r="C73" s="265" t="s">
        <v>67</v>
      </c>
      <c r="D73" s="266">
        <v>6</v>
      </c>
      <c r="E73" s="267">
        <v>448121</v>
      </c>
      <c r="F73" s="268">
        <f t="shared" si="4"/>
        <v>2688726</v>
      </c>
      <c r="G73" s="211"/>
      <c r="H73" s="263" t="s">
        <v>288</v>
      </c>
      <c r="I73" s="264" t="s">
        <v>238</v>
      </c>
      <c r="J73" s="265" t="s">
        <v>67</v>
      </c>
      <c r="K73" s="266">
        <v>6</v>
      </c>
      <c r="L73" s="267">
        <v>280000</v>
      </c>
      <c r="M73" s="268">
        <f t="shared" si="5"/>
        <v>1680000</v>
      </c>
      <c r="N73" s="211"/>
    </row>
    <row r="74" spans="1:14" s="18" customFormat="1" ht="30" outlineLevel="2">
      <c r="A74" s="263" t="s">
        <v>289</v>
      </c>
      <c r="B74" s="264" t="s">
        <v>240</v>
      </c>
      <c r="C74" s="265" t="s">
        <v>67</v>
      </c>
      <c r="D74" s="266">
        <v>3</v>
      </c>
      <c r="E74" s="267">
        <v>400275</v>
      </c>
      <c r="F74" s="268">
        <f t="shared" si="4"/>
        <v>1200825</v>
      </c>
      <c r="G74" s="211"/>
      <c r="H74" s="263" t="s">
        <v>289</v>
      </c>
      <c r="I74" s="264" t="s">
        <v>240</v>
      </c>
      <c r="J74" s="265" t="s">
        <v>67</v>
      </c>
      <c r="K74" s="266">
        <v>3</v>
      </c>
      <c r="L74" s="267">
        <v>180000</v>
      </c>
      <c r="M74" s="268">
        <f t="shared" si="5"/>
        <v>540000</v>
      </c>
      <c r="N74" s="211"/>
    </row>
    <row r="75" spans="1:14" s="18" customFormat="1" ht="30" outlineLevel="2">
      <c r="A75" s="263" t="s">
        <v>290</v>
      </c>
      <c r="B75" s="264" t="s">
        <v>291</v>
      </c>
      <c r="C75" s="265" t="s">
        <v>67</v>
      </c>
      <c r="D75" s="266">
        <v>3</v>
      </c>
      <c r="E75" s="267">
        <v>400275</v>
      </c>
      <c r="F75" s="268">
        <f t="shared" si="4"/>
        <v>1200825</v>
      </c>
      <c r="G75" s="211"/>
      <c r="H75" s="263" t="s">
        <v>290</v>
      </c>
      <c r="I75" s="264" t="s">
        <v>291</v>
      </c>
      <c r="J75" s="265" t="s">
        <v>67</v>
      </c>
      <c r="K75" s="266">
        <v>3</v>
      </c>
      <c r="L75" s="267">
        <v>124541</v>
      </c>
      <c r="M75" s="268">
        <f t="shared" si="5"/>
        <v>373623</v>
      </c>
      <c r="N75" s="211"/>
    </row>
    <row r="76" spans="1:14" s="18" customFormat="1" ht="30" outlineLevel="2">
      <c r="A76" s="263" t="s">
        <v>292</v>
      </c>
      <c r="B76" s="264" t="s">
        <v>293</v>
      </c>
      <c r="C76" s="265" t="s">
        <v>67</v>
      </c>
      <c r="D76" s="266">
        <v>1</v>
      </c>
      <c r="E76" s="267">
        <v>496150</v>
      </c>
      <c r="F76" s="268">
        <f t="shared" si="4"/>
        <v>496150</v>
      </c>
      <c r="G76" s="211"/>
      <c r="H76" s="263" t="s">
        <v>292</v>
      </c>
      <c r="I76" s="264" t="s">
        <v>293</v>
      </c>
      <c r="J76" s="265" t="s">
        <v>67</v>
      </c>
      <c r="K76" s="266">
        <v>1</v>
      </c>
      <c r="L76" s="267">
        <v>335000</v>
      </c>
      <c r="M76" s="268">
        <f t="shared" si="5"/>
        <v>335000</v>
      </c>
      <c r="N76" s="211"/>
    </row>
    <row r="77" spans="1:14" s="18" customFormat="1" ht="30" outlineLevel="2">
      <c r="A77" s="263" t="s">
        <v>294</v>
      </c>
      <c r="B77" s="264" t="s">
        <v>242</v>
      </c>
      <c r="C77" s="265" t="s">
        <v>67</v>
      </c>
      <c r="D77" s="266">
        <v>2</v>
      </c>
      <c r="E77" s="267">
        <v>496150</v>
      </c>
      <c r="F77" s="268">
        <f t="shared" si="4"/>
        <v>992300</v>
      </c>
      <c r="G77" s="211"/>
      <c r="H77" s="263" t="s">
        <v>294</v>
      </c>
      <c r="I77" s="264" t="s">
        <v>242</v>
      </c>
      <c r="J77" s="265" t="s">
        <v>67</v>
      </c>
      <c r="K77" s="266">
        <v>2</v>
      </c>
      <c r="L77" s="267">
        <v>290000</v>
      </c>
      <c r="M77" s="268">
        <f t="shared" si="5"/>
        <v>580000</v>
      </c>
      <c r="N77" s="211"/>
    </row>
    <row r="78" spans="1:14" s="18" customFormat="1" ht="15" outlineLevel="2">
      <c r="A78" s="263" t="s">
        <v>295</v>
      </c>
      <c r="B78" s="264" t="s">
        <v>244</v>
      </c>
      <c r="C78" s="265" t="s">
        <v>245</v>
      </c>
      <c r="D78" s="266">
        <f>43+31</f>
        <v>74</v>
      </c>
      <c r="E78" s="267">
        <v>20716</v>
      </c>
      <c r="F78" s="268">
        <f t="shared" si="4"/>
        <v>1532984</v>
      </c>
      <c r="G78" s="211"/>
      <c r="H78" s="263" t="s">
        <v>295</v>
      </c>
      <c r="I78" s="264" t="s">
        <v>244</v>
      </c>
      <c r="J78" s="265" t="s">
        <v>245</v>
      </c>
      <c r="K78" s="266">
        <f>43+31</f>
        <v>74</v>
      </c>
      <c r="L78" s="267">
        <v>23200</v>
      </c>
      <c r="M78" s="268">
        <f t="shared" si="5"/>
        <v>1716800</v>
      </c>
      <c r="N78" s="211"/>
    </row>
    <row r="79" spans="1:14" s="18" customFormat="1" ht="15" outlineLevel="2">
      <c r="A79" s="263" t="s">
        <v>296</v>
      </c>
      <c r="B79" s="264" t="s">
        <v>247</v>
      </c>
      <c r="C79" s="265" t="s">
        <v>67</v>
      </c>
      <c r="D79" s="266">
        <v>17</v>
      </c>
      <c r="E79" s="267">
        <v>214965</v>
      </c>
      <c r="F79" s="268">
        <f t="shared" si="4"/>
        <v>3654405</v>
      </c>
      <c r="G79" s="211"/>
      <c r="H79" s="263" t="s">
        <v>296</v>
      </c>
      <c r="I79" s="264" t="s">
        <v>247</v>
      </c>
      <c r="J79" s="265" t="s">
        <v>67</v>
      </c>
      <c r="K79" s="266">
        <v>17</v>
      </c>
      <c r="L79" s="267">
        <v>190000</v>
      </c>
      <c r="M79" s="268">
        <f t="shared" si="5"/>
        <v>3230000</v>
      </c>
      <c r="N79" s="211"/>
    </row>
    <row r="80" spans="1:14" s="18" customFormat="1" ht="15" outlineLevel="2">
      <c r="A80" s="263" t="s">
        <v>297</v>
      </c>
      <c r="B80" s="264" t="s">
        <v>298</v>
      </c>
      <c r="C80" s="265" t="s">
        <v>67</v>
      </c>
      <c r="D80" s="266">
        <v>3</v>
      </c>
      <c r="E80" s="267">
        <v>227032</v>
      </c>
      <c r="F80" s="268">
        <f t="shared" si="4"/>
        <v>681096</v>
      </c>
      <c r="G80" s="211"/>
      <c r="H80" s="263" t="s">
        <v>297</v>
      </c>
      <c r="I80" s="264" t="s">
        <v>298</v>
      </c>
      <c r="J80" s="265" t="s">
        <v>67</v>
      </c>
      <c r="K80" s="266">
        <v>3</v>
      </c>
      <c r="L80" s="267">
        <v>6200</v>
      </c>
      <c r="M80" s="268">
        <f t="shared" si="5"/>
        <v>18600</v>
      </c>
      <c r="N80" s="211"/>
    </row>
    <row r="81" spans="1:14" s="18" customFormat="1" ht="15" outlineLevel="2">
      <c r="A81" s="263" t="s">
        <v>299</v>
      </c>
      <c r="B81" s="264" t="s">
        <v>300</v>
      </c>
      <c r="C81" s="265" t="s">
        <v>67</v>
      </c>
      <c r="D81" s="266">
        <v>13</v>
      </c>
      <c r="E81" s="267">
        <v>464120</v>
      </c>
      <c r="F81" s="268">
        <f t="shared" si="4"/>
        <v>6033560</v>
      </c>
      <c r="G81" s="211"/>
      <c r="H81" s="263" t="s">
        <v>299</v>
      </c>
      <c r="I81" s="264" t="s">
        <v>300</v>
      </c>
      <c r="J81" s="265" t="s">
        <v>67</v>
      </c>
      <c r="K81" s="266">
        <v>13</v>
      </c>
      <c r="L81" s="267">
        <v>450000</v>
      </c>
      <c r="M81" s="268">
        <f t="shared" si="5"/>
        <v>5850000</v>
      </c>
      <c r="N81" s="211"/>
    </row>
    <row r="82" spans="1:14" s="18" customFormat="1" ht="15" outlineLevel="2">
      <c r="A82" s="263" t="s">
        <v>301</v>
      </c>
      <c r="B82" s="264" t="s">
        <v>249</v>
      </c>
      <c r="C82" s="265" t="s">
        <v>67</v>
      </c>
      <c r="D82" s="266">
        <v>240</v>
      </c>
      <c r="E82" s="267">
        <v>11603</v>
      </c>
      <c r="F82" s="268">
        <f t="shared" si="4"/>
        <v>2784720</v>
      </c>
      <c r="G82" s="211"/>
      <c r="H82" s="263" t="s">
        <v>301</v>
      </c>
      <c r="I82" s="264" t="s">
        <v>249</v>
      </c>
      <c r="J82" s="265" t="s">
        <v>67</v>
      </c>
      <c r="K82" s="266">
        <v>240</v>
      </c>
      <c r="L82" s="267">
        <v>6200</v>
      </c>
      <c r="M82" s="268">
        <f t="shared" si="5"/>
        <v>1488000</v>
      </c>
      <c r="N82" s="211"/>
    </row>
    <row r="83" spans="1:14" s="18" customFormat="1" ht="30" outlineLevel="2">
      <c r="A83" s="263" t="s">
        <v>302</v>
      </c>
      <c r="B83" s="264" t="s">
        <v>251</v>
      </c>
      <c r="C83" s="265" t="s">
        <v>220</v>
      </c>
      <c r="D83" s="266">
        <v>240</v>
      </c>
      <c r="E83" s="267">
        <v>19063</v>
      </c>
      <c r="F83" s="268">
        <f t="shared" si="4"/>
        <v>4575120</v>
      </c>
      <c r="G83" s="211"/>
      <c r="H83" s="263" t="s">
        <v>302</v>
      </c>
      <c r="I83" s="264" t="s">
        <v>251</v>
      </c>
      <c r="J83" s="265" t="s">
        <v>220</v>
      </c>
      <c r="K83" s="266">
        <v>240</v>
      </c>
      <c r="L83" s="267">
        <v>9800</v>
      </c>
      <c r="M83" s="268">
        <f t="shared" si="5"/>
        <v>2352000</v>
      </c>
      <c r="N83" s="211"/>
    </row>
    <row r="84" spans="1:14" s="18" customFormat="1" ht="30" outlineLevel="2">
      <c r="A84" s="263" t="s">
        <v>303</v>
      </c>
      <c r="B84" s="264" t="s">
        <v>253</v>
      </c>
      <c r="C84" s="265" t="s">
        <v>67</v>
      </c>
      <c r="D84" s="266">
        <v>23</v>
      </c>
      <c r="E84" s="267">
        <v>17017</v>
      </c>
      <c r="F84" s="268">
        <f t="shared" si="4"/>
        <v>391391</v>
      </c>
      <c r="G84" s="211"/>
      <c r="H84" s="263" t="s">
        <v>303</v>
      </c>
      <c r="I84" s="264" t="s">
        <v>253</v>
      </c>
      <c r="J84" s="265" t="s">
        <v>67</v>
      </c>
      <c r="K84" s="266">
        <v>23</v>
      </c>
      <c r="L84" s="267">
        <v>16300</v>
      </c>
      <c r="M84" s="268">
        <f t="shared" si="5"/>
        <v>374900</v>
      </c>
      <c r="N84" s="211"/>
    </row>
    <row r="85" spans="1:14" s="18" customFormat="1" ht="30" outlineLevel="2">
      <c r="A85" s="263" t="s">
        <v>304</v>
      </c>
      <c r="B85" s="264" t="s">
        <v>255</v>
      </c>
      <c r="C85" s="265" t="s">
        <v>220</v>
      </c>
      <c r="D85" s="266">
        <v>20</v>
      </c>
      <c r="E85" s="267">
        <v>66516</v>
      </c>
      <c r="F85" s="268">
        <f t="shared" si="4"/>
        <v>1330320</v>
      </c>
      <c r="G85" s="211"/>
      <c r="H85" s="263" t="s">
        <v>304</v>
      </c>
      <c r="I85" s="264" t="s">
        <v>255</v>
      </c>
      <c r="J85" s="265" t="s">
        <v>220</v>
      </c>
      <c r="K85" s="266">
        <v>20</v>
      </c>
      <c r="L85" s="267">
        <v>5600</v>
      </c>
      <c r="M85" s="268">
        <f t="shared" si="5"/>
        <v>112000</v>
      </c>
      <c r="N85" s="211"/>
    </row>
    <row r="86" spans="1:14" s="18" customFormat="1" ht="15" outlineLevel="2">
      <c r="A86" s="280" t="s">
        <v>305</v>
      </c>
      <c r="B86" s="275" t="s">
        <v>306</v>
      </c>
      <c r="C86" s="276"/>
      <c r="D86" s="277"/>
      <c r="E86" s="278"/>
      <c r="F86" s="279"/>
      <c r="G86" s="211"/>
      <c r="H86" s="280" t="s">
        <v>305</v>
      </c>
      <c r="I86" s="275" t="s">
        <v>306</v>
      </c>
      <c r="J86" s="276"/>
      <c r="K86" s="277"/>
      <c r="L86" s="278"/>
      <c r="M86" s="279"/>
      <c r="N86" s="211"/>
    </row>
    <row r="87" spans="1:14" s="18" customFormat="1" ht="15" outlineLevel="2">
      <c r="A87" s="263"/>
      <c r="B87" s="264" t="s">
        <v>307</v>
      </c>
      <c r="C87" s="265"/>
      <c r="D87" s="266"/>
      <c r="E87" s="281"/>
      <c r="F87" s="268"/>
      <c r="G87" s="211"/>
      <c r="H87" s="263"/>
      <c r="I87" s="264" t="s">
        <v>307</v>
      </c>
      <c r="J87" s="265"/>
      <c r="K87" s="266"/>
      <c r="L87" s="281"/>
      <c r="M87" s="268"/>
      <c r="N87" s="211"/>
    </row>
    <row r="88" spans="1:14" s="18" customFormat="1" ht="30" outlineLevel="2">
      <c r="A88" s="263" t="s">
        <v>308</v>
      </c>
      <c r="B88" s="264" t="s">
        <v>309</v>
      </c>
      <c r="C88" s="265" t="s">
        <v>310</v>
      </c>
      <c r="D88" s="266">
        <v>1245</v>
      </c>
      <c r="E88" s="267">
        <v>20639</v>
      </c>
      <c r="F88" s="268">
        <f t="shared" ref="F88:F100" si="6">E88*D88</f>
        <v>25695555</v>
      </c>
      <c r="G88" s="211"/>
      <c r="H88" s="263" t="s">
        <v>308</v>
      </c>
      <c r="I88" s="264" t="s">
        <v>309</v>
      </c>
      <c r="J88" s="265" t="s">
        <v>310</v>
      </c>
      <c r="K88" s="266">
        <v>1245</v>
      </c>
      <c r="L88" s="267">
        <v>16500</v>
      </c>
      <c r="M88" s="268">
        <f t="shared" ref="M88:M100" si="7">L88*K88</f>
        <v>20542500</v>
      </c>
      <c r="N88" s="211"/>
    </row>
    <row r="89" spans="1:14" s="18" customFormat="1" ht="15" outlineLevel="2">
      <c r="A89" s="263" t="s">
        <v>311</v>
      </c>
      <c r="B89" s="264" t="s">
        <v>312</v>
      </c>
      <c r="C89" s="265" t="s">
        <v>140</v>
      </c>
      <c r="D89" s="266">
        <v>237</v>
      </c>
      <c r="E89" s="267">
        <v>26147</v>
      </c>
      <c r="F89" s="268">
        <f t="shared" si="6"/>
        <v>6196839</v>
      </c>
      <c r="G89" s="211"/>
      <c r="H89" s="263" t="s">
        <v>311</v>
      </c>
      <c r="I89" s="264" t="s">
        <v>312</v>
      </c>
      <c r="J89" s="265" t="s">
        <v>140</v>
      </c>
      <c r="K89" s="266">
        <v>237</v>
      </c>
      <c r="L89" s="267">
        <v>6200</v>
      </c>
      <c r="M89" s="268">
        <f t="shared" si="7"/>
        <v>1469400</v>
      </c>
      <c r="N89" s="211"/>
    </row>
    <row r="90" spans="1:14" s="18" customFormat="1" ht="15" outlineLevel="2">
      <c r="A90" s="263" t="s">
        <v>313</v>
      </c>
      <c r="B90" s="264" t="s">
        <v>314</v>
      </c>
      <c r="C90" s="265" t="s">
        <v>315</v>
      </c>
      <c r="D90" s="266">
        <v>18</v>
      </c>
      <c r="E90" s="267">
        <v>166939</v>
      </c>
      <c r="F90" s="268">
        <f t="shared" si="6"/>
        <v>3004902</v>
      </c>
      <c r="G90" s="211"/>
      <c r="H90" s="263" t="s">
        <v>313</v>
      </c>
      <c r="I90" s="264" t="s">
        <v>314</v>
      </c>
      <c r="J90" s="265" t="s">
        <v>315</v>
      </c>
      <c r="K90" s="266">
        <v>18</v>
      </c>
      <c r="L90" s="267">
        <v>118900</v>
      </c>
      <c r="M90" s="268">
        <f t="shared" si="7"/>
        <v>2140200</v>
      </c>
      <c r="N90" s="211"/>
    </row>
    <row r="91" spans="1:14" s="18" customFormat="1" ht="15" outlineLevel="2">
      <c r="A91" s="263" t="s">
        <v>316</v>
      </c>
      <c r="B91" s="264" t="s">
        <v>317</v>
      </c>
      <c r="C91" s="265" t="s">
        <v>315</v>
      </c>
      <c r="D91" s="266">
        <v>6</v>
      </c>
      <c r="E91" s="267">
        <v>139724</v>
      </c>
      <c r="F91" s="268">
        <f t="shared" si="6"/>
        <v>838344</v>
      </c>
      <c r="G91" s="211"/>
      <c r="H91" s="263" t="s">
        <v>316</v>
      </c>
      <c r="I91" s="264" t="s">
        <v>317</v>
      </c>
      <c r="J91" s="265" t="s">
        <v>315</v>
      </c>
      <c r="K91" s="266">
        <v>6</v>
      </c>
      <c r="L91" s="267">
        <v>98900</v>
      </c>
      <c r="M91" s="268">
        <f t="shared" si="7"/>
        <v>593400</v>
      </c>
      <c r="N91" s="211"/>
    </row>
    <row r="92" spans="1:14" s="18" customFormat="1" ht="15" outlineLevel="2">
      <c r="A92" s="263" t="s">
        <v>318</v>
      </c>
      <c r="B92" s="264" t="s">
        <v>319</v>
      </c>
      <c r="C92" s="265" t="s">
        <v>315</v>
      </c>
      <c r="D92" s="266">
        <v>3</v>
      </c>
      <c r="E92" s="267">
        <v>95498</v>
      </c>
      <c r="F92" s="268">
        <f t="shared" si="6"/>
        <v>286494</v>
      </c>
      <c r="G92" s="211"/>
      <c r="H92" s="263" t="s">
        <v>318</v>
      </c>
      <c r="I92" s="264" t="s">
        <v>319</v>
      </c>
      <c r="J92" s="265" t="s">
        <v>315</v>
      </c>
      <c r="K92" s="266">
        <v>3</v>
      </c>
      <c r="L92" s="267">
        <v>98700</v>
      </c>
      <c r="M92" s="268">
        <f t="shared" si="7"/>
        <v>296100</v>
      </c>
      <c r="N92" s="211"/>
    </row>
    <row r="93" spans="1:14" s="18" customFormat="1" ht="15" outlineLevel="2">
      <c r="A93" s="263" t="s">
        <v>320</v>
      </c>
      <c r="B93" s="264" t="s">
        <v>321</v>
      </c>
      <c r="C93" s="265" t="s">
        <v>315</v>
      </c>
      <c r="D93" s="266">
        <v>12</v>
      </c>
      <c r="E93" s="267">
        <v>55627</v>
      </c>
      <c r="F93" s="268">
        <f t="shared" si="6"/>
        <v>667524</v>
      </c>
      <c r="G93" s="211"/>
      <c r="H93" s="263" t="s">
        <v>320</v>
      </c>
      <c r="I93" s="264" t="s">
        <v>321</v>
      </c>
      <c r="J93" s="265" t="s">
        <v>315</v>
      </c>
      <c r="K93" s="266">
        <v>12</v>
      </c>
      <c r="L93" s="267">
        <v>61200</v>
      </c>
      <c r="M93" s="268">
        <f t="shared" si="7"/>
        <v>734400</v>
      </c>
      <c r="N93" s="211"/>
    </row>
    <row r="94" spans="1:14" s="18" customFormat="1" ht="15" outlineLevel="2">
      <c r="A94" s="263" t="s">
        <v>322</v>
      </c>
      <c r="B94" s="264" t="s">
        <v>323</v>
      </c>
      <c r="C94" s="265" t="s">
        <v>315</v>
      </c>
      <c r="D94" s="266">
        <v>3</v>
      </c>
      <c r="E94" s="267">
        <v>467813</v>
      </c>
      <c r="F94" s="268">
        <f t="shared" si="6"/>
        <v>1403439</v>
      </c>
      <c r="G94" s="211"/>
      <c r="H94" s="263" t="s">
        <v>322</v>
      </c>
      <c r="I94" s="264" t="s">
        <v>323</v>
      </c>
      <c r="J94" s="265" t="s">
        <v>315</v>
      </c>
      <c r="K94" s="266">
        <v>3</v>
      </c>
      <c r="L94" s="267">
        <v>320000</v>
      </c>
      <c r="M94" s="268">
        <f t="shared" si="7"/>
        <v>960000</v>
      </c>
      <c r="N94" s="211"/>
    </row>
    <row r="95" spans="1:14" s="18" customFormat="1" ht="15" outlineLevel="2">
      <c r="A95" s="263" t="s">
        <v>324</v>
      </c>
      <c r="B95" s="264" t="s">
        <v>325</v>
      </c>
      <c r="C95" s="265" t="s">
        <v>315</v>
      </c>
      <c r="D95" s="266">
        <v>3</v>
      </c>
      <c r="E95" s="267">
        <v>376683</v>
      </c>
      <c r="F95" s="268">
        <f t="shared" si="6"/>
        <v>1130049</v>
      </c>
      <c r="G95" s="211"/>
      <c r="H95" s="263" t="s">
        <v>324</v>
      </c>
      <c r="I95" s="264" t="s">
        <v>325</v>
      </c>
      <c r="J95" s="265" t="s">
        <v>315</v>
      </c>
      <c r="K95" s="266">
        <v>3</v>
      </c>
      <c r="L95" s="267">
        <v>161200</v>
      </c>
      <c r="M95" s="268">
        <f t="shared" si="7"/>
        <v>483600</v>
      </c>
      <c r="N95" s="211"/>
    </row>
    <row r="96" spans="1:14" s="18" customFormat="1" ht="15" outlineLevel="2">
      <c r="A96" s="263" t="s">
        <v>326</v>
      </c>
      <c r="B96" s="264" t="s">
        <v>327</v>
      </c>
      <c r="C96" s="265" t="s">
        <v>315</v>
      </c>
      <c r="D96" s="266">
        <v>3</v>
      </c>
      <c r="E96" s="267">
        <v>629968</v>
      </c>
      <c r="F96" s="268">
        <f t="shared" si="6"/>
        <v>1889904</v>
      </c>
      <c r="G96" s="211"/>
      <c r="H96" s="263" t="s">
        <v>326</v>
      </c>
      <c r="I96" s="264" t="s">
        <v>327</v>
      </c>
      <c r="J96" s="265" t="s">
        <v>315</v>
      </c>
      <c r="K96" s="266">
        <v>3</v>
      </c>
      <c r="L96" s="267">
        <v>230000</v>
      </c>
      <c r="M96" s="268">
        <f t="shared" si="7"/>
        <v>690000</v>
      </c>
      <c r="N96" s="211"/>
    </row>
    <row r="97" spans="1:14" s="18" customFormat="1" ht="15" outlineLevel="2">
      <c r="A97" s="263" t="s">
        <v>328</v>
      </c>
      <c r="B97" s="264" t="s">
        <v>329</v>
      </c>
      <c r="C97" s="265" t="s">
        <v>262</v>
      </c>
      <c r="D97" s="266">
        <v>1</v>
      </c>
      <c r="E97" s="267">
        <v>773500</v>
      </c>
      <c r="F97" s="268">
        <f t="shared" si="6"/>
        <v>773500</v>
      </c>
      <c r="G97" s="211"/>
      <c r="H97" s="263" t="s">
        <v>328</v>
      </c>
      <c r="I97" s="264" t="s">
        <v>329</v>
      </c>
      <c r="J97" s="265" t="s">
        <v>262</v>
      </c>
      <c r="K97" s="266">
        <v>1</v>
      </c>
      <c r="L97" s="267">
        <v>800000</v>
      </c>
      <c r="M97" s="268">
        <f t="shared" si="7"/>
        <v>800000</v>
      </c>
      <c r="N97" s="211"/>
    </row>
    <row r="98" spans="1:14" s="18" customFormat="1" ht="30" outlineLevel="2">
      <c r="A98" s="263" t="s">
        <v>330</v>
      </c>
      <c r="B98" s="264" t="s">
        <v>257</v>
      </c>
      <c r="C98" s="265" t="s">
        <v>220</v>
      </c>
      <c r="D98" s="266">
        <v>139</v>
      </c>
      <c r="E98" s="267">
        <v>39449</v>
      </c>
      <c r="F98" s="268">
        <f t="shared" si="6"/>
        <v>5483411</v>
      </c>
      <c r="G98" s="211"/>
      <c r="H98" s="263" t="s">
        <v>330</v>
      </c>
      <c r="I98" s="264" t="s">
        <v>257</v>
      </c>
      <c r="J98" s="265" t="s">
        <v>220</v>
      </c>
      <c r="K98" s="266">
        <v>139</v>
      </c>
      <c r="L98" s="267">
        <v>29800</v>
      </c>
      <c r="M98" s="268">
        <f t="shared" si="7"/>
        <v>4142200</v>
      </c>
      <c r="N98" s="211"/>
    </row>
    <row r="99" spans="1:14" s="18" customFormat="1" ht="15" outlineLevel="2">
      <c r="A99" s="263" t="s">
        <v>331</v>
      </c>
      <c r="B99" s="264" t="s">
        <v>259</v>
      </c>
      <c r="C99" s="265" t="s">
        <v>67</v>
      </c>
      <c r="D99" s="266">
        <v>1</v>
      </c>
      <c r="E99" s="267">
        <v>4377214</v>
      </c>
      <c r="F99" s="268">
        <f t="shared" si="6"/>
        <v>4377214</v>
      </c>
      <c r="G99" s="211"/>
      <c r="H99" s="263" t="s">
        <v>331</v>
      </c>
      <c r="I99" s="264" t="s">
        <v>259</v>
      </c>
      <c r="J99" s="265" t="s">
        <v>67</v>
      </c>
      <c r="K99" s="266">
        <v>1</v>
      </c>
      <c r="L99" s="267">
        <v>2200000</v>
      </c>
      <c r="M99" s="268">
        <f t="shared" si="7"/>
        <v>2200000</v>
      </c>
      <c r="N99" s="211"/>
    </row>
    <row r="100" spans="1:14" s="18" customFormat="1" ht="30.75" outlineLevel="2" thickBot="1">
      <c r="A100" s="263" t="s">
        <v>332</v>
      </c>
      <c r="B100" s="264" t="s">
        <v>261</v>
      </c>
      <c r="C100" s="265" t="s">
        <v>262</v>
      </c>
      <c r="D100" s="266">
        <v>1</v>
      </c>
      <c r="E100" s="267">
        <v>53000000</v>
      </c>
      <c r="F100" s="268">
        <f t="shared" si="6"/>
        <v>53000000</v>
      </c>
      <c r="G100" s="211"/>
      <c r="H100" s="263" t="s">
        <v>332</v>
      </c>
      <c r="I100" s="264" t="s">
        <v>261</v>
      </c>
      <c r="J100" s="265" t="s">
        <v>262</v>
      </c>
      <c r="K100" s="266">
        <v>1</v>
      </c>
      <c r="L100" s="267">
        <v>10000000</v>
      </c>
      <c r="M100" s="268">
        <f t="shared" si="7"/>
        <v>10000000</v>
      </c>
      <c r="N100" s="211"/>
    </row>
    <row r="101" spans="1:14" s="18" customFormat="1" ht="16.5" outlineLevel="2" thickTop="1" thickBot="1">
      <c r="A101" s="233" t="s">
        <v>77</v>
      </c>
      <c r="B101" s="234" t="s">
        <v>333</v>
      </c>
      <c r="C101" s="235"/>
      <c r="D101" s="236"/>
      <c r="E101" s="237"/>
      <c r="F101" s="238"/>
      <c r="G101" s="211"/>
      <c r="H101" s="233" t="s">
        <v>77</v>
      </c>
      <c r="I101" s="234" t="s">
        <v>333</v>
      </c>
      <c r="J101" s="235"/>
      <c r="K101" s="236"/>
      <c r="L101" s="237"/>
      <c r="M101" s="238"/>
      <c r="N101" s="211"/>
    </row>
    <row r="102" spans="1:14" s="18" customFormat="1" ht="15.75" outlineLevel="2" thickTop="1">
      <c r="A102" s="280" t="s">
        <v>64</v>
      </c>
      <c r="B102" s="275" t="s">
        <v>334</v>
      </c>
      <c r="C102" s="276" t="s">
        <v>138</v>
      </c>
      <c r="D102" s="277"/>
      <c r="E102" s="278"/>
      <c r="F102" s="279"/>
      <c r="G102" s="211"/>
      <c r="H102" s="280" t="s">
        <v>64</v>
      </c>
      <c r="I102" s="275" t="s">
        <v>334</v>
      </c>
      <c r="J102" s="276" t="s">
        <v>138</v>
      </c>
      <c r="K102" s="277"/>
      <c r="L102" s="278"/>
      <c r="M102" s="279"/>
      <c r="N102" s="211"/>
    </row>
    <row r="103" spans="1:14" s="18" customFormat="1" ht="60" outlineLevel="2">
      <c r="A103" s="263" t="s">
        <v>80</v>
      </c>
      <c r="B103" s="282" t="s">
        <v>335</v>
      </c>
      <c r="C103" s="265" t="s">
        <v>336</v>
      </c>
      <c r="D103" s="266">
        <v>8</v>
      </c>
      <c r="E103" s="267">
        <v>161433</v>
      </c>
      <c r="F103" s="268">
        <f>+D103*E103</f>
        <v>1291464</v>
      </c>
      <c r="G103" s="211"/>
      <c r="H103" s="263" t="s">
        <v>80</v>
      </c>
      <c r="I103" s="282" t="s">
        <v>335</v>
      </c>
      <c r="J103" s="265" t="s">
        <v>336</v>
      </c>
      <c r="K103" s="266">
        <v>8</v>
      </c>
      <c r="L103" s="267">
        <v>123200</v>
      </c>
      <c r="M103" s="268">
        <f>+K103*L103</f>
        <v>985600</v>
      </c>
      <c r="N103" s="211"/>
    </row>
    <row r="104" spans="1:14" s="18" customFormat="1" ht="60" outlineLevel="2">
      <c r="A104" s="263" t="s">
        <v>337</v>
      </c>
      <c r="B104" s="282" t="s">
        <v>338</v>
      </c>
      <c r="C104" s="265" t="s">
        <v>336</v>
      </c>
      <c r="D104" s="266">
        <v>2</v>
      </c>
      <c r="E104" s="267">
        <v>161433</v>
      </c>
      <c r="F104" s="268">
        <f>+D104*E104</f>
        <v>322866</v>
      </c>
      <c r="G104" s="211"/>
      <c r="H104" s="263" t="s">
        <v>337</v>
      </c>
      <c r="I104" s="282" t="s">
        <v>338</v>
      </c>
      <c r="J104" s="265" t="s">
        <v>336</v>
      </c>
      <c r="K104" s="266">
        <v>2</v>
      </c>
      <c r="L104" s="267">
        <v>123200</v>
      </c>
      <c r="M104" s="268">
        <f>+K104*L104</f>
        <v>246400</v>
      </c>
      <c r="N104" s="211"/>
    </row>
    <row r="105" spans="1:14" s="18" customFormat="1" ht="15" outlineLevel="2">
      <c r="A105" s="280" t="s">
        <v>339</v>
      </c>
      <c r="B105" s="275" t="s">
        <v>340</v>
      </c>
      <c r="C105" s="276" t="s">
        <v>138</v>
      </c>
      <c r="D105" s="277"/>
      <c r="E105" s="278"/>
      <c r="F105" s="279"/>
      <c r="G105" s="211"/>
      <c r="H105" s="280" t="s">
        <v>339</v>
      </c>
      <c r="I105" s="275" t="s">
        <v>340</v>
      </c>
      <c r="J105" s="276" t="s">
        <v>138</v>
      </c>
      <c r="K105" s="277"/>
      <c r="L105" s="278"/>
      <c r="M105" s="279"/>
      <c r="N105" s="211"/>
    </row>
    <row r="106" spans="1:14" s="18" customFormat="1" ht="30" outlineLevel="2">
      <c r="A106" s="263" t="s">
        <v>341</v>
      </c>
      <c r="B106" s="264" t="s">
        <v>342</v>
      </c>
      <c r="C106" s="265" t="s">
        <v>150</v>
      </c>
      <c r="D106" s="266">
        <v>950</v>
      </c>
      <c r="E106" s="267">
        <v>3597</v>
      </c>
      <c r="F106" s="268">
        <f t="shared" ref="F106:F128" si="8">+D106*E106</f>
        <v>3417150</v>
      </c>
      <c r="G106" s="211"/>
      <c r="H106" s="263" t="s">
        <v>341</v>
      </c>
      <c r="I106" s="264" t="s">
        <v>342</v>
      </c>
      <c r="J106" s="265" t="s">
        <v>150</v>
      </c>
      <c r="K106" s="266">
        <v>950</v>
      </c>
      <c r="L106" s="267">
        <v>6800</v>
      </c>
      <c r="M106" s="268">
        <f t="shared" ref="M106:M126" si="9">+K106*L106</f>
        <v>6460000</v>
      </c>
      <c r="N106" s="211"/>
    </row>
    <row r="107" spans="1:14" s="18" customFormat="1" ht="30" outlineLevel="2">
      <c r="A107" s="263" t="s">
        <v>343</v>
      </c>
      <c r="B107" s="264" t="s">
        <v>344</v>
      </c>
      <c r="C107" s="265" t="s">
        <v>150</v>
      </c>
      <c r="D107" s="266">
        <v>450</v>
      </c>
      <c r="E107" s="267">
        <v>4795</v>
      </c>
      <c r="F107" s="268">
        <f t="shared" si="8"/>
        <v>2157750</v>
      </c>
      <c r="G107" s="211"/>
      <c r="H107" s="263" t="s">
        <v>343</v>
      </c>
      <c r="I107" s="264" t="s">
        <v>344</v>
      </c>
      <c r="J107" s="265" t="s">
        <v>150</v>
      </c>
      <c r="K107" s="266">
        <v>450</v>
      </c>
      <c r="L107" s="267">
        <v>8100</v>
      </c>
      <c r="M107" s="268">
        <f t="shared" si="9"/>
        <v>3645000</v>
      </c>
      <c r="N107" s="211"/>
    </row>
    <row r="108" spans="1:14" s="18" customFormat="1" ht="30" outlineLevel="2">
      <c r="A108" s="263" t="s">
        <v>345</v>
      </c>
      <c r="B108" s="264" t="s">
        <v>346</v>
      </c>
      <c r="C108" s="265" t="s">
        <v>150</v>
      </c>
      <c r="D108" s="266">
        <v>680</v>
      </c>
      <c r="E108" s="267">
        <v>6352</v>
      </c>
      <c r="F108" s="268">
        <f t="shared" si="8"/>
        <v>4319360</v>
      </c>
      <c r="G108" s="211"/>
      <c r="H108" s="263" t="s">
        <v>345</v>
      </c>
      <c r="I108" s="264" t="s">
        <v>346</v>
      </c>
      <c r="J108" s="265" t="s">
        <v>150</v>
      </c>
      <c r="K108" s="266">
        <v>680</v>
      </c>
      <c r="L108" s="267">
        <v>10300</v>
      </c>
      <c r="M108" s="268">
        <f t="shared" si="9"/>
        <v>7004000</v>
      </c>
      <c r="N108" s="211"/>
    </row>
    <row r="109" spans="1:14" s="18" customFormat="1" ht="30" outlineLevel="2">
      <c r="A109" s="263" t="s">
        <v>347</v>
      </c>
      <c r="B109" s="264" t="s">
        <v>348</v>
      </c>
      <c r="C109" s="265" t="s">
        <v>150</v>
      </c>
      <c r="D109" s="266">
        <v>300</v>
      </c>
      <c r="E109" s="267">
        <v>8948</v>
      </c>
      <c r="F109" s="268">
        <f t="shared" si="8"/>
        <v>2684400</v>
      </c>
      <c r="G109" s="211"/>
      <c r="H109" s="263" t="s">
        <v>347</v>
      </c>
      <c r="I109" s="264" t="s">
        <v>348</v>
      </c>
      <c r="J109" s="265" t="s">
        <v>150</v>
      </c>
      <c r="K109" s="266">
        <v>300</v>
      </c>
      <c r="L109" s="267">
        <v>16200</v>
      </c>
      <c r="M109" s="268">
        <f t="shared" si="9"/>
        <v>4860000</v>
      </c>
      <c r="N109" s="211"/>
    </row>
    <row r="110" spans="1:14" s="18" customFormat="1" ht="30" outlineLevel="2">
      <c r="A110" s="263" t="s">
        <v>349</v>
      </c>
      <c r="B110" s="264" t="s">
        <v>350</v>
      </c>
      <c r="C110" s="265" t="s">
        <v>150</v>
      </c>
      <c r="D110" s="266">
        <v>50</v>
      </c>
      <c r="E110" s="267">
        <v>12968</v>
      </c>
      <c r="F110" s="268">
        <f t="shared" si="8"/>
        <v>648400</v>
      </c>
      <c r="G110" s="211"/>
      <c r="H110" s="263" t="s">
        <v>349</v>
      </c>
      <c r="I110" s="264" t="s">
        <v>350</v>
      </c>
      <c r="J110" s="265" t="s">
        <v>150</v>
      </c>
      <c r="K110" s="266">
        <v>50</v>
      </c>
      <c r="L110" s="267">
        <v>24300</v>
      </c>
      <c r="M110" s="268">
        <f t="shared" si="9"/>
        <v>1215000</v>
      </c>
      <c r="N110" s="211"/>
    </row>
    <row r="111" spans="1:14" s="18" customFormat="1" ht="30" outlineLevel="2">
      <c r="A111" s="263" t="s">
        <v>351</v>
      </c>
      <c r="B111" s="264" t="s">
        <v>352</v>
      </c>
      <c r="C111" s="265" t="s">
        <v>150</v>
      </c>
      <c r="D111" s="266">
        <v>300</v>
      </c>
      <c r="E111" s="267">
        <v>20454</v>
      </c>
      <c r="F111" s="268">
        <f t="shared" si="8"/>
        <v>6136200</v>
      </c>
      <c r="G111" s="211"/>
      <c r="H111" s="263" t="s">
        <v>351</v>
      </c>
      <c r="I111" s="264" t="s">
        <v>352</v>
      </c>
      <c r="J111" s="265" t="s">
        <v>150</v>
      </c>
      <c r="K111" s="266">
        <v>300</v>
      </c>
      <c r="L111" s="267">
        <v>32900</v>
      </c>
      <c r="M111" s="268">
        <f t="shared" si="9"/>
        <v>9870000</v>
      </c>
      <c r="N111" s="211"/>
    </row>
    <row r="112" spans="1:14" s="18" customFormat="1" ht="30" outlineLevel="2">
      <c r="A112" s="263" t="s">
        <v>353</v>
      </c>
      <c r="B112" s="264" t="s">
        <v>354</v>
      </c>
      <c r="C112" s="265" t="s">
        <v>150</v>
      </c>
      <c r="D112" s="266">
        <v>520</v>
      </c>
      <c r="E112" s="267">
        <v>32630</v>
      </c>
      <c r="F112" s="268">
        <f t="shared" si="8"/>
        <v>16967600</v>
      </c>
      <c r="G112" s="211"/>
      <c r="H112" s="263" t="s">
        <v>353</v>
      </c>
      <c r="I112" s="264" t="s">
        <v>354</v>
      </c>
      <c r="J112" s="265" t="s">
        <v>150</v>
      </c>
      <c r="K112" s="266">
        <v>520</v>
      </c>
      <c r="L112" s="267">
        <v>48700</v>
      </c>
      <c r="M112" s="268">
        <f t="shared" si="9"/>
        <v>25324000</v>
      </c>
      <c r="N112" s="211"/>
    </row>
    <row r="113" spans="1:14" s="18" customFormat="1" ht="75" outlineLevel="2">
      <c r="A113" s="263" t="s">
        <v>355</v>
      </c>
      <c r="B113" s="264" t="s">
        <v>356</v>
      </c>
      <c r="C113" s="265" t="s">
        <v>336</v>
      </c>
      <c r="D113" s="266">
        <v>3</v>
      </c>
      <c r="E113" s="267">
        <v>612324</v>
      </c>
      <c r="F113" s="268">
        <f t="shared" si="8"/>
        <v>1836972</v>
      </c>
      <c r="G113" s="211"/>
      <c r="H113" s="263" t="s">
        <v>355</v>
      </c>
      <c r="I113" s="264" t="s">
        <v>356</v>
      </c>
      <c r="J113" s="265" t="s">
        <v>336</v>
      </c>
      <c r="K113" s="266">
        <v>3</v>
      </c>
      <c r="L113" s="267">
        <v>2340000</v>
      </c>
      <c r="M113" s="268">
        <f t="shared" si="9"/>
        <v>7020000</v>
      </c>
      <c r="N113" s="211"/>
    </row>
    <row r="114" spans="1:14" s="18" customFormat="1" ht="45" outlineLevel="2">
      <c r="A114" s="263" t="s">
        <v>357</v>
      </c>
      <c r="B114" s="264" t="s">
        <v>358</v>
      </c>
      <c r="C114" s="265" t="s">
        <v>150</v>
      </c>
      <c r="D114" s="266">
        <v>80</v>
      </c>
      <c r="E114" s="267">
        <v>25855</v>
      </c>
      <c r="F114" s="268">
        <f t="shared" si="8"/>
        <v>2068400</v>
      </c>
      <c r="G114" s="211"/>
      <c r="H114" s="263" t="s">
        <v>357</v>
      </c>
      <c r="I114" s="264" t="s">
        <v>358</v>
      </c>
      <c r="J114" s="265" t="s">
        <v>150</v>
      </c>
      <c r="K114" s="266">
        <v>80</v>
      </c>
      <c r="L114" s="267">
        <v>29800</v>
      </c>
      <c r="M114" s="268">
        <f t="shared" si="9"/>
        <v>2384000</v>
      </c>
      <c r="N114" s="211"/>
    </row>
    <row r="115" spans="1:14" s="18" customFormat="1" ht="45" outlineLevel="2">
      <c r="A115" s="263" t="s">
        <v>359</v>
      </c>
      <c r="B115" s="264" t="s">
        <v>360</v>
      </c>
      <c r="C115" s="265" t="s">
        <v>150</v>
      </c>
      <c r="D115" s="266">
        <v>10</v>
      </c>
      <c r="E115" s="267">
        <v>59305</v>
      </c>
      <c r="F115" s="268">
        <f t="shared" si="8"/>
        <v>593050</v>
      </c>
      <c r="G115" s="211"/>
      <c r="H115" s="263" t="s">
        <v>359</v>
      </c>
      <c r="I115" s="264" t="s">
        <v>360</v>
      </c>
      <c r="J115" s="265" t="s">
        <v>150</v>
      </c>
      <c r="K115" s="266">
        <v>10</v>
      </c>
      <c r="L115" s="267">
        <v>38900</v>
      </c>
      <c r="M115" s="268">
        <f t="shared" si="9"/>
        <v>389000</v>
      </c>
      <c r="N115" s="211"/>
    </row>
    <row r="116" spans="1:14" s="18" customFormat="1" ht="60" outlineLevel="2">
      <c r="A116" s="263" t="s">
        <v>361</v>
      </c>
      <c r="B116" s="264" t="s">
        <v>362</v>
      </c>
      <c r="C116" s="265" t="s">
        <v>150</v>
      </c>
      <c r="D116" s="266">
        <v>30</v>
      </c>
      <c r="E116" s="267">
        <v>9687</v>
      </c>
      <c r="F116" s="268">
        <f t="shared" si="8"/>
        <v>290610</v>
      </c>
      <c r="G116" s="211"/>
      <c r="H116" s="263" t="s">
        <v>361</v>
      </c>
      <c r="I116" s="264" t="s">
        <v>362</v>
      </c>
      <c r="J116" s="265" t="s">
        <v>150</v>
      </c>
      <c r="K116" s="266">
        <v>30</v>
      </c>
      <c r="L116" s="267">
        <v>38700</v>
      </c>
      <c r="M116" s="268">
        <f t="shared" si="9"/>
        <v>1161000</v>
      </c>
      <c r="N116" s="211"/>
    </row>
    <row r="117" spans="1:14" s="18" customFormat="1" ht="30" outlineLevel="2">
      <c r="A117" s="263" t="s">
        <v>363</v>
      </c>
      <c r="B117" s="264" t="s">
        <v>364</v>
      </c>
      <c r="C117" s="265" t="s">
        <v>336</v>
      </c>
      <c r="D117" s="266">
        <v>9</v>
      </c>
      <c r="E117" s="267">
        <v>40902</v>
      </c>
      <c r="F117" s="268">
        <f t="shared" si="8"/>
        <v>368118</v>
      </c>
      <c r="G117" s="211"/>
      <c r="H117" s="263" t="s">
        <v>363</v>
      </c>
      <c r="I117" s="264" t="s">
        <v>364</v>
      </c>
      <c r="J117" s="265" t="s">
        <v>336</v>
      </c>
      <c r="K117" s="266">
        <v>9</v>
      </c>
      <c r="L117" s="267">
        <v>71200</v>
      </c>
      <c r="M117" s="268">
        <f t="shared" si="9"/>
        <v>640800</v>
      </c>
      <c r="N117" s="211"/>
    </row>
    <row r="118" spans="1:14" s="18" customFormat="1" ht="30" outlineLevel="2">
      <c r="A118" s="263" t="s">
        <v>365</v>
      </c>
      <c r="B118" s="264" t="s">
        <v>366</v>
      </c>
      <c r="C118" s="265" t="s">
        <v>336</v>
      </c>
      <c r="D118" s="266">
        <v>2</v>
      </c>
      <c r="E118" s="267">
        <v>40902</v>
      </c>
      <c r="F118" s="268">
        <f t="shared" si="8"/>
        <v>81804</v>
      </c>
      <c r="G118" s="211"/>
      <c r="H118" s="263" t="s">
        <v>365</v>
      </c>
      <c r="I118" s="264" t="s">
        <v>366</v>
      </c>
      <c r="J118" s="265" t="s">
        <v>336</v>
      </c>
      <c r="K118" s="266">
        <v>2</v>
      </c>
      <c r="L118" s="267">
        <v>82300</v>
      </c>
      <c r="M118" s="268">
        <f t="shared" si="9"/>
        <v>164600</v>
      </c>
      <c r="N118" s="211"/>
    </row>
    <row r="119" spans="1:14" s="18" customFormat="1" ht="30" outlineLevel="2">
      <c r="A119" s="263" t="s">
        <v>367</v>
      </c>
      <c r="B119" s="264" t="s">
        <v>368</v>
      </c>
      <c r="C119" s="265" t="s">
        <v>336</v>
      </c>
      <c r="D119" s="266">
        <v>3</v>
      </c>
      <c r="E119" s="267">
        <v>431553</v>
      </c>
      <c r="F119" s="268">
        <f t="shared" si="8"/>
        <v>1294659</v>
      </c>
      <c r="G119" s="211"/>
      <c r="H119" s="263" t="s">
        <v>367</v>
      </c>
      <c r="I119" s="264" t="s">
        <v>368</v>
      </c>
      <c r="J119" s="265" t="s">
        <v>336</v>
      </c>
      <c r="K119" s="266">
        <v>3</v>
      </c>
      <c r="L119" s="267">
        <v>290000</v>
      </c>
      <c r="M119" s="268">
        <f t="shared" si="9"/>
        <v>870000</v>
      </c>
      <c r="N119" s="211"/>
    </row>
    <row r="120" spans="1:14" s="18" customFormat="1" ht="30" outlineLevel="2">
      <c r="A120" s="263" t="s">
        <v>369</v>
      </c>
      <c r="B120" s="264" t="s">
        <v>370</v>
      </c>
      <c r="C120" s="265" t="s">
        <v>336</v>
      </c>
      <c r="D120" s="266">
        <v>5</v>
      </c>
      <c r="E120" s="267">
        <v>250122</v>
      </c>
      <c r="F120" s="268">
        <f t="shared" si="8"/>
        <v>1250610</v>
      </c>
      <c r="G120" s="211"/>
      <c r="H120" s="263" t="s">
        <v>369</v>
      </c>
      <c r="I120" s="264" t="s">
        <v>370</v>
      </c>
      <c r="J120" s="265" t="s">
        <v>336</v>
      </c>
      <c r="K120" s="266">
        <v>5</v>
      </c>
      <c r="L120" s="267">
        <v>410000</v>
      </c>
      <c r="M120" s="268">
        <f t="shared" si="9"/>
        <v>2050000</v>
      </c>
      <c r="N120" s="211"/>
    </row>
    <row r="121" spans="1:14" s="18" customFormat="1" ht="30" outlineLevel="2">
      <c r="A121" s="263" t="s">
        <v>371</v>
      </c>
      <c r="B121" s="264" t="s">
        <v>372</v>
      </c>
      <c r="C121" s="265" t="s">
        <v>336</v>
      </c>
      <c r="D121" s="266">
        <v>1</v>
      </c>
      <c r="E121" s="267">
        <v>250122</v>
      </c>
      <c r="F121" s="268">
        <f t="shared" si="8"/>
        <v>250122</v>
      </c>
      <c r="G121" s="211"/>
      <c r="H121" s="263" t="s">
        <v>371</v>
      </c>
      <c r="I121" s="264" t="s">
        <v>372</v>
      </c>
      <c r="J121" s="265" t="s">
        <v>336</v>
      </c>
      <c r="K121" s="266">
        <v>1</v>
      </c>
      <c r="L121" s="267">
        <v>543900</v>
      </c>
      <c r="M121" s="268">
        <f t="shared" si="9"/>
        <v>543900</v>
      </c>
      <c r="N121" s="211"/>
    </row>
    <row r="122" spans="1:14" s="18" customFormat="1" ht="30" outlineLevel="2">
      <c r="A122" s="263" t="s">
        <v>373</v>
      </c>
      <c r="B122" s="264" t="s">
        <v>374</v>
      </c>
      <c r="C122" s="265" t="s">
        <v>336</v>
      </c>
      <c r="D122" s="266">
        <v>2</v>
      </c>
      <c r="E122" s="267">
        <v>519918</v>
      </c>
      <c r="F122" s="268">
        <f t="shared" si="8"/>
        <v>1039836</v>
      </c>
      <c r="G122" s="211"/>
      <c r="H122" s="263" t="s">
        <v>373</v>
      </c>
      <c r="I122" s="264" t="s">
        <v>374</v>
      </c>
      <c r="J122" s="265" t="s">
        <v>336</v>
      </c>
      <c r="K122" s="266">
        <v>2</v>
      </c>
      <c r="L122" s="267">
        <v>1230000</v>
      </c>
      <c r="M122" s="268">
        <f t="shared" si="9"/>
        <v>2460000</v>
      </c>
      <c r="N122" s="211"/>
    </row>
    <row r="123" spans="1:14" s="18" customFormat="1" ht="30" outlineLevel="2">
      <c r="A123" s="263" t="s">
        <v>375</v>
      </c>
      <c r="B123" s="264" t="s">
        <v>376</v>
      </c>
      <c r="C123" s="265" t="s">
        <v>336</v>
      </c>
      <c r="D123" s="266">
        <v>1</v>
      </c>
      <c r="E123" s="267">
        <v>622102</v>
      </c>
      <c r="F123" s="268">
        <f t="shared" si="8"/>
        <v>622102</v>
      </c>
      <c r="G123" s="211"/>
      <c r="H123" s="263" t="s">
        <v>375</v>
      </c>
      <c r="I123" s="264" t="s">
        <v>376</v>
      </c>
      <c r="J123" s="265" t="s">
        <v>336</v>
      </c>
      <c r="K123" s="266">
        <v>1</v>
      </c>
      <c r="L123" s="267">
        <v>1450000</v>
      </c>
      <c r="M123" s="268">
        <f t="shared" si="9"/>
        <v>1450000</v>
      </c>
      <c r="N123" s="211"/>
    </row>
    <row r="124" spans="1:14" s="18" customFormat="1" ht="30" outlineLevel="2">
      <c r="A124" s="263" t="s">
        <v>377</v>
      </c>
      <c r="B124" s="264" t="s">
        <v>378</v>
      </c>
      <c r="C124" s="265" t="s">
        <v>336</v>
      </c>
      <c r="D124" s="266">
        <v>1</v>
      </c>
      <c r="E124" s="267">
        <v>650258</v>
      </c>
      <c r="F124" s="268">
        <f t="shared" si="8"/>
        <v>650258</v>
      </c>
      <c r="G124" s="211"/>
      <c r="H124" s="263" t="s">
        <v>377</v>
      </c>
      <c r="I124" s="264" t="s">
        <v>378</v>
      </c>
      <c r="J124" s="265" t="s">
        <v>336</v>
      </c>
      <c r="K124" s="266">
        <v>1</v>
      </c>
      <c r="L124" s="267">
        <v>1680000</v>
      </c>
      <c r="M124" s="268">
        <f t="shared" si="9"/>
        <v>1680000</v>
      </c>
      <c r="N124" s="211"/>
    </row>
    <row r="125" spans="1:14" s="18" customFormat="1" ht="30" outlineLevel="2">
      <c r="A125" s="263" t="s">
        <v>379</v>
      </c>
      <c r="B125" s="264" t="s">
        <v>380</v>
      </c>
      <c r="C125" s="265" t="s">
        <v>336</v>
      </c>
      <c r="D125" s="266">
        <v>2</v>
      </c>
      <c r="E125" s="267">
        <v>36836</v>
      </c>
      <c r="F125" s="268">
        <f t="shared" si="8"/>
        <v>73672</v>
      </c>
      <c r="G125" s="211"/>
      <c r="H125" s="263" t="s">
        <v>379</v>
      </c>
      <c r="I125" s="264" t="s">
        <v>380</v>
      </c>
      <c r="J125" s="265" t="s">
        <v>336</v>
      </c>
      <c r="K125" s="266">
        <v>2</v>
      </c>
      <c r="L125" s="267">
        <v>25400</v>
      </c>
      <c r="M125" s="268">
        <f t="shared" si="9"/>
        <v>50800</v>
      </c>
      <c r="N125" s="211"/>
    </row>
    <row r="126" spans="1:14" s="18" customFormat="1" ht="30" outlineLevel="2">
      <c r="A126" s="263" t="s">
        <v>381</v>
      </c>
      <c r="B126" s="264" t="s">
        <v>382</v>
      </c>
      <c r="C126" s="265" t="s">
        <v>336</v>
      </c>
      <c r="D126" s="266">
        <v>4</v>
      </c>
      <c r="E126" s="267">
        <v>162599</v>
      </c>
      <c r="F126" s="268">
        <f t="shared" si="8"/>
        <v>650396</v>
      </c>
      <c r="G126" s="211"/>
      <c r="H126" s="263" t="s">
        <v>381</v>
      </c>
      <c r="I126" s="264" t="s">
        <v>382</v>
      </c>
      <c r="J126" s="265" t="s">
        <v>336</v>
      </c>
      <c r="K126" s="266">
        <v>4</v>
      </c>
      <c r="L126" s="267">
        <v>326500</v>
      </c>
      <c r="M126" s="268">
        <f t="shared" si="9"/>
        <v>1306000</v>
      </c>
      <c r="N126" s="211"/>
    </row>
    <row r="127" spans="1:14" s="18" customFormat="1" ht="15" outlineLevel="2">
      <c r="A127" s="280" t="s">
        <v>383</v>
      </c>
      <c r="B127" s="275" t="s">
        <v>384</v>
      </c>
      <c r="C127" s="276" t="s">
        <v>138</v>
      </c>
      <c r="D127" s="277"/>
      <c r="E127" s="278"/>
      <c r="F127" s="279"/>
      <c r="G127" s="211"/>
      <c r="H127" s="280" t="s">
        <v>383</v>
      </c>
      <c r="I127" s="275" t="s">
        <v>384</v>
      </c>
      <c r="J127" s="276" t="s">
        <v>138</v>
      </c>
      <c r="K127" s="277"/>
      <c r="L127" s="278"/>
      <c r="M127" s="279"/>
      <c r="N127" s="211"/>
    </row>
    <row r="128" spans="1:14" s="18" customFormat="1" ht="45.75" outlineLevel="2" thickBot="1">
      <c r="A128" s="263" t="s">
        <v>385</v>
      </c>
      <c r="B128" s="264" t="s">
        <v>386</v>
      </c>
      <c r="C128" s="265" t="s">
        <v>387</v>
      </c>
      <c r="D128" s="266">
        <v>2</v>
      </c>
      <c r="E128" s="267">
        <v>219068</v>
      </c>
      <c r="F128" s="268">
        <f t="shared" si="8"/>
        <v>438136</v>
      </c>
      <c r="G128" s="211"/>
      <c r="H128" s="263" t="s">
        <v>385</v>
      </c>
      <c r="I128" s="264" t="s">
        <v>386</v>
      </c>
      <c r="J128" s="265" t="s">
        <v>387</v>
      </c>
      <c r="K128" s="266">
        <v>2</v>
      </c>
      <c r="L128" s="267">
        <v>198000</v>
      </c>
      <c r="M128" s="268">
        <f t="shared" ref="M128" si="10">+K128*L128</f>
        <v>396000</v>
      </c>
      <c r="N128" s="211"/>
    </row>
    <row r="129" spans="1:14" s="18" customFormat="1" ht="16.5" outlineLevel="2" thickTop="1" thickBot="1">
      <c r="A129" s="233" t="s">
        <v>81</v>
      </c>
      <c r="B129" s="234" t="s">
        <v>388</v>
      </c>
      <c r="C129" s="235"/>
      <c r="D129" s="236"/>
      <c r="E129" s="237"/>
      <c r="F129" s="238"/>
      <c r="G129" s="211"/>
      <c r="H129" s="233" t="s">
        <v>81</v>
      </c>
      <c r="I129" s="234" t="s">
        <v>388</v>
      </c>
      <c r="J129" s="235"/>
      <c r="K129" s="236"/>
      <c r="L129" s="237"/>
      <c r="M129" s="238"/>
      <c r="N129" s="211"/>
    </row>
    <row r="130" spans="1:14" s="18" customFormat="1" ht="15.75" outlineLevel="2" thickTop="1">
      <c r="A130" s="280" t="s">
        <v>65</v>
      </c>
      <c r="B130" s="275" t="s">
        <v>334</v>
      </c>
      <c r="C130" s="276" t="s">
        <v>138</v>
      </c>
      <c r="D130" s="277"/>
      <c r="E130" s="278"/>
      <c r="F130" s="279"/>
      <c r="G130" s="211"/>
      <c r="H130" s="280" t="s">
        <v>65</v>
      </c>
      <c r="I130" s="275" t="s">
        <v>334</v>
      </c>
      <c r="J130" s="276" t="s">
        <v>138</v>
      </c>
      <c r="K130" s="277"/>
      <c r="L130" s="278"/>
      <c r="M130" s="279"/>
      <c r="N130" s="211"/>
    </row>
    <row r="131" spans="1:14" s="18" customFormat="1" ht="60" outlineLevel="2">
      <c r="A131" s="263" t="s">
        <v>162</v>
      </c>
      <c r="B131" s="282" t="s">
        <v>389</v>
      </c>
      <c r="C131" s="265" t="s">
        <v>336</v>
      </c>
      <c r="D131" s="266">
        <f>12+12+11</f>
        <v>35</v>
      </c>
      <c r="E131" s="267">
        <v>161433</v>
      </c>
      <c r="F131" s="268">
        <f t="shared" ref="F131:F158" si="11">+D131*E131</f>
        <v>5650155</v>
      </c>
      <c r="G131" s="211"/>
      <c r="H131" s="263" t="s">
        <v>162</v>
      </c>
      <c r="I131" s="282" t="s">
        <v>389</v>
      </c>
      <c r="J131" s="265" t="s">
        <v>336</v>
      </c>
      <c r="K131" s="266">
        <f>12+12+11</f>
        <v>35</v>
      </c>
      <c r="L131" s="267">
        <v>123200</v>
      </c>
      <c r="M131" s="268">
        <f t="shared" ref="M131:M132" si="12">+K131*L131</f>
        <v>4312000</v>
      </c>
      <c r="N131" s="211"/>
    </row>
    <row r="132" spans="1:14" s="18" customFormat="1" ht="60" outlineLevel="2">
      <c r="A132" s="263" t="s">
        <v>163</v>
      </c>
      <c r="B132" s="282" t="s">
        <v>390</v>
      </c>
      <c r="C132" s="265" t="s">
        <v>336</v>
      </c>
      <c r="D132" s="266">
        <f>1+3+2</f>
        <v>6</v>
      </c>
      <c r="E132" s="267">
        <v>161433</v>
      </c>
      <c r="F132" s="268">
        <f t="shared" si="11"/>
        <v>968598</v>
      </c>
      <c r="G132" s="211"/>
      <c r="H132" s="263" t="s">
        <v>163</v>
      </c>
      <c r="I132" s="282" t="s">
        <v>390</v>
      </c>
      <c r="J132" s="265" t="s">
        <v>336</v>
      </c>
      <c r="K132" s="266">
        <f>1+3+2</f>
        <v>6</v>
      </c>
      <c r="L132" s="267">
        <v>123200</v>
      </c>
      <c r="M132" s="268">
        <f t="shared" si="12"/>
        <v>739200</v>
      </c>
      <c r="N132" s="211"/>
    </row>
    <row r="133" spans="1:14" s="18" customFormat="1" ht="15" outlineLevel="2">
      <c r="A133" s="280" t="s">
        <v>66</v>
      </c>
      <c r="B133" s="275" t="s">
        <v>340</v>
      </c>
      <c r="C133" s="276" t="s">
        <v>138</v>
      </c>
      <c r="D133" s="277"/>
      <c r="E133" s="278"/>
      <c r="F133" s="279"/>
      <c r="G133" s="211"/>
      <c r="H133" s="280" t="s">
        <v>66</v>
      </c>
      <c r="I133" s="275" t="s">
        <v>340</v>
      </c>
      <c r="J133" s="276" t="s">
        <v>138</v>
      </c>
      <c r="K133" s="277"/>
      <c r="L133" s="278"/>
      <c r="M133" s="279"/>
      <c r="N133" s="211"/>
    </row>
    <row r="134" spans="1:14" s="18" customFormat="1" ht="30" outlineLevel="2">
      <c r="A134" s="263" t="s">
        <v>391</v>
      </c>
      <c r="B134" s="282" t="s">
        <v>392</v>
      </c>
      <c r="C134" s="265" t="s">
        <v>150</v>
      </c>
      <c r="D134" s="266">
        <f>490+620+390</f>
        <v>1500</v>
      </c>
      <c r="E134" s="267">
        <v>3597</v>
      </c>
      <c r="F134" s="268">
        <f t="shared" si="11"/>
        <v>5395500</v>
      </c>
      <c r="G134" s="211"/>
      <c r="H134" s="263" t="s">
        <v>391</v>
      </c>
      <c r="I134" s="282" t="s">
        <v>392</v>
      </c>
      <c r="J134" s="265" t="s">
        <v>150</v>
      </c>
      <c r="K134" s="266">
        <f>490+620+390</f>
        <v>1500</v>
      </c>
      <c r="L134" s="267">
        <v>6800</v>
      </c>
      <c r="M134" s="268">
        <f t="shared" ref="M134:M151" si="13">+K134*L134</f>
        <v>10200000</v>
      </c>
      <c r="N134" s="211"/>
    </row>
    <row r="135" spans="1:14" s="18" customFormat="1" ht="30" outlineLevel="2">
      <c r="A135" s="263" t="s">
        <v>166</v>
      </c>
      <c r="B135" s="282" t="s">
        <v>393</v>
      </c>
      <c r="C135" s="265" t="s">
        <v>150</v>
      </c>
      <c r="D135" s="266">
        <f>80+83</f>
        <v>163</v>
      </c>
      <c r="E135" s="267">
        <v>6352</v>
      </c>
      <c r="F135" s="268">
        <f t="shared" si="11"/>
        <v>1035376</v>
      </c>
      <c r="G135" s="211"/>
      <c r="H135" s="263" t="s">
        <v>166</v>
      </c>
      <c r="I135" s="282" t="s">
        <v>393</v>
      </c>
      <c r="J135" s="265" t="s">
        <v>150</v>
      </c>
      <c r="K135" s="266">
        <f>80+83</f>
        <v>163</v>
      </c>
      <c r="L135" s="267">
        <v>10300</v>
      </c>
      <c r="M135" s="268">
        <f t="shared" si="13"/>
        <v>1678900</v>
      </c>
      <c r="N135" s="211"/>
    </row>
    <row r="136" spans="1:14" s="18" customFormat="1" ht="30" outlineLevel="2">
      <c r="A136" s="263" t="s">
        <v>167</v>
      </c>
      <c r="B136" s="282" t="s">
        <v>394</v>
      </c>
      <c r="C136" s="265" t="s">
        <v>150</v>
      </c>
      <c r="D136" s="266">
        <v>22</v>
      </c>
      <c r="E136" s="267">
        <v>8948</v>
      </c>
      <c r="F136" s="268">
        <f t="shared" si="11"/>
        <v>196856</v>
      </c>
      <c r="G136" s="211"/>
      <c r="H136" s="263" t="s">
        <v>167</v>
      </c>
      <c r="I136" s="282" t="s">
        <v>394</v>
      </c>
      <c r="J136" s="265" t="s">
        <v>150</v>
      </c>
      <c r="K136" s="266">
        <v>22</v>
      </c>
      <c r="L136" s="267">
        <v>16200</v>
      </c>
      <c r="M136" s="268">
        <f t="shared" si="13"/>
        <v>356400</v>
      </c>
      <c r="N136" s="211"/>
    </row>
    <row r="137" spans="1:14" s="18" customFormat="1" ht="30" outlineLevel="2">
      <c r="A137" s="263" t="s">
        <v>169</v>
      </c>
      <c r="B137" s="282" t="s">
        <v>395</v>
      </c>
      <c r="C137" s="265" t="s">
        <v>150</v>
      </c>
      <c r="D137" s="266">
        <v>120</v>
      </c>
      <c r="E137" s="267">
        <v>12968</v>
      </c>
      <c r="F137" s="268">
        <f t="shared" si="11"/>
        <v>1556160</v>
      </c>
      <c r="G137" s="211"/>
      <c r="H137" s="263" t="s">
        <v>169</v>
      </c>
      <c r="I137" s="282" t="s">
        <v>395</v>
      </c>
      <c r="J137" s="265" t="s">
        <v>150</v>
      </c>
      <c r="K137" s="266">
        <v>120</v>
      </c>
      <c r="L137" s="267">
        <v>24300</v>
      </c>
      <c r="M137" s="268">
        <f t="shared" si="13"/>
        <v>2916000</v>
      </c>
      <c r="N137" s="211"/>
    </row>
    <row r="138" spans="1:14" s="18" customFormat="1" ht="30" outlineLevel="2">
      <c r="A138" s="263" t="s">
        <v>171</v>
      </c>
      <c r="B138" s="282" t="s">
        <v>396</v>
      </c>
      <c r="C138" s="265" t="s">
        <v>150</v>
      </c>
      <c r="D138" s="266">
        <v>88</v>
      </c>
      <c r="E138" s="267">
        <v>32630</v>
      </c>
      <c r="F138" s="268">
        <f t="shared" si="11"/>
        <v>2871440</v>
      </c>
      <c r="G138" s="211"/>
      <c r="H138" s="263" t="s">
        <v>171</v>
      </c>
      <c r="I138" s="282" t="s">
        <v>396</v>
      </c>
      <c r="J138" s="265" t="s">
        <v>150</v>
      </c>
      <c r="K138" s="266">
        <v>88</v>
      </c>
      <c r="L138" s="267">
        <v>48700</v>
      </c>
      <c r="M138" s="268">
        <f t="shared" si="13"/>
        <v>4285600</v>
      </c>
      <c r="N138" s="211"/>
    </row>
    <row r="139" spans="1:14" s="18" customFormat="1" ht="75" outlineLevel="2">
      <c r="A139" s="263" t="s">
        <v>172</v>
      </c>
      <c r="B139" s="282" t="s">
        <v>397</v>
      </c>
      <c r="C139" s="265" t="s">
        <v>67</v>
      </c>
      <c r="D139" s="266">
        <f>1+1+1</f>
        <v>3</v>
      </c>
      <c r="E139" s="267">
        <v>612324</v>
      </c>
      <c r="F139" s="268">
        <f t="shared" si="11"/>
        <v>1836972</v>
      </c>
      <c r="G139" s="211"/>
      <c r="H139" s="263" t="s">
        <v>172</v>
      </c>
      <c r="I139" s="282" t="s">
        <v>397</v>
      </c>
      <c r="J139" s="265" t="s">
        <v>67</v>
      </c>
      <c r="K139" s="266">
        <f>1+1+1</f>
        <v>3</v>
      </c>
      <c r="L139" s="267">
        <v>2340000</v>
      </c>
      <c r="M139" s="268">
        <f t="shared" si="13"/>
        <v>7020000</v>
      </c>
      <c r="N139" s="211"/>
    </row>
    <row r="140" spans="1:14" s="18" customFormat="1" ht="45" outlineLevel="2">
      <c r="A140" s="263" t="s">
        <v>398</v>
      </c>
      <c r="B140" s="282" t="s">
        <v>399</v>
      </c>
      <c r="C140" s="265" t="s">
        <v>150</v>
      </c>
      <c r="D140" s="266">
        <f>163+196+130</f>
        <v>489</v>
      </c>
      <c r="E140" s="267">
        <v>25855</v>
      </c>
      <c r="F140" s="268">
        <f t="shared" si="11"/>
        <v>12643095</v>
      </c>
      <c r="G140" s="211"/>
      <c r="H140" s="263" t="s">
        <v>398</v>
      </c>
      <c r="I140" s="282" t="s">
        <v>399</v>
      </c>
      <c r="J140" s="265" t="s">
        <v>150</v>
      </c>
      <c r="K140" s="266">
        <f>163+196+130</f>
        <v>489</v>
      </c>
      <c r="L140" s="267">
        <v>29800</v>
      </c>
      <c r="M140" s="268">
        <f t="shared" si="13"/>
        <v>14572200</v>
      </c>
      <c r="N140" s="211"/>
    </row>
    <row r="141" spans="1:14" s="18" customFormat="1" ht="45" outlineLevel="2">
      <c r="A141" s="263" t="s">
        <v>400</v>
      </c>
      <c r="B141" s="282" t="s">
        <v>401</v>
      </c>
      <c r="C141" s="265" t="s">
        <v>150</v>
      </c>
      <c r="D141" s="266">
        <f>16+9</f>
        <v>25</v>
      </c>
      <c r="E141" s="267">
        <v>59305</v>
      </c>
      <c r="F141" s="268">
        <f t="shared" si="11"/>
        <v>1482625</v>
      </c>
      <c r="G141" s="211"/>
      <c r="H141" s="263" t="s">
        <v>400</v>
      </c>
      <c r="I141" s="282" t="s">
        <v>401</v>
      </c>
      <c r="J141" s="265" t="s">
        <v>150</v>
      </c>
      <c r="K141" s="266">
        <f>16+9</f>
        <v>25</v>
      </c>
      <c r="L141" s="267">
        <v>38900</v>
      </c>
      <c r="M141" s="268">
        <f t="shared" si="13"/>
        <v>972500</v>
      </c>
      <c r="N141" s="211"/>
    </row>
    <row r="142" spans="1:14" s="18" customFormat="1" ht="45" outlineLevel="2">
      <c r="A142" s="263" t="s">
        <v>402</v>
      </c>
      <c r="B142" s="282" t="s">
        <v>403</v>
      </c>
      <c r="C142" s="265" t="s">
        <v>150</v>
      </c>
      <c r="D142" s="266">
        <v>16</v>
      </c>
      <c r="E142" s="267">
        <v>9687</v>
      </c>
      <c r="F142" s="268">
        <f t="shared" si="11"/>
        <v>154992</v>
      </c>
      <c r="G142" s="211"/>
      <c r="H142" s="263" t="s">
        <v>402</v>
      </c>
      <c r="I142" s="282" t="s">
        <v>403</v>
      </c>
      <c r="J142" s="265" t="s">
        <v>150</v>
      </c>
      <c r="K142" s="266">
        <v>16</v>
      </c>
      <c r="L142" s="267">
        <v>38700</v>
      </c>
      <c r="M142" s="268">
        <f t="shared" si="13"/>
        <v>619200</v>
      </c>
      <c r="N142" s="211"/>
    </row>
    <row r="143" spans="1:14" s="18" customFormat="1" ht="30" outlineLevel="2">
      <c r="A143" s="263" t="s">
        <v>404</v>
      </c>
      <c r="B143" s="282" t="s">
        <v>405</v>
      </c>
      <c r="C143" s="265" t="s">
        <v>336</v>
      </c>
      <c r="D143" s="266">
        <f>6+4+3</f>
        <v>13</v>
      </c>
      <c r="E143" s="267">
        <v>40902</v>
      </c>
      <c r="F143" s="268">
        <f t="shared" si="11"/>
        <v>531726</v>
      </c>
      <c r="G143" s="211"/>
      <c r="H143" s="263" t="s">
        <v>404</v>
      </c>
      <c r="I143" s="282" t="s">
        <v>405</v>
      </c>
      <c r="J143" s="265" t="s">
        <v>336</v>
      </c>
      <c r="K143" s="266">
        <f>6+4+3</f>
        <v>13</v>
      </c>
      <c r="L143" s="267">
        <v>71200</v>
      </c>
      <c r="M143" s="268">
        <f t="shared" si="13"/>
        <v>925600</v>
      </c>
      <c r="N143" s="211"/>
    </row>
    <row r="144" spans="1:14" s="18" customFormat="1" ht="30" outlineLevel="2">
      <c r="A144" s="263" t="s">
        <v>406</v>
      </c>
      <c r="B144" s="282" t="s">
        <v>407</v>
      </c>
      <c r="C144" s="265" t="s">
        <v>336</v>
      </c>
      <c r="D144" s="266">
        <v>3</v>
      </c>
      <c r="E144" s="267">
        <v>87874</v>
      </c>
      <c r="F144" s="268">
        <f t="shared" si="11"/>
        <v>263622</v>
      </c>
      <c r="G144" s="211"/>
      <c r="H144" s="263" t="s">
        <v>406</v>
      </c>
      <c r="I144" s="282" t="s">
        <v>407</v>
      </c>
      <c r="J144" s="265" t="s">
        <v>336</v>
      </c>
      <c r="K144" s="266">
        <v>3</v>
      </c>
      <c r="L144" s="267">
        <v>82300</v>
      </c>
      <c r="M144" s="268">
        <f t="shared" si="13"/>
        <v>246900</v>
      </c>
      <c r="N144" s="211"/>
    </row>
    <row r="145" spans="1:14" s="18" customFormat="1" ht="30" outlineLevel="2">
      <c r="A145" s="263" t="s">
        <v>408</v>
      </c>
      <c r="B145" s="282" t="s">
        <v>409</v>
      </c>
      <c r="C145" s="265" t="s">
        <v>336</v>
      </c>
      <c r="D145" s="266">
        <f>1+3+1</f>
        <v>5</v>
      </c>
      <c r="E145" s="267">
        <v>250122</v>
      </c>
      <c r="F145" s="268">
        <f t="shared" si="11"/>
        <v>1250610</v>
      </c>
      <c r="G145" s="211"/>
      <c r="H145" s="263" t="s">
        <v>408</v>
      </c>
      <c r="I145" s="282" t="s">
        <v>409</v>
      </c>
      <c r="J145" s="265" t="s">
        <v>336</v>
      </c>
      <c r="K145" s="266">
        <f>1+3+1</f>
        <v>5</v>
      </c>
      <c r="L145" s="267">
        <v>410000</v>
      </c>
      <c r="M145" s="268">
        <f t="shared" si="13"/>
        <v>2050000</v>
      </c>
      <c r="N145" s="211"/>
    </row>
    <row r="146" spans="1:14" s="18" customFormat="1" ht="30" outlineLevel="2">
      <c r="A146" s="263" t="s">
        <v>410</v>
      </c>
      <c r="B146" s="282" t="s">
        <v>411</v>
      </c>
      <c r="C146" s="265" t="s">
        <v>336</v>
      </c>
      <c r="D146" s="266">
        <f>1+1</f>
        <v>2</v>
      </c>
      <c r="E146" s="267">
        <v>250122</v>
      </c>
      <c r="F146" s="268">
        <f t="shared" si="11"/>
        <v>500244</v>
      </c>
      <c r="G146" s="211"/>
      <c r="H146" s="263" t="s">
        <v>410</v>
      </c>
      <c r="I146" s="282" t="s">
        <v>411</v>
      </c>
      <c r="J146" s="265" t="s">
        <v>336</v>
      </c>
      <c r="K146" s="266">
        <f>1+1</f>
        <v>2</v>
      </c>
      <c r="L146" s="267">
        <v>543900</v>
      </c>
      <c r="M146" s="268">
        <f t="shared" si="13"/>
        <v>1087800</v>
      </c>
      <c r="N146" s="211"/>
    </row>
    <row r="147" spans="1:14" s="18" customFormat="1" ht="30" outlineLevel="2">
      <c r="A147" s="263" t="s">
        <v>412</v>
      </c>
      <c r="B147" s="282" t="s">
        <v>413</v>
      </c>
      <c r="C147" s="265" t="s">
        <v>336</v>
      </c>
      <c r="D147" s="266">
        <v>1</v>
      </c>
      <c r="E147" s="267">
        <v>622102</v>
      </c>
      <c r="F147" s="268">
        <f t="shared" si="11"/>
        <v>622102</v>
      </c>
      <c r="G147" s="211"/>
      <c r="H147" s="263" t="s">
        <v>412</v>
      </c>
      <c r="I147" s="282" t="s">
        <v>413</v>
      </c>
      <c r="J147" s="265" t="s">
        <v>336</v>
      </c>
      <c r="K147" s="266">
        <v>1</v>
      </c>
      <c r="L147" s="267">
        <v>1450000</v>
      </c>
      <c r="M147" s="268">
        <f t="shared" si="13"/>
        <v>1450000</v>
      </c>
      <c r="N147" s="211"/>
    </row>
    <row r="148" spans="1:14" s="18" customFormat="1" ht="45" outlineLevel="2">
      <c r="A148" s="263" t="s">
        <v>414</v>
      </c>
      <c r="B148" s="282" t="s">
        <v>415</v>
      </c>
      <c r="C148" s="265" t="s">
        <v>336</v>
      </c>
      <c r="D148" s="266">
        <v>3</v>
      </c>
      <c r="E148" s="267">
        <v>5480648</v>
      </c>
      <c r="F148" s="268">
        <f t="shared" si="11"/>
        <v>16441944</v>
      </c>
      <c r="G148" s="211"/>
      <c r="H148" s="263" t="s">
        <v>414</v>
      </c>
      <c r="I148" s="282" t="s">
        <v>415</v>
      </c>
      <c r="J148" s="265" t="s">
        <v>336</v>
      </c>
      <c r="K148" s="266">
        <v>3</v>
      </c>
      <c r="L148" s="267">
        <v>1210000</v>
      </c>
      <c r="M148" s="268">
        <f t="shared" si="13"/>
        <v>3630000</v>
      </c>
      <c r="N148" s="211"/>
    </row>
    <row r="149" spans="1:14" s="18" customFormat="1" ht="30" outlineLevel="2">
      <c r="A149" s="263" t="s">
        <v>416</v>
      </c>
      <c r="B149" s="282" t="s">
        <v>417</v>
      </c>
      <c r="C149" s="265" t="s">
        <v>336</v>
      </c>
      <c r="D149" s="266">
        <f>10+10+6</f>
        <v>26</v>
      </c>
      <c r="E149" s="267">
        <v>36836</v>
      </c>
      <c r="F149" s="268">
        <f t="shared" si="11"/>
        <v>957736</v>
      </c>
      <c r="G149" s="211"/>
      <c r="H149" s="263" t="s">
        <v>416</v>
      </c>
      <c r="I149" s="282" t="s">
        <v>417</v>
      </c>
      <c r="J149" s="265" t="s">
        <v>336</v>
      </c>
      <c r="K149" s="266">
        <f>10+10+6</f>
        <v>26</v>
      </c>
      <c r="L149" s="267">
        <v>25400</v>
      </c>
      <c r="M149" s="268">
        <f t="shared" si="13"/>
        <v>660400</v>
      </c>
      <c r="N149" s="211"/>
    </row>
    <row r="150" spans="1:14" s="18" customFormat="1" ht="150" outlineLevel="2">
      <c r="A150" s="263" t="s">
        <v>418</v>
      </c>
      <c r="B150" s="282" t="s">
        <v>419</v>
      </c>
      <c r="C150" s="265" t="s">
        <v>150</v>
      </c>
      <c r="D150" s="266">
        <v>26</v>
      </c>
      <c r="E150" s="267">
        <v>303025</v>
      </c>
      <c r="F150" s="268">
        <f t="shared" si="11"/>
        <v>7878650</v>
      </c>
      <c r="G150" s="211"/>
      <c r="H150" s="263" t="s">
        <v>418</v>
      </c>
      <c r="I150" s="282" t="s">
        <v>419</v>
      </c>
      <c r="J150" s="265" t="s">
        <v>150</v>
      </c>
      <c r="K150" s="266">
        <v>26</v>
      </c>
      <c r="L150" s="267">
        <v>143200</v>
      </c>
      <c r="M150" s="268">
        <f t="shared" si="13"/>
        <v>3723200</v>
      </c>
      <c r="N150" s="211"/>
    </row>
    <row r="151" spans="1:14" s="18" customFormat="1" ht="30" outlineLevel="2">
      <c r="A151" s="263" t="s">
        <v>420</v>
      </c>
      <c r="B151" s="282" t="s">
        <v>382</v>
      </c>
      <c r="C151" s="265" t="s">
        <v>336</v>
      </c>
      <c r="D151" s="266">
        <v>6</v>
      </c>
      <c r="E151" s="267">
        <v>162599</v>
      </c>
      <c r="F151" s="268">
        <f t="shared" si="11"/>
        <v>975594</v>
      </c>
      <c r="G151" s="211"/>
      <c r="H151" s="263" t="s">
        <v>420</v>
      </c>
      <c r="I151" s="282" t="s">
        <v>382</v>
      </c>
      <c r="J151" s="265" t="s">
        <v>336</v>
      </c>
      <c r="K151" s="266">
        <v>6</v>
      </c>
      <c r="L151" s="267">
        <v>326500</v>
      </c>
      <c r="M151" s="268">
        <f t="shared" si="13"/>
        <v>1959000</v>
      </c>
      <c r="N151" s="211"/>
    </row>
    <row r="152" spans="1:14" s="18" customFormat="1" ht="15" outlineLevel="2">
      <c r="A152" s="280" t="s">
        <v>421</v>
      </c>
      <c r="B152" s="275" t="s">
        <v>422</v>
      </c>
      <c r="C152" s="276"/>
      <c r="D152" s="277"/>
      <c r="E152" s="278"/>
      <c r="F152" s="279"/>
      <c r="G152" s="211"/>
      <c r="H152" s="280" t="s">
        <v>421</v>
      </c>
      <c r="I152" s="275" t="s">
        <v>422</v>
      </c>
      <c r="J152" s="276"/>
      <c r="K152" s="277"/>
      <c r="L152" s="278"/>
      <c r="M152" s="279"/>
      <c r="N152" s="211"/>
    </row>
    <row r="153" spans="1:14" s="18" customFormat="1" ht="45" outlineLevel="2">
      <c r="A153" s="263" t="s">
        <v>423</v>
      </c>
      <c r="B153" s="282" t="s">
        <v>424</v>
      </c>
      <c r="C153" s="265" t="s">
        <v>336</v>
      </c>
      <c r="D153" s="266">
        <v>1</v>
      </c>
      <c r="E153" s="267">
        <v>19126214.409778211</v>
      </c>
      <c r="F153" s="268">
        <f t="shared" si="11"/>
        <v>19126214.409778211</v>
      </c>
      <c r="G153" s="211"/>
      <c r="H153" s="263" t="s">
        <v>423</v>
      </c>
      <c r="I153" s="282" t="s">
        <v>424</v>
      </c>
      <c r="J153" s="265" t="s">
        <v>336</v>
      </c>
      <c r="K153" s="266">
        <v>1</v>
      </c>
      <c r="L153" s="267">
        <v>78200000</v>
      </c>
      <c r="M153" s="268">
        <f t="shared" ref="M153:M156" si="14">+K153*L153</f>
        <v>78200000</v>
      </c>
      <c r="N153" s="211"/>
    </row>
    <row r="154" spans="1:14" s="18" customFormat="1" ht="30" outlineLevel="2">
      <c r="A154" s="263" t="s">
        <v>425</v>
      </c>
      <c r="B154" s="282" t="s">
        <v>426</v>
      </c>
      <c r="C154" s="265" t="s">
        <v>336</v>
      </c>
      <c r="D154" s="266">
        <v>1</v>
      </c>
      <c r="E154" s="267">
        <v>140692.80630505251</v>
      </c>
      <c r="F154" s="268">
        <f t="shared" si="11"/>
        <v>140692.80630505251</v>
      </c>
      <c r="G154" s="211"/>
      <c r="H154" s="263" t="s">
        <v>425</v>
      </c>
      <c r="I154" s="282" t="s">
        <v>426</v>
      </c>
      <c r="J154" s="265" t="s">
        <v>336</v>
      </c>
      <c r="K154" s="266">
        <v>1</v>
      </c>
      <c r="L154" s="267">
        <v>2356000</v>
      </c>
      <c r="M154" s="268">
        <f t="shared" si="14"/>
        <v>2356000</v>
      </c>
      <c r="N154" s="211"/>
    </row>
    <row r="155" spans="1:14" s="18" customFormat="1" ht="60" outlineLevel="2">
      <c r="A155" s="263" t="s">
        <v>427</v>
      </c>
      <c r="B155" s="282" t="s">
        <v>428</v>
      </c>
      <c r="C155" s="265" t="s">
        <v>336</v>
      </c>
      <c r="D155" s="266">
        <v>1</v>
      </c>
      <c r="E155" s="267">
        <v>7274957.2355442531</v>
      </c>
      <c r="F155" s="268">
        <f t="shared" si="11"/>
        <v>7274957.2355442531</v>
      </c>
      <c r="G155" s="211"/>
      <c r="H155" s="263" t="s">
        <v>427</v>
      </c>
      <c r="I155" s="282" t="s">
        <v>428</v>
      </c>
      <c r="J155" s="265" t="s">
        <v>336</v>
      </c>
      <c r="K155" s="266">
        <v>1</v>
      </c>
      <c r="L155" s="267">
        <v>13420000</v>
      </c>
      <c r="M155" s="268">
        <f t="shared" si="14"/>
        <v>13420000</v>
      </c>
      <c r="N155" s="211"/>
    </row>
    <row r="156" spans="1:14" s="18" customFormat="1" ht="30" outlineLevel="2">
      <c r="A156" s="263" t="s">
        <v>429</v>
      </c>
      <c r="B156" s="282" t="s">
        <v>430</v>
      </c>
      <c r="C156" s="265" t="s">
        <v>150</v>
      </c>
      <c r="D156" s="266">
        <v>15</v>
      </c>
      <c r="E156" s="267">
        <v>585825.88567799318</v>
      </c>
      <c r="F156" s="268">
        <f t="shared" si="11"/>
        <v>8787388.2851698976</v>
      </c>
      <c r="G156" s="211"/>
      <c r="H156" s="263" t="s">
        <v>429</v>
      </c>
      <c r="I156" s="282" t="s">
        <v>430</v>
      </c>
      <c r="J156" s="265" t="s">
        <v>150</v>
      </c>
      <c r="K156" s="266">
        <v>15</v>
      </c>
      <c r="L156" s="267">
        <v>110000</v>
      </c>
      <c r="M156" s="268">
        <f t="shared" si="14"/>
        <v>1650000</v>
      </c>
      <c r="N156" s="211"/>
    </row>
    <row r="157" spans="1:14" s="18" customFormat="1" ht="15" outlineLevel="2">
      <c r="A157" s="280" t="s">
        <v>431</v>
      </c>
      <c r="B157" s="275" t="s">
        <v>384</v>
      </c>
      <c r="C157" s="276" t="s">
        <v>138</v>
      </c>
      <c r="D157" s="277"/>
      <c r="E157" s="278"/>
      <c r="F157" s="279"/>
      <c r="G157" s="211"/>
      <c r="H157" s="280" t="s">
        <v>431</v>
      </c>
      <c r="I157" s="275" t="s">
        <v>384</v>
      </c>
      <c r="J157" s="276" t="s">
        <v>138</v>
      </c>
      <c r="K157" s="277"/>
      <c r="L157" s="278"/>
      <c r="M157" s="279"/>
      <c r="N157" s="211"/>
    </row>
    <row r="158" spans="1:14" s="18" customFormat="1" ht="45.75" outlineLevel="2" thickBot="1">
      <c r="A158" s="263" t="s">
        <v>432</v>
      </c>
      <c r="B158" s="282" t="s">
        <v>386</v>
      </c>
      <c r="C158" s="265" t="s">
        <v>387</v>
      </c>
      <c r="D158" s="266">
        <f>2+2+2</f>
        <v>6</v>
      </c>
      <c r="E158" s="267">
        <v>189554.33169369833</v>
      </c>
      <c r="F158" s="268">
        <f t="shared" si="11"/>
        <v>1137325.99016219</v>
      </c>
      <c r="G158" s="211"/>
      <c r="H158" s="263" t="s">
        <v>432</v>
      </c>
      <c r="I158" s="282" t="s">
        <v>386</v>
      </c>
      <c r="J158" s="265" t="s">
        <v>387</v>
      </c>
      <c r="K158" s="266">
        <f>2+2+2</f>
        <v>6</v>
      </c>
      <c r="L158" s="267">
        <v>198000</v>
      </c>
      <c r="M158" s="268">
        <f t="shared" ref="M158" si="15">+K158*L158</f>
        <v>1188000</v>
      </c>
      <c r="N158" s="211"/>
    </row>
    <row r="159" spans="1:14" s="19" customFormat="1" ht="21" customHeight="1" thickTop="1" thickBot="1">
      <c r="A159" s="540" t="s">
        <v>68</v>
      </c>
      <c r="B159" s="541"/>
      <c r="C159" s="541"/>
      <c r="D159" s="541"/>
      <c r="E159" s="283"/>
      <c r="F159" s="284">
        <f>SUM(F12:F158)</f>
        <v>663475045.52695942</v>
      </c>
      <c r="G159" s="212"/>
      <c r="H159" s="540" t="s">
        <v>68</v>
      </c>
      <c r="I159" s="541"/>
      <c r="J159" s="541"/>
      <c r="K159" s="541"/>
      <c r="L159" s="283"/>
      <c r="M159" s="284">
        <f>SUM(M12:M158)</f>
        <v>642120193.44239998</v>
      </c>
      <c r="N159" s="212"/>
    </row>
    <row r="160" spans="1:14" s="19" customFormat="1" ht="19.5" customHeight="1">
      <c r="A160" s="509" t="s">
        <v>69</v>
      </c>
      <c r="B160" s="510"/>
      <c r="C160" s="510"/>
      <c r="D160" s="510"/>
      <c r="E160" s="187">
        <f>+'Analisis A.I.U.'!F34</f>
        <v>0.19980000000000001</v>
      </c>
      <c r="F160" s="188">
        <f>E160*F159</f>
        <v>132562314.09628649</v>
      </c>
      <c r="G160" s="212"/>
      <c r="H160" s="509" t="s">
        <v>69</v>
      </c>
      <c r="I160" s="510"/>
      <c r="J160" s="510"/>
      <c r="K160" s="510"/>
      <c r="L160" s="187">
        <f>+'Analisis A.I.U.'!O34</f>
        <v>0.22789999999999999</v>
      </c>
      <c r="M160" s="188">
        <f>L160*M159</f>
        <v>146339192.08552295</v>
      </c>
      <c r="N160" s="212"/>
    </row>
    <row r="161" spans="1:14" s="19" customFormat="1" ht="20.25" customHeight="1">
      <c r="A161" s="543" t="s">
        <v>70</v>
      </c>
      <c r="B161" s="544"/>
      <c r="C161" s="544"/>
      <c r="D161" s="544"/>
      <c r="E161" s="189">
        <f>+'Analisis A.I.U.'!F35</f>
        <v>0.01</v>
      </c>
      <c r="F161" s="190">
        <f>+F159*E161</f>
        <v>6634750.4552695947</v>
      </c>
      <c r="G161" s="213"/>
      <c r="H161" s="543" t="s">
        <v>70</v>
      </c>
      <c r="I161" s="544"/>
      <c r="J161" s="544"/>
      <c r="K161" s="544"/>
      <c r="L161" s="189">
        <f>+'Analisis A.I.U.'!O35</f>
        <v>0.01</v>
      </c>
      <c r="M161" s="190">
        <f>+M159*L161</f>
        <v>6421201.9344239999</v>
      </c>
      <c r="N161" s="213"/>
    </row>
    <row r="162" spans="1:14" s="19" customFormat="1" ht="18" customHeight="1">
      <c r="A162" s="545" t="s">
        <v>71</v>
      </c>
      <c r="B162" s="546"/>
      <c r="C162" s="546"/>
      <c r="D162" s="546"/>
      <c r="E162" s="191">
        <f>+'Analisis A.I.U.'!F36</f>
        <v>0.03</v>
      </c>
      <c r="F162" s="192">
        <f>E162*F159</f>
        <v>19904251.365808781</v>
      </c>
      <c r="G162" s="213"/>
      <c r="H162" s="545" t="s">
        <v>71</v>
      </c>
      <c r="I162" s="546"/>
      <c r="J162" s="546"/>
      <c r="K162" s="546"/>
      <c r="L162" s="191">
        <f>+'Analisis A.I.U.'!O36</f>
        <v>0.08</v>
      </c>
      <c r="M162" s="192">
        <f>L162*M159</f>
        <v>51369615.475391999</v>
      </c>
      <c r="N162" s="213"/>
    </row>
    <row r="163" spans="1:14" s="19" customFormat="1" ht="15.75" thickBot="1">
      <c r="A163" s="547" t="s">
        <v>139</v>
      </c>
      <c r="B163" s="548"/>
      <c r="C163" s="548"/>
      <c r="D163" s="548"/>
      <c r="E163" s="224">
        <v>0.19</v>
      </c>
      <c r="F163" s="193">
        <f>E163*F162</f>
        <v>3781807.7595036686</v>
      </c>
      <c r="G163" s="213"/>
      <c r="H163" s="547" t="s">
        <v>139</v>
      </c>
      <c r="I163" s="548"/>
      <c r="J163" s="548"/>
      <c r="K163" s="548"/>
      <c r="L163" s="224">
        <v>0.19</v>
      </c>
      <c r="M163" s="193">
        <f>L163*M162</f>
        <v>9760226.9403244797</v>
      </c>
      <c r="N163" s="213"/>
    </row>
    <row r="164" spans="1:14" s="20" customFormat="1" ht="16.5" thickBot="1">
      <c r="A164" s="507" t="s">
        <v>138</v>
      </c>
      <c r="B164" s="508"/>
      <c r="C164" s="508"/>
      <c r="D164" s="508"/>
      <c r="E164" s="121">
        <f>+SUM(E160:E162)</f>
        <v>0.23980000000000001</v>
      </c>
      <c r="F164" s="194">
        <f>SUM(F159:F163)</f>
        <v>826358169.20382798</v>
      </c>
      <c r="G164" s="213"/>
      <c r="H164" s="507" t="s">
        <v>138</v>
      </c>
      <c r="I164" s="508"/>
      <c r="J164" s="508"/>
      <c r="K164" s="508"/>
      <c r="L164" s="121">
        <f>+SUM(L160:L162)</f>
        <v>0.31790000000000002</v>
      </c>
      <c r="M164" s="194">
        <f>SUM(M159:M163)</f>
        <v>856010429.87806332</v>
      </c>
      <c r="N164" s="213"/>
    </row>
    <row r="165" spans="1:14" s="19" customFormat="1" ht="15.75" thickTop="1">
      <c r="A165" s="101"/>
      <c r="G165" s="213"/>
      <c r="H165" s="101"/>
      <c r="N165" s="213"/>
    </row>
    <row r="166" spans="1:14" s="205" customFormat="1" ht="18">
      <c r="A166" s="206"/>
      <c r="E166" s="286" t="s">
        <v>433</v>
      </c>
      <c r="F166" s="207" t="str">
        <f>+IF(SUM(G12:G158)=0,"OK","NO HABILITADO")</f>
        <v>OK</v>
      </c>
      <c r="G166" s="214"/>
      <c r="H166" s="206"/>
      <c r="L166" s="286" t="s">
        <v>433</v>
      </c>
      <c r="M166" s="207" t="str">
        <f>+IF(SUM(N12:N158)=0,"OK","NO HABILITADO")</f>
        <v>OK</v>
      </c>
      <c r="N166" s="214"/>
    </row>
    <row r="167" spans="1:14" s="97" customFormat="1" ht="18">
      <c r="A167" s="100"/>
      <c r="B167" s="99"/>
      <c r="C167" s="98"/>
      <c r="D167" s="98"/>
      <c r="E167" s="286" t="s">
        <v>455</v>
      </c>
      <c r="F167" s="207" t="str">
        <f>+IF(F164&gt;'3.2.1 EXPERIENCIA GRAL'!$F$6,"NO HABILITADO","OK")</f>
        <v>OK</v>
      </c>
      <c r="G167" s="213"/>
      <c r="H167" s="100"/>
      <c r="I167" s="99"/>
      <c r="J167" s="98"/>
      <c r="K167" s="98"/>
      <c r="L167" s="286" t="s">
        <v>455</v>
      </c>
      <c r="M167" s="207" t="str">
        <f>+IF(M164&gt;'3.2.1 EXPERIENCIA GRAL'!$F$6,"NO HABILITADO","OK")</f>
        <v>NO HABILITADO</v>
      </c>
      <c r="N167" s="213"/>
    </row>
    <row r="168" spans="1:14" ht="14.1" customHeight="1" thickBot="1">
      <c r="A168" s="287" t="s">
        <v>434</v>
      </c>
      <c r="B168" s="288"/>
      <c r="C168" s="289"/>
      <c r="D168" s="289"/>
      <c r="E168" s="289"/>
      <c r="F168" s="290"/>
      <c r="H168" s="287" t="s">
        <v>434</v>
      </c>
      <c r="I168" s="288"/>
      <c r="J168" s="289"/>
      <c r="K168" s="289"/>
      <c r="L168" s="289"/>
      <c r="M168" s="290"/>
    </row>
    <row r="169" spans="1:14" ht="12.95" customHeight="1" thickTop="1">
      <c r="A169" s="549" t="s">
        <v>435</v>
      </c>
      <c r="B169" s="550"/>
      <c r="C169" s="550"/>
      <c r="D169" s="550"/>
      <c r="E169" s="550"/>
      <c r="F169" s="551"/>
      <c r="H169" s="549" t="s">
        <v>435</v>
      </c>
      <c r="I169" s="550"/>
      <c r="J169" s="550"/>
      <c r="K169" s="550"/>
      <c r="L169" s="550"/>
      <c r="M169" s="551"/>
    </row>
    <row r="170" spans="1:14" ht="12.75" customHeight="1">
      <c r="A170" s="552"/>
      <c r="B170" s="553"/>
      <c r="C170" s="553"/>
      <c r="D170" s="553"/>
      <c r="E170" s="553"/>
      <c r="F170" s="554"/>
      <c r="H170" s="552"/>
      <c r="I170" s="553"/>
      <c r="J170" s="553"/>
      <c r="K170" s="553"/>
      <c r="L170" s="553"/>
      <c r="M170" s="554"/>
    </row>
    <row r="171" spans="1:14" ht="12.75" customHeight="1" thickBot="1">
      <c r="A171" s="555"/>
      <c r="B171" s="556"/>
      <c r="C171" s="556"/>
      <c r="D171" s="556"/>
      <c r="E171" s="556"/>
      <c r="F171" s="557"/>
      <c r="H171" s="555"/>
      <c r="I171" s="556"/>
      <c r="J171" s="556"/>
      <c r="K171" s="556"/>
      <c r="L171" s="556"/>
      <c r="M171" s="557"/>
    </row>
    <row r="172" spans="1:14" ht="12.75" customHeight="1" thickTop="1">
      <c r="A172" s="549" t="s">
        <v>436</v>
      </c>
      <c r="B172" s="550"/>
      <c r="C172" s="550"/>
      <c r="D172" s="550"/>
      <c r="E172" s="550"/>
      <c r="F172" s="551"/>
      <c r="H172" s="549" t="s">
        <v>436</v>
      </c>
      <c r="I172" s="550"/>
      <c r="J172" s="550"/>
      <c r="K172" s="550"/>
      <c r="L172" s="550"/>
      <c r="M172" s="551"/>
    </row>
    <row r="173" spans="1:14" ht="12.75" customHeight="1">
      <c r="A173" s="552"/>
      <c r="B173" s="553"/>
      <c r="C173" s="553"/>
      <c r="D173" s="553"/>
      <c r="E173" s="553"/>
      <c r="F173" s="554"/>
      <c r="H173" s="552"/>
      <c r="I173" s="553"/>
      <c r="J173" s="553"/>
      <c r="K173" s="553"/>
      <c r="L173" s="553"/>
      <c r="M173" s="554"/>
    </row>
    <row r="174" spans="1:14" ht="12.75" customHeight="1" thickBot="1">
      <c r="A174" s="555"/>
      <c r="B174" s="556"/>
      <c r="C174" s="556"/>
      <c r="D174" s="556"/>
      <c r="E174" s="556"/>
      <c r="F174" s="557"/>
      <c r="H174" s="555"/>
      <c r="I174" s="556"/>
      <c r="J174" s="556"/>
      <c r="K174" s="556"/>
      <c r="L174" s="556"/>
      <c r="M174" s="557"/>
    </row>
    <row r="175" spans="1:14" ht="12.75" customHeight="1" thickTop="1">
      <c r="A175" s="549" t="s">
        <v>437</v>
      </c>
      <c r="B175" s="550"/>
      <c r="C175" s="550"/>
      <c r="D175" s="550"/>
      <c r="E175" s="550"/>
      <c r="F175" s="551"/>
      <c r="H175" s="549" t="s">
        <v>437</v>
      </c>
      <c r="I175" s="550"/>
      <c r="J175" s="550"/>
      <c r="K175" s="550"/>
      <c r="L175" s="550"/>
      <c r="M175" s="551"/>
    </row>
    <row r="176" spans="1:14" ht="21" customHeight="1">
      <c r="A176" s="552"/>
      <c r="B176" s="553"/>
      <c r="C176" s="553"/>
      <c r="D176" s="553"/>
      <c r="E176" s="553"/>
      <c r="F176" s="554"/>
      <c r="H176" s="552"/>
      <c r="I176" s="553"/>
      <c r="J176" s="553"/>
      <c r="K176" s="553"/>
      <c r="L176" s="553"/>
      <c r="M176" s="554"/>
    </row>
    <row r="177" spans="1:13" ht="13.5" thickBot="1">
      <c r="A177" s="555"/>
      <c r="B177" s="556"/>
      <c r="C177" s="556"/>
      <c r="D177" s="556"/>
      <c r="E177" s="556"/>
      <c r="F177" s="557"/>
      <c r="H177" s="555"/>
      <c r="I177" s="556"/>
      <c r="J177" s="556"/>
      <c r="K177" s="556"/>
      <c r="L177" s="556"/>
      <c r="M177" s="557"/>
    </row>
    <row r="178" spans="1:13" ht="13.5" thickTop="1">
      <c r="A178" s="549" t="s">
        <v>438</v>
      </c>
      <c r="B178" s="550"/>
      <c r="C178" s="550"/>
      <c r="D178" s="550"/>
      <c r="E178" s="550"/>
      <c r="F178" s="551"/>
      <c r="H178" s="549" t="s">
        <v>438</v>
      </c>
      <c r="I178" s="550"/>
      <c r="J178" s="550"/>
      <c r="K178" s="550"/>
      <c r="L178" s="550"/>
      <c r="M178" s="551"/>
    </row>
    <row r="179" spans="1:13">
      <c r="A179" s="552"/>
      <c r="B179" s="553"/>
      <c r="C179" s="553"/>
      <c r="D179" s="553"/>
      <c r="E179" s="553"/>
      <c r="F179" s="554"/>
      <c r="H179" s="552"/>
      <c r="I179" s="553"/>
      <c r="J179" s="553"/>
      <c r="K179" s="553"/>
      <c r="L179" s="553"/>
      <c r="M179" s="554"/>
    </row>
    <row r="180" spans="1:13" ht="13.5" thickBot="1">
      <c r="A180" s="555"/>
      <c r="B180" s="556"/>
      <c r="C180" s="556"/>
      <c r="D180" s="556"/>
      <c r="E180" s="556"/>
      <c r="F180" s="557"/>
      <c r="H180" s="555"/>
      <c r="I180" s="556"/>
      <c r="J180" s="556"/>
      <c r="K180" s="556"/>
      <c r="L180" s="556"/>
      <c r="M180" s="557"/>
    </row>
    <row r="181" spans="1:13" ht="13.5" thickTop="1"/>
    <row r="183" spans="1:13">
      <c r="B183" s="97"/>
      <c r="C183" s="97"/>
      <c r="D183" s="97"/>
      <c r="E183" s="97"/>
      <c r="F183" s="97"/>
      <c r="I183" s="97"/>
      <c r="J183" s="97"/>
      <c r="K183" s="97"/>
      <c r="L183" s="97"/>
      <c r="M183" s="97"/>
    </row>
    <row r="184" spans="1:13">
      <c r="B184" s="97"/>
      <c r="C184" s="97"/>
      <c r="D184" s="97"/>
      <c r="E184" s="97"/>
      <c r="F184" s="97"/>
      <c r="I184" s="97"/>
      <c r="J184" s="97"/>
      <c r="K184" s="97"/>
      <c r="L184" s="97"/>
      <c r="M184" s="97"/>
    </row>
    <row r="185" spans="1:13">
      <c r="B185" s="97"/>
      <c r="C185" s="97"/>
      <c r="D185" s="97"/>
      <c r="E185" s="97"/>
      <c r="F185" s="97"/>
      <c r="I185" s="97"/>
      <c r="J185" s="97"/>
      <c r="K185" s="97"/>
      <c r="L185" s="97"/>
      <c r="M185" s="97"/>
    </row>
    <row r="186" spans="1:13">
      <c r="B186" s="97"/>
      <c r="C186" s="97"/>
      <c r="D186" s="97"/>
      <c r="E186" s="97"/>
      <c r="F186" s="97"/>
      <c r="I186" s="97"/>
      <c r="J186" s="97"/>
      <c r="K186" s="97"/>
      <c r="L186" s="97"/>
      <c r="M186" s="97"/>
    </row>
    <row r="187" spans="1:13">
      <c r="B187" s="97"/>
      <c r="C187" s="97"/>
      <c r="D187" s="97"/>
      <c r="E187" s="97"/>
      <c r="F187" s="97"/>
      <c r="I187" s="97"/>
      <c r="J187" s="97"/>
      <c r="K187" s="97"/>
      <c r="L187" s="97"/>
      <c r="M187" s="97"/>
    </row>
    <row r="188" spans="1:13">
      <c r="B188" s="97"/>
      <c r="C188" s="97"/>
      <c r="D188" s="97"/>
      <c r="E188" s="97"/>
      <c r="F188" s="97"/>
      <c r="I188" s="97"/>
      <c r="J188" s="97"/>
      <c r="K188" s="97"/>
      <c r="L188" s="97"/>
      <c r="M188" s="97"/>
    </row>
  </sheetData>
  <sheetProtection algorithmName="SHA-512" hashValue="E2Ag3UjZ/R5TxylsTE9WOkO1NF+F5j1BKeHeDCLrLN83kDqlF0YlHTxKM3xAG6/0mKlfQvI9FQBKhDinj7+nmQ==" saltValue="uhBw6zZZdiinaSRvcRk5tQ==" spinCount="100000" sheet="1" objects="1" scenarios="1"/>
  <mergeCells count="34">
    <mergeCell ref="H169:M171"/>
    <mergeCell ref="H172:M174"/>
    <mergeCell ref="H175:M177"/>
    <mergeCell ref="H178:M180"/>
    <mergeCell ref="A169:F171"/>
    <mergeCell ref="A172:F174"/>
    <mergeCell ref="A175:F177"/>
    <mergeCell ref="A178:F180"/>
    <mergeCell ref="B1:F1"/>
    <mergeCell ref="I1:M1"/>
    <mergeCell ref="H161:K161"/>
    <mergeCell ref="H162:K162"/>
    <mergeCell ref="H163:K163"/>
    <mergeCell ref="A159:D159"/>
    <mergeCell ref="A160:D160"/>
    <mergeCell ref="A161:D161"/>
    <mergeCell ref="A162:D162"/>
    <mergeCell ref="A2:B7"/>
    <mergeCell ref="C6:C7"/>
    <mergeCell ref="A163:D163"/>
    <mergeCell ref="A164:D164"/>
    <mergeCell ref="H160:K160"/>
    <mergeCell ref="C2:F2"/>
    <mergeCell ref="D6:F7"/>
    <mergeCell ref="C8:F8"/>
    <mergeCell ref="C3:F5"/>
    <mergeCell ref="H164:K164"/>
    <mergeCell ref="J3:M5"/>
    <mergeCell ref="H2:I7"/>
    <mergeCell ref="J2:M2"/>
    <mergeCell ref="J6:J7"/>
    <mergeCell ref="K6:M7"/>
    <mergeCell ref="J8:M8"/>
    <mergeCell ref="H159:K159"/>
  </mergeCells>
  <hyperlinks>
    <hyperlink ref="A24" location="A.P.U.!C398" display="2.1"/>
    <hyperlink ref="H24" location="A.P.U.!C398" display="2.1"/>
  </hyperlinks>
  <printOptions horizontalCentered="1"/>
  <pageMargins left="0.70866141732283472" right="0.70866141732283472" top="0.74803149606299213" bottom="0.74803149606299213" header="0.31496062992125984" footer="0.31496062992125984"/>
  <pageSetup scale="57" fitToHeight="0" orientation="portrait" r:id="rId1"/>
  <headerFooter>
    <oddHeader>&amp;L&amp;D&amp;R&amp;G</oddHeader>
    <oddFooter>&amp;L&amp;"Swis721 LtCn BT,Light"&amp;F
&amp;A&amp;C&amp;"Swis721 LtCn BT,Light"&amp;Pde&amp;N&amp;R&amp;"Swis721 LtCn BT,Light"Presupuesto Obra Civil:
Elaborado por : Viviana  Valencia Montoya</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ENTREGA</vt:lpstr>
      <vt:lpstr>APERTURA DE SOBRES</vt:lpstr>
      <vt:lpstr>3. REQUISITOS JURÍDICOS</vt:lpstr>
      <vt:lpstr>3.2.1 EXPERIENCIA GRAL</vt:lpstr>
      <vt:lpstr>3.3 CAP FINANCIERA</vt:lpstr>
      <vt:lpstr>3.4 REQUISITOS COMERCIALES</vt:lpstr>
      <vt:lpstr>10. EVALUACIÓN</vt:lpstr>
      <vt:lpstr>Cálculo Pt3 y Pt4</vt:lpstr>
      <vt:lpstr>Presupuesto Consolidado</vt:lpstr>
      <vt:lpstr>Analisis A.I.U.</vt:lpstr>
      <vt:lpstr>'10. EVALUACIÓN'!Área_de_impresión</vt:lpstr>
      <vt:lpstr>'3.2.1 EXPERIENCIA GRAL'!Área_de_impresión</vt:lpstr>
      <vt:lpstr>'3.3 CAP FINANCIERA'!Área_de_impresión</vt:lpstr>
      <vt:lpstr>'Analisis A.I.U.'!Área_de_impresión</vt:lpstr>
      <vt:lpstr>'Presupuesto Consolidado'!Área_de_impresión</vt:lpstr>
      <vt:lpstr>'3. REQUISITOS JURÍDICOS'!Títulos_a_imprimir</vt:lpstr>
      <vt:lpstr>'3.2.1 EXPERIENCIA GRAL'!Títulos_a_imprimir</vt:lpstr>
      <vt:lpstr>'3.3 CAP FINANCIERA'!Títulos_a_imprimir</vt:lpstr>
      <vt:lpstr>'3.4 REQUISITOS COMERCIALES'!Títulos_a_imprimir</vt:lpstr>
      <vt:lpstr>'Analisis A.I.U.'!Títulos_a_imprimir</vt:lpstr>
      <vt:lpstr>'Cálculo Pt3 y Pt4'!Títulos_a_imprimir</vt:lpstr>
      <vt:lpstr>'Presupuesto Consolidado'!Títulos_a_imprimir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Luz Amparo Medina Fernandez</cp:lastModifiedBy>
  <cp:lastPrinted>2018-04-05T13:57:20Z</cp:lastPrinted>
  <dcterms:created xsi:type="dcterms:W3CDTF">2013-08-04T21:27:49Z</dcterms:created>
  <dcterms:modified xsi:type="dcterms:W3CDTF">2018-12-27T13:13:12Z</dcterms:modified>
</cp:coreProperties>
</file>