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POYECTOS\PROYECTOS 2019\OBRA CIVIL\5. SIU-20230015-01-2019 Biofabrica\EVALUACIÓN\"/>
    </mc:Choice>
  </mc:AlternateContent>
  <bookViews>
    <workbookView xWindow="0" yWindow="0" windowWidth="24000" windowHeight="14130" tabRatio="923"/>
  </bookViews>
  <sheets>
    <sheet name="ENTREGA" sheetId="2" r:id="rId1"/>
    <sheet name="APERTURA DE SOBRES" sheetId="22" r:id="rId2"/>
    <sheet name="3. REQUISITOS JURÍDICOS" sheetId="21" r:id="rId3"/>
    <sheet name="3.2.1 EXPERIENCIA GRAL" sheetId="3" r:id="rId4"/>
    <sheet name="3.3 CAP FINANCIERA" sheetId="1" r:id="rId5"/>
    <sheet name="3.4 REQUISITOS COMERCIALES" sheetId="10" r:id="rId6"/>
    <sheet name="10. EVALUACIÓN" sheetId="18" r:id="rId7"/>
    <sheet name="Cálculo Pt2" sheetId="28" r:id="rId8"/>
    <sheet name="Presupuesto Consolidado" sheetId="29" r:id="rId9"/>
    <sheet name="Analisis A.I.U." sheetId="30" r:id="rId10"/>
  </sheets>
  <externalReferences>
    <externalReference r:id="rId11"/>
    <externalReference r:id="rId12"/>
    <externalReference r:id="rId13"/>
    <externalReference r:id="rId14"/>
  </externalReferences>
  <definedNames>
    <definedName name="_Dist_Bin" hidden="1">[1]MPC3I4!$A$2040:$DD$3161</definedName>
    <definedName name="_Dist_Values" hidden="1">[1]MPC3I4!$A$2552:$IV$3906</definedName>
    <definedName name="_xlnm._FilterDatabase" localSheetId="1" hidden="1">'APERTURA DE SOBRES'!$A$6:$I$6</definedName>
    <definedName name="_xlnm.Print_Area" localSheetId="3">'3.2.1 EXPERIENCIA GRAL'!$A$2:$I$127</definedName>
    <definedName name="_xlnm.Print_Area" localSheetId="4">'3.3 CAP FINANCIERA'!$A$1:$N$17</definedName>
    <definedName name="_xlnm.Print_Area" localSheetId="9">'Analisis A.I.U.'!$A$2:$H$39</definedName>
    <definedName name="DESC_APU" localSheetId="9">IF(LEN([2]A.P.U.!$B1)=2,VLOOKUP([2]A.P.U.!$B1,[3]Ppto!$D:$P,2,FALSE),IF([2]A.P.U.!$A1="",IF([2]A.P.U.!$B1="",IF([2]A.P.U.!$A1048576="","",DIRECTO),""),'Analisis A.I.U.'!DESCRIPCION_APU))</definedName>
    <definedName name="DESCRIPCION_APU" localSheetId="9">IF(ISERROR(SEARCH("-",[2]A.P.U.!$B1,3)),INSUMO,ITEM)</definedName>
    <definedName name="_xlnm.Print_Titles" localSheetId="2">'3. REQUISITOS JURÍDICOS'!$A:$B,'3. REQUISITOS JURÍDICOS'!$2:$6</definedName>
    <definedName name="_xlnm.Print_Titles" localSheetId="3">'3.2.1 EXPERIENCIA GRAL'!$2:$7</definedName>
    <definedName name="_xlnm.Print_Titles" localSheetId="4">'3.3 CAP FINANCIERA'!$A:$B,'3.3 CAP FINANCIERA'!$1:$5</definedName>
    <definedName name="_xlnm.Print_Titles" localSheetId="5">'3.4 REQUISITOS COMERCIALES'!$1:$3</definedName>
    <definedName name="_xlnm.Print_Titles" localSheetId="9">'Analisis A.I.U.'!$2:$3</definedName>
    <definedName name="wrn.items." localSheetId="6" hidden="1">{#N/A,#N/A,FALSE,"Items"}</definedName>
    <definedName name="wrn.items." localSheetId="2" hidden="1">{#N/A,#N/A,FALSE,"Items"}</definedName>
    <definedName name="wrn.items." localSheetId="1" hidden="1">{#N/A,#N/A,FALSE,"Items"}</definedName>
    <definedName name="wrn.items." hidden="1">{#N/A,#N/A,FALSE,"Items"}</definedName>
    <definedName name="wrn1.items" localSheetId="6" hidden="1">{#N/A,#N/A,FALSE,"Items"}</definedName>
    <definedName name="wrn1.items" localSheetId="2" hidden="1">{#N/A,#N/A,FALSE,"Items"}</definedName>
    <definedName name="wrn1.items" localSheetId="1" hidden="1">{#N/A,#N/A,FALSE,"Items"}</definedName>
    <definedName name="wrn1.items" hidden="1">{#N/A,#N/A,FALSE,"Items"}</definedName>
    <definedName name="Z_0DF4D8E0_70F8_43CF_A6D4_A84D04F4D812_.wvu.Cols" localSheetId="0" hidden="1">ENTREGA!#REF!</definedName>
    <definedName name="Z_0DF4D8E0_70F8_43CF_A6D4_A84D04F4D812_.wvu.PrintArea" localSheetId="0" hidden="1">ENTREGA!$A$1:$B$15</definedName>
    <definedName name="Z_0DF4D8E0_70F8_43CF_A6D4_A84D04F4D812_.wvu.Rows" localSheetId="0" hidden="1">ENTREGA!#REF!</definedName>
  </definedNames>
  <calcPr calcId="162913" iterate="1" iterateCount="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22" l="1"/>
  <c r="Q25" i="30" l="1"/>
  <c r="C44" i="30" l="1"/>
  <c r="E271" i="29"/>
  <c r="Q35" i="30" l="1"/>
  <c r="H25" i="30" l="1"/>
  <c r="AI25" i="30" l="1"/>
  <c r="Z25" i="30"/>
  <c r="Z24" i="30"/>
  <c r="Z22" i="30"/>
  <c r="Z19" i="30"/>
  <c r="Z17" i="30"/>
  <c r="Z16" i="30"/>
  <c r="Z13" i="30"/>
  <c r="Z12" i="30"/>
  <c r="Z10" i="30"/>
  <c r="Z9" i="30"/>
  <c r="Z7" i="30"/>
  <c r="Z6" i="30"/>
  <c r="H32" i="30"/>
  <c r="H30" i="30"/>
  <c r="H29" i="30"/>
  <c r="H27" i="30"/>
  <c r="H26" i="30"/>
  <c r="H24" i="30"/>
  <c r="H22" i="30"/>
  <c r="H19" i="30"/>
  <c r="H17" i="30"/>
  <c r="H16" i="30"/>
  <c r="H13" i="30"/>
  <c r="H12" i="30"/>
  <c r="H10" i="30"/>
  <c r="H9" i="30"/>
  <c r="H7" i="30"/>
  <c r="H6" i="30"/>
  <c r="AI35" i="30" l="1"/>
  <c r="AG36" i="30" s="1"/>
  <c r="Z35" i="30" l="1"/>
  <c r="X36" i="30" s="1"/>
  <c r="E262" i="29" l="1"/>
  <c r="F10" i="22" l="1"/>
  <c r="F7" i="22"/>
  <c r="A177" i="28" l="1"/>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87" i="28"/>
  <c r="A73" i="28"/>
  <c r="A74" i="28"/>
  <c r="A75" i="28"/>
  <c r="A76" i="28"/>
  <c r="A77" i="28"/>
  <c r="A78" i="28"/>
  <c r="A79" i="28"/>
  <c r="A80" i="28"/>
  <c r="A81" i="28"/>
  <c r="A82" i="28"/>
  <c r="A83" i="28"/>
  <c r="A84" i="28"/>
  <c r="A85" i="28"/>
  <c r="A86" i="28"/>
  <c r="A71" i="28"/>
  <c r="A72" i="28"/>
  <c r="A48" i="28"/>
  <c r="A49" i="28"/>
  <c r="A50" i="28"/>
  <c r="A51" i="28"/>
  <c r="A52" i="28"/>
  <c r="A53" i="28"/>
  <c r="A54" i="28"/>
  <c r="A55" i="28"/>
  <c r="A56" i="28"/>
  <c r="A57" i="28"/>
  <c r="A58" i="28"/>
  <c r="A59" i="28"/>
  <c r="A60" i="28"/>
  <c r="A61" i="28"/>
  <c r="A62" i="28"/>
  <c r="A63" i="28"/>
  <c r="A64" i="28"/>
  <c r="A65" i="28"/>
  <c r="A66" i="28"/>
  <c r="A67" i="28"/>
  <c r="A68" i="28"/>
  <c r="A69" i="28"/>
  <c r="A70" i="28"/>
  <c r="A47" i="28"/>
  <c r="A44" i="28"/>
  <c r="A43" i="28"/>
  <c r="A42" i="28"/>
  <c r="A41" i="28"/>
  <c r="A39" i="28"/>
  <c r="A40" i="28"/>
  <c r="A38" i="28"/>
  <c r="A36" i="28"/>
  <c r="A37" i="28"/>
  <c r="A35" i="28"/>
  <c r="A34" i="28"/>
  <c r="A33" i="28"/>
  <c r="A32" i="28"/>
  <c r="A31" i="28"/>
  <c r="A27" i="28"/>
  <c r="A28" i="28"/>
  <c r="A29" i="28"/>
  <c r="A30" i="28"/>
  <c r="A26" i="28"/>
  <c r="A25" i="28"/>
  <c r="A24" i="28"/>
  <c r="A23" i="28"/>
  <c r="A22" i="28"/>
  <c r="A21" i="28"/>
  <c r="A20" i="28"/>
  <c r="A19" i="28"/>
  <c r="A18" i="28"/>
  <c r="A17" i="28"/>
  <c r="A16" i="28"/>
  <c r="A15" i="28"/>
  <c r="A14" i="28"/>
  <c r="AI50" i="30"/>
  <c r="AG39" i="30"/>
  <c r="AJ37" i="30"/>
  <c r="AI36" i="30"/>
  <c r="AJ32" i="30"/>
  <c r="AI32" i="30"/>
  <c r="AJ30" i="30"/>
  <c r="AI30" i="30"/>
  <c r="AJ29" i="30"/>
  <c r="AI29" i="30"/>
  <c r="AJ27" i="30"/>
  <c r="AI27" i="30"/>
  <c r="AJ26" i="30"/>
  <c r="AI26" i="30"/>
  <c r="AJ25" i="30"/>
  <c r="AJ24" i="30"/>
  <c r="AI24" i="30"/>
  <c r="AJ23" i="30"/>
  <c r="AJ22" i="30"/>
  <c r="AI22" i="30"/>
  <c r="AJ19" i="30"/>
  <c r="AI19" i="30"/>
  <c r="AJ17" i="30"/>
  <c r="AI17" i="30"/>
  <c r="AJ16" i="30"/>
  <c r="AI16" i="30"/>
  <c r="AJ13" i="30"/>
  <c r="AI13" i="30"/>
  <c r="AJ12" i="30"/>
  <c r="AI12" i="30"/>
  <c r="AJ10" i="30"/>
  <c r="AI10" i="30"/>
  <c r="AJ9" i="30"/>
  <c r="AI9" i="30"/>
  <c r="AJ7" i="30"/>
  <c r="AI7" i="30"/>
  <c r="AJ6" i="30"/>
  <c r="AI6" i="30"/>
  <c r="Z50" i="30"/>
  <c r="X39" i="30"/>
  <c r="AA37" i="30"/>
  <c r="Z36" i="30"/>
  <c r="AA32" i="30"/>
  <c r="Z32" i="30"/>
  <c r="AA30" i="30"/>
  <c r="Z30" i="30"/>
  <c r="AA29" i="30"/>
  <c r="Z29" i="30"/>
  <c r="AA27" i="30"/>
  <c r="Z27" i="30"/>
  <c r="AA26" i="30"/>
  <c r="Z26" i="30"/>
  <c r="AA25" i="30"/>
  <c r="AA24" i="30"/>
  <c r="AA23" i="30"/>
  <c r="AA22" i="30"/>
  <c r="AA19" i="30"/>
  <c r="AA17" i="30"/>
  <c r="AA16" i="30"/>
  <c r="AA13" i="30"/>
  <c r="AA12" i="30"/>
  <c r="AA10" i="30"/>
  <c r="AA9" i="30"/>
  <c r="AA7" i="30"/>
  <c r="AA6" i="30"/>
  <c r="R37" i="30"/>
  <c r="R32" i="30"/>
  <c r="Q32" i="30"/>
  <c r="R30" i="30"/>
  <c r="Q30" i="30"/>
  <c r="R29" i="30"/>
  <c r="Q29" i="30"/>
  <c r="R27" i="30"/>
  <c r="Q27" i="30"/>
  <c r="R26" i="30"/>
  <c r="Q26" i="30"/>
  <c r="R25" i="30"/>
  <c r="R24" i="30"/>
  <c r="Q24" i="30"/>
  <c r="R23" i="30"/>
  <c r="R22" i="30"/>
  <c r="Q22" i="30"/>
  <c r="R19" i="30"/>
  <c r="Q19" i="30"/>
  <c r="R17" i="30"/>
  <c r="Q17" i="30"/>
  <c r="R16" i="30"/>
  <c r="Q16" i="30"/>
  <c r="R13" i="30"/>
  <c r="Q13" i="30"/>
  <c r="R12" i="30"/>
  <c r="Q12" i="30"/>
  <c r="R10" i="30"/>
  <c r="Q10" i="30"/>
  <c r="R9" i="30"/>
  <c r="Q9" i="30"/>
  <c r="R7" i="30"/>
  <c r="Q7" i="30"/>
  <c r="R6" i="30"/>
  <c r="Q6" i="30"/>
  <c r="I32" i="30"/>
  <c r="I30" i="30"/>
  <c r="I29" i="30"/>
  <c r="I27" i="30"/>
  <c r="I26" i="30"/>
  <c r="I25" i="30"/>
  <c r="I24" i="30"/>
  <c r="I22" i="30"/>
  <c r="I19" i="30"/>
  <c r="I17" i="30"/>
  <c r="I16" i="30"/>
  <c r="I13" i="30"/>
  <c r="I12" i="30"/>
  <c r="I10" i="30"/>
  <c r="I7" i="30"/>
  <c r="Q33" i="30" l="1"/>
  <c r="AI33" i="30"/>
  <c r="Q51" i="30"/>
  <c r="AI51" i="30"/>
  <c r="H33" i="30"/>
  <c r="Z37" i="30"/>
  <c r="Z38" i="30" s="1"/>
  <c r="Z39" i="30" s="1"/>
  <c r="Z49" i="30" s="1"/>
  <c r="AI37" i="30"/>
  <c r="AI38" i="30" s="1"/>
  <c r="AI39" i="30" s="1"/>
  <c r="AI49" i="30" s="1"/>
  <c r="Z51" i="30"/>
  <c r="Z33" i="30"/>
  <c r="AF259" i="29"/>
  <c r="AD259" i="29"/>
  <c r="AF258" i="29"/>
  <c r="AD258" i="29"/>
  <c r="AF257" i="29"/>
  <c r="AD257" i="29"/>
  <c r="AF256" i="29"/>
  <c r="AD256" i="29"/>
  <c r="AF255" i="29"/>
  <c r="AD255" i="29"/>
  <c r="AF254" i="29"/>
  <c r="AD254" i="29"/>
  <c r="AE252" i="29" s="1"/>
  <c r="AF253" i="29"/>
  <c r="AD253" i="29"/>
  <c r="AF252" i="29"/>
  <c r="AF251" i="29"/>
  <c r="AD251" i="29"/>
  <c r="AF250" i="29"/>
  <c r="AD250" i="29"/>
  <c r="AF249" i="29"/>
  <c r="AD249" i="29"/>
  <c r="AF248" i="29"/>
  <c r="AD248" i="29"/>
  <c r="AF247" i="29"/>
  <c r="AD247" i="29"/>
  <c r="AF246" i="29"/>
  <c r="AD246" i="29"/>
  <c r="AF245" i="29"/>
  <c r="AD245" i="29"/>
  <c r="AF244" i="29"/>
  <c r="AD244" i="29"/>
  <c r="AF243" i="29"/>
  <c r="AD243" i="29"/>
  <c r="AF242" i="29"/>
  <c r="AD242" i="29"/>
  <c r="AF241" i="29"/>
  <c r="AD241" i="29"/>
  <c r="AF240" i="29"/>
  <c r="AD240" i="29"/>
  <c r="AF239" i="29"/>
  <c r="AD239" i="29"/>
  <c r="AF238" i="29"/>
  <c r="AD238" i="29"/>
  <c r="AF237" i="29"/>
  <c r="AD237" i="29"/>
  <c r="AF236" i="29"/>
  <c r="AD236" i="29"/>
  <c r="AF235" i="29"/>
  <c r="AF234" i="29"/>
  <c r="AD234" i="29"/>
  <c r="AF233" i="29"/>
  <c r="AD233" i="29"/>
  <c r="AF232" i="29"/>
  <c r="AE232" i="29"/>
  <c r="AF231" i="29"/>
  <c r="AD231" i="29"/>
  <c r="AF230" i="29"/>
  <c r="AD230" i="29"/>
  <c r="AE229" i="29" s="1"/>
  <c r="AF229" i="29"/>
  <c r="AF228" i="29"/>
  <c r="AD228" i="29"/>
  <c r="AF227" i="29"/>
  <c r="AD227" i="29"/>
  <c r="AF226" i="29"/>
  <c r="AD226" i="29"/>
  <c r="AF225" i="29"/>
  <c r="AF224" i="29"/>
  <c r="AD224" i="29"/>
  <c r="AE223" i="29" s="1"/>
  <c r="AF223" i="29"/>
  <c r="AF222" i="29"/>
  <c r="AD222" i="29"/>
  <c r="AF221" i="29"/>
  <c r="AD221" i="29"/>
  <c r="AF220" i="29"/>
  <c r="AD220" i="29"/>
  <c r="AF219" i="29"/>
  <c r="AD219" i="29"/>
  <c r="AF218" i="29"/>
  <c r="AF217" i="29"/>
  <c r="AD217" i="29"/>
  <c r="AF216" i="29"/>
  <c r="AD216" i="29"/>
  <c r="AE213" i="29" s="1"/>
  <c r="AF215" i="29"/>
  <c r="AD215" i="29"/>
  <c r="AF214" i="29"/>
  <c r="AD214" i="29"/>
  <c r="AF213" i="29"/>
  <c r="AF212" i="29"/>
  <c r="AD212" i="29"/>
  <c r="AF211" i="29"/>
  <c r="AD211" i="29"/>
  <c r="AF210" i="29"/>
  <c r="AD210" i="29"/>
  <c r="AF209" i="29"/>
  <c r="AF208" i="29"/>
  <c r="AF207" i="29"/>
  <c r="AD207" i="29"/>
  <c r="AF206" i="29"/>
  <c r="AD206" i="29"/>
  <c r="AF205" i="29"/>
  <c r="AD205" i="29"/>
  <c r="AF204" i="29"/>
  <c r="AD204" i="29"/>
  <c r="AF203" i="29"/>
  <c r="AD203" i="29"/>
  <c r="AF202" i="29"/>
  <c r="AD202" i="29"/>
  <c r="AF201" i="29"/>
  <c r="AD201" i="29"/>
  <c r="AF200" i="29"/>
  <c r="AD200" i="29"/>
  <c r="AF199" i="29"/>
  <c r="AD199" i="29"/>
  <c r="AF198" i="29"/>
  <c r="AD198" i="29"/>
  <c r="AF197" i="29"/>
  <c r="AD197" i="29"/>
  <c r="AF196" i="29"/>
  <c r="AD196" i="29"/>
  <c r="AF195" i="29"/>
  <c r="AD195" i="29"/>
  <c r="AF194" i="29"/>
  <c r="AD194" i="29"/>
  <c r="AF193" i="29"/>
  <c r="AD193" i="29"/>
  <c r="AF192" i="29"/>
  <c r="AD192" i="29"/>
  <c r="AF191" i="29"/>
  <c r="AD191" i="29"/>
  <c r="AF190" i="29"/>
  <c r="AD190" i="29"/>
  <c r="AF189" i="29"/>
  <c r="AD189" i="29"/>
  <c r="AF188" i="29"/>
  <c r="AD188" i="29"/>
  <c r="AF187" i="29"/>
  <c r="AD187" i="29"/>
  <c r="AF186" i="29"/>
  <c r="AD186" i="29"/>
  <c r="AF185" i="29"/>
  <c r="AD185" i="29"/>
  <c r="AF184" i="29"/>
  <c r="AD184" i="29"/>
  <c r="AE183" i="29" s="1"/>
  <c r="AF183" i="29"/>
  <c r="AF182" i="29"/>
  <c r="AD182" i="29"/>
  <c r="AF181" i="29"/>
  <c r="AD181" i="29"/>
  <c r="AF180" i="29"/>
  <c r="AD180" i="29"/>
  <c r="AF179" i="29"/>
  <c r="AD179" i="29"/>
  <c r="AF178" i="29"/>
  <c r="AD178" i="29"/>
  <c r="AF177" i="29"/>
  <c r="AD177" i="29"/>
  <c r="AF176" i="29"/>
  <c r="AD176" i="29"/>
  <c r="AF175" i="29"/>
  <c r="AD175" i="29"/>
  <c r="AF174" i="29"/>
  <c r="AD174" i="29"/>
  <c r="AF173" i="29"/>
  <c r="AD173" i="29"/>
  <c r="AF172" i="29"/>
  <c r="AD172" i="29"/>
  <c r="AF171" i="29"/>
  <c r="AD171" i="29"/>
  <c r="AF170" i="29"/>
  <c r="AD170" i="29"/>
  <c r="AF169" i="29"/>
  <c r="AD169" i="29"/>
  <c r="AF168" i="29"/>
  <c r="AF167" i="29"/>
  <c r="AD167" i="29"/>
  <c r="AF166" i="29"/>
  <c r="AD166" i="29"/>
  <c r="AF165" i="29"/>
  <c r="AD165" i="29"/>
  <c r="AF164" i="29"/>
  <c r="AD164" i="29"/>
  <c r="AF163" i="29"/>
  <c r="AD163" i="29"/>
  <c r="AF162" i="29"/>
  <c r="AD162" i="29"/>
  <c r="AF161" i="29"/>
  <c r="AD161" i="29"/>
  <c r="AF160" i="29"/>
  <c r="AD160" i="29"/>
  <c r="AF159" i="29"/>
  <c r="AD159" i="29"/>
  <c r="AF158" i="29"/>
  <c r="AF157" i="29"/>
  <c r="AD157" i="29"/>
  <c r="AF156" i="29"/>
  <c r="AD156" i="29"/>
  <c r="AF155" i="29"/>
  <c r="AD155" i="29"/>
  <c r="AF154" i="29"/>
  <c r="AD154" i="29"/>
  <c r="AF153" i="29"/>
  <c r="AD153" i="29"/>
  <c r="AF152" i="29"/>
  <c r="AD152" i="29"/>
  <c r="AF151" i="29"/>
  <c r="AD151" i="29"/>
  <c r="AF150" i="29"/>
  <c r="AD150" i="29"/>
  <c r="AF149" i="29"/>
  <c r="AF148" i="29"/>
  <c r="AF147" i="29"/>
  <c r="AD147" i="29"/>
  <c r="AF146" i="29"/>
  <c r="AD146" i="29"/>
  <c r="AF145" i="29"/>
  <c r="AD145" i="29"/>
  <c r="AF144" i="29"/>
  <c r="AD144" i="29"/>
  <c r="AF143" i="29"/>
  <c r="AD143" i="29"/>
  <c r="AF142" i="29"/>
  <c r="AD142" i="29"/>
  <c r="AF141" i="29"/>
  <c r="AD141" i="29"/>
  <c r="AF140" i="29"/>
  <c r="AD140" i="29"/>
  <c r="AF139" i="29"/>
  <c r="AD139" i="29"/>
  <c r="AF138" i="29"/>
  <c r="AD138" i="29"/>
  <c r="AF137" i="29"/>
  <c r="AD137" i="29"/>
  <c r="AF136" i="29"/>
  <c r="AD136" i="29"/>
  <c r="AF135" i="29"/>
  <c r="AD135" i="29"/>
  <c r="AF134" i="29"/>
  <c r="AD134" i="29"/>
  <c r="AF133" i="29"/>
  <c r="AD133" i="29"/>
  <c r="AF132" i="29"/>
  <c r="AD132" i="29"/>
  <c r="AF131" i="29"/>
  <c r="AD131" i="29"/>
  <c r="AF130" i="29"/>
  <c r="AD130" i="29"/>
  <c r="AF129" i="29"/>
  <c r="AD129" i="29"/>
  <c r="AF128" i="29"/>
  <c r="AD128" i="29"/>
  <c r="AF127" i="29"/>
  <c r="AD127" i="29"/>
  <c r="AF126" i="29"/>
  <c r="AD126" i="29"/>
  <c r="AF125" i="29"/>
  <c r="AD125" i="29"/>
  <c r="AF124" i="29"/>
  <c r="AD124" i="29"/>
  <c r="AF123" i="29"/>
  <c r="AD123" i="29"/>
  <c r="AF122" i="29"/>
  <c r="AD122" i="29"/>
  <c r="AF121" i="29"/>
  <c r="AD121" i="29"/>
  <c r="AF120" i="29"/>
  <c r="AD120" i="29"/>
  <c r="AF119" i="29"/>
  <c r="AD119" i="29"/>
  <c r="AF118" i="29"/>
  <c r="AD118" i="29"/>
  <c r="AF117" i="29"/>
  <c r="AD117" i="29"/>
  <c r="AF116" i="29"/>
  <c r="AD116" i="29"/>
  <c r="AF115" i="29"/>
  <c r="AD115" i="29"/>
  <c r="AF114" i="29"/>
  <c r="AD114" i="29"/>
  <c r="AF113" i="29"/>
  <c r="AD113" i="29"/>
  <c r="AF112" i="29"/>
  <c r="AD112" i="29"/>
  <c r="AF111" i="29"/>
  <c r="AD111" i="29"/>
  <c r="AF110" i="29"/>
  <c r="AD110" i="29"/>
  <c r="AF109" i="29"/>
  <c r="AD109" i="29"/>
  <c r="AF108" i="29"/>
  <c r="AD108" i="29"/>
  <c r="AF107" i="29"/>
  <c r="AD107" i="29"/>
  <c r="AF106" i="29"/>
  <c r="AD106" i="29"/>
  <c r="AF105" i="29"/>
  <c r="AD105" i="29"/>
  <c r="AF104" i="29"/>
  <c r="AF103" i="29"/>
  <c r="AF102" i="29"/>
  <c r="AD102" i="29"/>
  <c r="AF101" i="29"/>
  <c r="AF100" i="29"/>
  <c r="AD100" i="29"/>
  <c r="AF99" i="29"/>
  <c r="AD99" i="29"/>
  <c r="AF98" i="29"/>
  <c r="AF97" i="29"/>
  <c r="AF96" i="29"/>
  <c r="AF95" i="29"/>
  <c r="AD95" i="29"/>
  <c r="AF94" i="29"/>
  <c r="AD94" i="29"/>
  <c r="AF93" i="29"/>
  <c r="AD93" i="29"/>
  <c r="AF92" i="29"/>
  <c r="AD92" i="29"/>
  <c r="AF91" i="29"/>
  <c r="AD91" i="29"/>
  <c r="AF90" i="29"/>
  <c r="AD90" i="29"/>
  <c r="AF89" i="29"/>
  <c r="AF88" i="29"/>
  <c r="AD88" i="29"/>
  <c r="AF87" i="29"/>
  <c r="AF86" i="29"/>
  <c r="AD86" i="29"/>
  <c r="AF85" i="29"/>
  <c r="AD85" i="29"/>
  <c r="AF84" i="29"/>
  <c r="AF83" i="29"/>
  <c r="AD83" i="29"/>
  <c r="AF82" i="29"/>
  <c r="AD82" i="29"/>
  <c r="AF81" i="29"/>
  <c r="AF80" i="29"/>
  <c r="AD80" i="29"/>
  <c r="AF79" i="29"/>
  <c r="AF78" i="29"/>
  <c r="AD78" i="29"/>
  <c r="AF77" i="29"/>
  <c r="AF76" i="29"/>
  <c r="AD76" i="29"/>
  <c r="AF75" i="29"/>
  <c r="AD75" i="29"/>
  <c r="AF74" i="29"/>
  <c r="AD74" i="29"/>
  <c r="AF73" i="29"/>
  <c r="AF72" i="29"/>
  <c r="AD72" i="29"/>
  <c r="AF71" i="29"/>
  <c r="AF70" i="29"/>
  <c r="AD70" i="29"/>
  <c r="AF69" i="29"/>
  <c r="AD69" i="29"/>
  <c r="AF68" i="29"/>
  <c r="AF67" i="29"/>
  <c r="AD67" i="29"/>
  <c r="AF66" i="29"/>
  <c r="AD66" i="29"/>
  <c r="AF65" i="29"/>
  <c r="AD65" i="29"/>
  <c r="AF64" i="29"/>
  <c r="AD64" i="29"/>
  <c r="AF63" i="29"/>
  <c r="AD63" i="29"/>
  <c r="AF62" i="29"/>
  <c r="AD62" i="29"/>
  <c r="AF61" i="29"/>
  <c r="AD61" i="29"/>
  <c r="AF60" i="29"/>
  <c r="AF59" i="29"/>
  <c r="AF58" i="29"/>
  <c r="AD58" i="29"/>
  <c r="AF57" i="29"/>
  <c r="AD57" i="29"/>
  <c r="AF56" i="29"/>
  <c r="AF55" i="29"/>
  <c r="AF54" i="29"/>
  <c r="AD54" i="29"/>
  <c r="AF53" i="29"/>
  <c r="AD53" i="29"/>
  <c r="AF52" i="29"/>
  <c r="AE52" i="29"/>
  <c r="AF51" i="29"/>
  <c r="AD51" i="29"/>
  <c r="AF50" i="29"/>
  <c r="AD50" i="29"/>
  <c r="AF49" i="29"/>
  <c r="AD49" i="29"/>
  <c r="AF48" i="29"/>
  <c r="AD48" i="29"/>
  <c r="AF47" i="29"/>
  <c r="AD47" i="29"/>
  <c r="AF46" i="29"/>
  <c r="AD46" i="29"/>
  <c r="AF45" i="29"/>
  <c r="AD45" i="29"/>
  <c r="AF44" i="29"/>
  <c r="AD44" i="29"/>
  <c r="AF43" i="29"/>
  <c r="AD43" i="29"/>
  <c r="AF42" i="29"/>
  <c r="AD42" i="29"/>
  <c r="AF41" i="29"/>
  <c r="AF40" i="29"/>
  <c r="AF39" i="29"/>
  <c r="AD39" i="29"/>
  <c r="AE38" i="29" s="1"/>
  <c r="AF38" i="29"/>
  <c r="AF37" i="29"/>
  <c r="AD37" i="29"/>
  <c r="AF36" i="29"/>
  <c r="AD36" i="29"/>
  <c r="AF35" i="29"/>
  <c r="AD35" i="29"/>
  <c r="AF34" i="29"/>
  <c r="AF33" i="29"/>
  <c r="AD33" i="29"/>
  <c r="AF32" i="29"/>
  <c r="AD32" i="29"/>
  <c r="AE31" i="29" s="1"/>
  <c r="AF31" i="29"/>
  <c r="AF30" i="29"/>
  <c r="AD30" i="29"/>
  <c r="AF29" i="29"/>
  <c r="AD29" i="29"/>
  <c r="AF28" i="29"/>
  <c r="AD28" i="29"/>
  <c r="AE27" i="29" s="1"/>
  <c r="AF27" i="29"/>
  <c r="AF26" i="29"/>
  <c r="AD26" i="29"/>
  <c r="AF25" i="29"/>
  <c r="AD25" i="29"/>
  <c r="AF24" i="29"/>
  <c r="AD24" i="29"/>
  <c r="AF23" i="29"/>
  <c r="AD23" i="29"/>
  <c r="AF22" i="29"/>
  <c r="AF21" i="29"/>
  <c r="AD21" i="29"/>
  <c r="AF20" i="29"/>
  <c r="AD20" i="29"/>
  <c r="AF19" i="29"/>
  <c r="AD19" i="29"/>
  <c r="AF18" i="29"/>
  <c r="AF17" i="29"/>
  <c r="AD17" i="29"/>
  <c r="AF16" i="29"/>
  <c r="AD16" i="29"/>
  <c r="AE15" i="29" s="1"/>
  <c r="AF15" i="29"/>
  <c r="AF14" i="29"/>
  <c r="AD14" i="29"/>
  <c r="AF13" i="29"/>
  <c r="AD13" i="29"/>
  <c r="AF12" i="29"/>
  <c r="AD12" i="29"/>
  <c r="AE11" i="29" s="1"/>
  <c r="AF11" i="29"/>
  <c r="AF10" i="29"/>
  <c r="AD10" i="29"/>
  <c r="AF9" i="29"/>
  <c r="AD9" i="29"/>
  <c r="AE8" i="29" s="1"/>
  <c r="AF8" i="29"/>
  <c r="AF7" i="29"/>
  <c r="X259" i="29"/>
  <c r="V259" i="29"/>
  <c r="X258" i="29"/>
  <c r="V258" i="29"/>
  <c r="X257" i="29"/>
  <c r="V257" i="29"/>
  <c r="X256" i="29"/>
  <c r="V256" i="29"/>
  <c r="X255" i="29"/>
  <c r="V255" i="29"/>
  <c r="X254" i="29"/>
  <c r="V254" i="29"/>
  <c r="X253" i="29"/>
  <c r="V253" i="29"/>
  <c r="X252" i="29"/>
  <c r="X251" i="29"/>
  <c r="V251" i="29"/>
  <c r="X250" i="29"/>
  <c r="V250" i="29"/>
  <c r="X249" i="29"/>
  <c r="V249" i="29"/>
  <c r="X248" i="29"/>
  <c r="V248" i="29"/>
  <c r="X247" i="29"/>
  <c r="V247" i="29"/>
  <c r="X246" i="29"/>
  <c r="V246" i="29"/>
  <c r="X245" i="29"/>
  <c r="V245" i="29"/>
  <c r="X244" i="29"/>
  <c r="V244" i="29"/>
  <c r="X243" i="29"/>
  <c r="V243" i="29"/>
  <c r="X242" i="29"/>
  <c r="V242" i="29"/>
  <c r="X241" i="29"/>
  <c r="V241" i="29"/>
  <c r="X240" i="29"/>
  <c r="V240" i="29"/>
  <c r="X239" i="29"/>
  <c r="V239" i="29"/>
  <c r="X238" i="29"/>
  <c r="V238" i="29"/>
  <c r="X237" i="29"/>
  <c r="V237" i="29"/>
  <c r="X236" i="29"/>
  <c r="V236" i="29"/>
  <c r="W235" i="29" s="1"/>
  <c r="X235" i="29"/>
  <c r="X234" i="29"/>
  <c r="V234" i="29"/>
  <c r="X233" i="29"/>
  <c r="V233" i="29"/>
  <c r="W232" i="29" s="1"/>
  <c r="X232" i="29"/>
  <c r="X231" i="29"/>
  <c r="V231" i="29"/>
  <c r="X230" i="29"/>
  <c r="V230" i="29"/>
  <c r="X229" i="29"/>
  <c r="W229" i="29"/>
  <c r="X228" i="29"/>
  <c r="V228" i="29"/>
  <c r="X227" i="29"/>
  <c r="V227" i="29"/>
  <c r="X226" i="29"/>
  <c r="V226" i="29"/>
  <c r="X225" i="29"/>
  <c r="X224" i="29"/>
  <c r="V224" i="29"/>
  <c r="W223" i="29" s="1"/>
  <c r="X223" i="29"/>
  <c r="X222" i="29"/>
  <c r="V222" i="29"/>
  <c r="X221" i="29"/>
  <c r="V221" i="29"/>
  <c r="X220" i="29"/>
  <c r="V220" i="29"/>
  <c r="X219" i="29"/>
  <c r="V219" i="29"/>
  <c r="X218" i="29"/>
  <c r="X217" i="29"/>
  <c r="V217" i="29"/>
  <c r="X216" i="29"/>
  <c r="V216" i="29"/>
  <c r="X215" i="29"/>
  <c r="V215" i="29"/>
  <c r="X214" i="29"/>
  <c r="V214" i="29"/>
  <c r="X213" i="29"/>
  <c r="X212" i="29"/>
  <c r="V212" i="29"/>
  <c r="X211" i="29"/>
  <c r="V211" i="29"/>
  <c r="X210" i="29"/>
  <c r="V210" i="29"/>
  <c r="X209" i="29"/>
  <c r="X208" i="29"/>
  <c r="X207" i="29"/>
  <c r="V207" i="29"/>
  <c r="X206" i="29"/>
  <c r="V206" i="29"/>
  <c r="X205" i="29"/>
  <c r="V205" i="29"/>
  <c r="X204" i="29"/>
  <c r="V204" i="29"/>
  <c r="X203" i="29"/>
  <c r="V203" i="29"/>
  <c r="X202" i="29"/>
  <c r="V202" i="29"/>
  <c r="X201" i="29"/>
  <c r="V201" i="29"/>
  <c r="X200" i="29"/>
  <c r="V200" i="29"/>
  <c r="X199" i="29"/>
  <c r="V199" i="29"/>
  <c r="X198" i="29"/>
  <c r="V198" i="29"/>
  <c r="X197" i="29"/>
  <c r="V197" i="29"/>
  <c r="X196" i="29"/>
  <c r="V196" i="29"/>
  <c r="X195" i="29"/>
  <c r="V195" i="29"/>
  <c r="X194" i="29"/>
  <c r="V194" i="29"/>
  <c r="X193" i="29"/>
  <c r="V193" i="29"/>
  <c r="X192" i="29"/>
  <c r="V192" i="29"/>
  <c r="X191" i="29"/>
  <c r="V191" i="29"/>
  <c r="X190" i="29"/>
  <c r="V190" i="29"/>
  <c r="X189" i="29"/>
  <c r="V189" i="29"/>
  <c r="X188" i="29"/>
  <c r="V188" i="29"/>
  <c r="X187" i="29"/>
  <c r="V187" i="29"/>
  <c r="X186" i="29"/>
  <c r="V186" i="29"/>
  <c r="X185" i="29"/>
  <c r="V185" i="29"/>
  <c r="X184" i="29"/>
  <c r="V184" i="29"/>
  <c r="X183" i="29"/>
  <c r="X182" i="29"/>
  <c r="V182" i="29"/>
  <c r="X181" i="29"/>
  <c r="V181" i="29"/>
  <c r="X180" i="29"/>
  <c r="V180" i="29"/>
  <c r="X179" i="29"/>
  <c r="V179" i="29"/>
  <c r="X178" i="29"/>
  <c r="V178" i="29"/>
  <c r="X177" i="29"/>
  <c r="V177" i="29"/>
  <c r="X176" i="29"/>
  <c r="V176" i="29"/>
  <c r="X175" i="29"/>
  <c r="V175" i="29"/>
  <c r="X174" i="29"/>
  <c r="V174" i="29"/>
  <c r="X173" i="29"/>
  <c r="V173" i="29"/>
  <c r="X172" i="29"/>
  <c r="V172" i="29"/>
  <c r="W168" i="29" s="1"/>
  <c r="X171" i="29"/>
  <c r="V171" i="29"/>
  <c r="X170" i="29"/>
  <c r="V170" i="29"/>
  <c r="X169" i="29"/>
  <c r="V169" i="29"/>
  <c r="X168" i="29"/>
  <c r="X167" i="29"/>
  <c r="V167" i="29"/>
  <c r="X166" i="29"/>
  <c r="V166" i="29"/>
  <c r="X165" i="29"/>
  <c r="V165" i="29"/>
  <c r="X164" i="29"/>
  <c r="V164" i="29"/>
  <c r="X163" i="29"/>
  <c r="V163" i="29"/>
  <c r="X162" i="29"/>
  <c r="V162" i="29"/>
  <c r="X161" i="29"/>
  <c r="V161" i="29"/>
  <c r="X160" i="29"/>
  <c r="V160" i="29"/>
  <c r="X159" i="29"/>
  <c r="V159" i="29"/>
  <c r="X158" i="29"/>
  <c r="X157" i="29"/>
  <c r="V157" i="29"/>
  <c r="X156" i="29"/>
  <c r="V156" i="29"/>
  <c r="X155" i="29"/>
  <c r="V155" i="29"/>
  <c r="X154" i="29"/>
  <c r="V154" i="29"/>
  <c r="X153" i="29"/>
  <c r="V153" i="29"/>
  <c r="X152" i="29"/>
  <c r="V152" i="29"/>
  <c r="X151" i="29"/>
  <c r="V151" i="29"/>
  <c r="X150" i="29"/>
  <c r="V150" i="29"/>
  <c r="X149" i="29"/>
  <c r="X148" i="29"/>
  <c r="X147" i="29"/>
  <c r="V147" i="29"/>
  <c r="X146" i="29"/>
  <c r="V146" i="29"/>
  <c r="X145" i="29"/>
  <c r="V145" i="29"/>
  <c r="X144" i="29"/>
  <c r="V144" i="29"/>
  <c r="X143" i="29"/>
  <c r="V143" i="29"/>
  <c r="X142" i="29"/>
  <c r="V142" i="29"/>
  <c r="X141" i="29"/>
  <c r="V141" i="29"/>
  <c r="X140" i="29"/>
  <c r="V140" i="29"/>
  <c r="X139" i="29"/>
  <c r="V139" i="29"/>
  <c r="X138" i="29"/>
  <c r="V138" i="29"/>
  <c r="X137" i="29"/>
  <c r="V137" i="29"/>
  <c r="X136" i="29"/>
  <c r="V136" i="29"/>
  <c r="X135" i="29"/>
  <c r="V135" i="29"/>
  <c r="X134" i="29"/>
  <c r="V134" i="29"/>
  <c r="X133" i="29"/>
  <c r="V133" i="29"/>
  <c r="X132" i="29"/>
  <c r="V132" i="29"/>
  <c r="X131" i="29"/>
  <c r="V131" i="29"/>
  <c r="X130" i="29"/>
  <c r="V130" i="29"/>
  <c r="X129" i="29"/>
  <c r="V129" i="29"/>
  <c r="X128" i="29"/>
  <c r="V128" i="29"/>
  <c r="X127" i="29"/>
  <c r="V127" i="29"/>
  <c r="X126" i="29"/>
  <c r="V126" i="29"/>
  <c r="X125" i="29"/>
  <c r="V125" i="29"/>
  <c r="X124" i="29"/>
  <c r="V124" i="29"/>
  <c r="X123" i="29"/>
  <c r="V123" i="29"/>
  <c r="X122" i="29"/>
  <c r="V122" i="29"/>
  <c r="X121" i="29"/>
  <c r="V121" i="29"/>
  <c r="X120" i="29"/>
  <c r="V120" i="29"/>
  <c r="X119" i="29"/>
  <c r="V119" i="29"/>
  <c r="X118" i="29"/>
  <c r="V118" i="29"/>
  <c r="X117" i="29"/>
  <c r="V117" i="29"/>
  <c r="X116" i="29"/>
  <c r="V116" i="29"/>
  <c r="X115" i="29"/>
  <c r="V115" i="29"/>
  <c r="X114" i="29"/>
  <c r="V114" i="29"/>
  <c r="X113" i="29"/>
  <c r="V113" i="29"/>
  <c r="X112" i="29"/>
  <c r="V112" i="29"/>
  <c r="X111" i="29"/>
  <c r="V111" i="29"/>
  <c r="X110" i="29"/>
  <c r="V110" i="29"/>
  <c r="X109" i="29"/>
  <c r="V109" i="29"/>
  <c r="X108" i="29"/>
  <c r="V108" i="29"/>
  <c r="X107" i="29"/>
  <c r="V107" i="29"/>
  <c r="X106" i="29"/>
  <c r="V106" i="29"/>
  <c r="X105" i="29"/>
  <c r="V105" i="29"/>
  <c r="X104" i="29"/>
  <c r="X103" i="29"/>
  <c r="X102" i="29"/>
  <c r="V102" i="29"/>
  <c r="X101" i="29"/>
  <c r="X100" i="29"/>
  <c r="V100" i="29"/>
  <c r="X99" i="29"/>
  <c r="V99" i="29"/>
  <c r="X98" i="29"/>
  <c r="X97" i="29"/>
  <c r="X96" i="29"/>
  <c r="X95" i="29"/>
  <c r="V95" i="29"/>
  <c r="X94" i="29"/>
  <c r="V94" i="29"/>
  <c r="X93" i="29"/>
  <c r="V93" i="29"/>
  <c r="X92" i="29"/>
  <c r="V92" i="29"/>
  <c r="X91" i="29"/>
  <c r="V91" i="29"/>
  <c r="X90" i="29"/>
  <c r="V90" i="29"/>
  <c r="X89" i="29"/>
  <c r="X88" i="29"/>
  <c r="V88" i="29"/>
  <c r="X87" i="29"/>
  <c r="X86" i="29"/>
  <c r="V86" i="29"/>
  <c r="X85" i="29"/>
  <c r="V85" i="29"/>
  <c r="X84" i="29"/>
  <c r="X83" i="29"/>
  <c r="V83" i="29"/>
  <c r="X82" i="29"/>
  <c r="V82" i="29"/>
  <c r="X81" i="29"/>
  <c r="X80" i="29"/>
  <c r="V80" i="29"/>
  <c r="X79" i="29"/>
  <c r="X78" i="29"/>
  <c r="V78" i="29"/>
  <c r="X77" i="29"/>
  <c r="X76" i="29"/>
  <c r="V76" i="29"/>
  <c r="X75" i="29"/>
  <c r="V75" i="29"/>
  <c r="X74" i="29"/>
  <c r="V74" i="29"/>
  <c r="X73" i="29"/>
  <c r="X72" i="29"/>
  <c r="V72" i="29"/>
  <c r="X71" i="29"/>
  <c r="X70" i="29"/>
  <c r="V70" i="29"/>
  <c r="X69" i="29"/>
  <c r="V69" i="29"/>
  <c r="X68" i="29"/>
  <c r="X67" i="29"/>
  <c r="V67" i="29"/>
  <c r="X66" i="29"/>
  <c r="V66" i="29"/>
  <c r="X65" i="29"/>
  <c r="V65" i="29"/>
  <c r="X64" i="29"/>
  <c r="V64" i="29"/>
  <c r="X63" i="29"/>
  <c r="V63" i="29"/>
  <c r="X62" i="29"/>
  <c r="V62" i="29"/>
  <c r="X61" i="29"/>
  <c r="V61" i="29"/>
  <c r="X60" i="29"/>
  <c r="X59" i="29"/>
  <c r="X58" i="29"/>
  <c r="V58" i="29"/>
  <c r="X57" i="29"/>
  <c r="V57" i="29"/>
  <c r="X56" i="29"/>
  <c r="X55" i="29"/>
  <c r="X54" i="29"/>
  <c r="V54" i="29"/>
  <c r="X53" i="29"/>
  <c r="V53" i="29"/>
  <c r="W52" i="29" s="1"/>
  <c r="X52" i="29"/>
  <c r="X51" i="29"/>
  <c r="V51" i="29"/>
  <c r="X50" i="29"/>
  <c r="V50" i="29"/>
  <c r="X49" i="29"/>
  <c r="V49" i="29"/>
  <c r="X48" i="29"/>
  <c r="V48" i="29"/>
  <c r="X47" i="29"/>
  <c r="V47" i="29"/>
  <c r="X46" i="29"/>
  <c r="V46" i="29"/>
  <c r="X45" i="29"/>
  <c r="V45" i="29"/>
  <c r="X44" i="29"/>
  <c r="V44" i="29"/>
  <c r="X43" i="29"/>
  <c r="V43" i="29"/>
  <c r="X42" i="29"/>
  <c r="V42" i="29"/>
  <c r="X41" i="29"/>
  <c r="X40" i="29"/>
  <c r="X39" i="29"/>
  <c r="V39" i="29"/>
  <c r="W38" i="29" s="1"/>
  <c r="X38" i="29"/>
  <c r="X37" i="29"/>
  <c r="V37" i="29"/>
  <c r="X36" i="29"/>
  <c r="V36" i="29"/>
  <c r="X35" i="29"/>
  <c r="V35" i="29"/>
  <c r="W34" i="29" s="1"/>
  <c r="X34" i="29"/>
  <c r="X33" i="29"/>
  <c r="V33" i="29"/>
  <c r="X32" i="29"/>
  <c r="V32" i="29"/>
  <c r="W31" i="29" s="1"/>
  <c r="X31" i="29"/>
  <c r="X30" i="29"/>
  <c r="V30" i="29"/>
  <c r="X29" i="29"/>
  <c r="V29" i="29"/>
  <c r="X28" i="29"/>
  <c r="V28" i="29"/>
  <c r="W27" i="29" s="1"/>
  <c r="X27" i="29"/>
  <c r="X26" i="29"/>
  <c r="V26" i="29"/>
  <c r="X25" i="29"/>
  <c r="V25" i="29"/>
  <c r="X24" i="29"/>
  <c r="V24" i="29"/>
  <c r="X23" i="29"/>
  <c r="V23" i="29"/>
  <c r="X22" i="29"/>
  <c r="X21" i="29"/>
  <c r="V21" i="29"/>
  <c r="X20" i="29"/>
  <c r="V20" i="29"/>
  <c r="X19" i="29"/>
  <c r="V19" i="29"/>
  <c r="W18" i="29" s="1"/>
  <c r="X18" i="29"/>
  <c r="X17" i="29"/>
  <c r="V17" i="29"/>
  <c r="X16" i="29"/>
  <c r="V16" i="29"/>
  <c r="X15" i="29"/>
  <c r="W15" i="29"/>
  <c r="X14" i="29"/>
  <c r="V14" i="29"/>
  <c r="X13" i="29"/>
  <c r="V13" i="29"/>
  <c r="X12" i="29"/>
  <c r="V12" i="29"/>
  <c r="X11" i="29"/>
  <c r="W11" i="29"/>
  <c r="X10" i="29"/>
  <c r="V10" i="29"/>
  <c r="X9" i="29"/>
  <c r="V9" i="29"/>
  <c r="W8" i="29" s="1"/>
  <c r="X8" i="29"/>
  <c r="X7" i="29"/>
  <c r="P259" i="29"/>
  <c r="P258" i="29"/>
  <c r="P257" i="29"/>
  <c r="P256" i="29"/>
  <c r="P255" i="29"/>
  <c r="P254" i="29"/>
  <c r="P253" i="29"/>
  <c r="P252" i="29"/>
  <c r="P251" i="29"/>
  <c r="P250" i="29"/>
  <c r="P249" i="29"/>
  <c r="P248" i="29"/>
  <c r="P247" i="29"/>
  <c r="P246" i="29"/>
  <c r="P245" i="29"/>
  <c r="P244" i="29"/>
  <c r="P243" i="29"/>
  <c r="P242" i="29"/>
  <c r="P241" i="29"/>
  <c r="P240" i="29"/>
  <c r="P239" i="29"/>
  <c r="P238" i="29"/>
  <c r="P237" i="29"/>
  <c r="P236" i="29"/>
  <c r="P235" i="29"/>
  <c r="P234" i="29"/>
  <c r="P233" i="29"/>
  <c r="P232" i="29"/>
  <c r="P231" i="29"/>
  <c r="P230" i="29"/>
  <c r="P229" i="29"/>
  <c r="P228" i="29"/>
  <c r="P227" i="29"/>
  <c r="P226" i="29"/>
  <c r="P225" i="29"/>
  <c r="P224" i="29"/>
  <c r="P223" i="29"/>
  <c r="P222" i="29"/>
  <c r="P221" i="29"/>
  <c r="P220" i="29"/>
  <c r="P219" i="29"/>
  <c r="P218" i="29"/>
  <c r="P217" i="29"/>
  <c r="P216" i="29"/>
  <c r="P215" i="29"/>
  <c r="P214" i="29"/>
  <c r="P213" i="29"/>
  <c r="P212" i="29"/>
  <c r="P211" i="29"/>
  <c r="P210" i="29"/>
  <c r="P209" i="29"/>
  <c r="P208" i="29"/>
  <c r="P207" i="29"/>
  <c r="P206" i="29"/>
  <c r="P205" i="29"/>
  <c r="P204" i="29"/>
  <c r="P203" i="29"/>
  <c r="P202" i="29"/>
  <c r="P201" i="29"/>
  <c r="P200" i="29"/>
  <c r="P199" i="29"/>
  <c r="P198" i="29"/>
  <c r="P197" i="29"/>
  <c r="P196" i="29"/>
  <c r="P195" i="29"/>
  <c r="P194" i="29"/>
  <c r="P193" i="29"/>
  <c r="P192" i="29"/>
  <c r="P191" i="29"/>
  <c r="P190" i="29"/>
  <c r="P189" i="29"/>
  <c r="P188" i="29"/>
  <c r="P187" i="29"/>
  <c r="P186" i="29"/>
  <c r="P185" i="29"/>
  <c r="P184" i="29"/>
  <c r="P183" i="29"/>
  <c r="P182" i="29"/>
  <c r="P181" i="29"/>
  <c r="P180" i="29"/>
  <c r="P179" i="29"/>
  <c r="P178" i="29"/>
  <c r="P177" i="29"/>
  <c r="P176" i="29"/>
  <c r="P175" i="29"/>
  <c r="P174" i="29"/>
  <c r="P173" i="29"/>
  <c r="P172" i="29"/>
  <c r="P171" i="29"/>
  <c r="P170" i="29"/>
  <c r="P169" i="29"/>
  <c r="P168" i="29"/>
  <c r="P167" i="29"/>
  <c r="P166" i="29"/>
  <c r="P165" i="29"/>
  <c r="P164" i="29"/>
  <c r="P163" i="29"/>
  <c r="P162" i="29"/>
  <c r="P161" i="29"/>
  <c r="P160" i="29"/>
  <c r="P159" i="29"/>
  <c r="P158" i="29"/>
  <c r="P157" i="29"/>
  <c r="P156" i="29"/>
  <c r="P155" i="29"/>
  <c r="P154" i="29"/>
  <c r="P153" i="29"/>
  <c r="P152" i="29"/>
  <c r="P151" i="29"/>
  <c r="P150" i="29"/>
  <c r="P149" i="29"/>
  <c r="P148" i="29"/>
  <c r="P147" i="29"/>
  <c r="P146" i="29"/>
  <c r="P145" i="29"/>
  <c r="P144" i="29"/>
  <c r="P143" i="29"/>
  <c r="P142" i="29"/>
  <c r="P141" i="29"/>
  <c r="P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111" i="29"/>
  <c r="H112" i="29"/>
  <c r="H113" i="29"/>
  <c r="H114" i="29"/>
  <c r="H115" i="29"/>
  <c r="H116" i="29"/>
  <c r="H117" i="29"/>
  <c r="H118" i="29"/>
  <c r="H119" i="29"/>
  <c r="H120" i="29"/>
  <c r="H121" i="29"/>
  <c r="H122" i="29"/>
  <c r="H123" i="29"/>
  <c r="H124" i="29"/>
  <c r="H125" i="29"/>
  <c r="H126" i="29"/>
  <c r="H127" i="29"/>
  <c r="H128" i="29"/>
  <c r="H129" i="29"/>
  <c r="H130" i="29"/>
  <c r="H131" i="29"/>
  <c r="H132" i="29"/>
  <c r="H133" i="29"/>
  <c r="H134" i="29"/>
  <c r="H135" i="29"/>
  <c r="H136" i="29"/>
  <c r="H137" i="29"/>
  <c r="H138" i="29"/>
  <c r="H139" i="29"/>
  <c r="H140" i="29"/>
  <c r="H141" i="29"/>
  <c r="H142" i="29"/>
  <c r="H143" i="29"/>
  <c r="H144" i="29"/>
  <c r="H145" i="29"/>
  <c r="H146" i="29"/>
  <c r="H147" i="29"/>
  <c r="H148" i="29"/>
  <c r="H149" i="29"/>
  <c r="H150" i="29"/>
  <c r="H151" i="29"/>
  <c r="H152" i="29"/>
  <c r="H153" i="29"/>
  <c r="H154" i="29"/>
  <c r="H155" i="29"/>
  <c r="H156" i="29"/>
  <c r="H157" i="29"/>
  <c r="H158" i="29"/>
  <c r="H159" i="29"/>
  <c r="H160" i="29"/>
  <c r="H161" i="29"/>
  <c r="H162" i="29"/>
  <c r="H163" i="29"/>
  <c r="H164" i="29"/>
  <c r="H165" i="29"/>
  <c r="H166" i="29"/>
  <c r="H167" i="29"/>
  <c r="H168" i="29"/>
  <c r="H169" i="29"/>
  <c r="H170" i="29"/>
  <c r="H171" i="29"/>
  <c r="H172" i="29"/>
  <c r="H173" i="29"/>
  <c r="H174" i="29"/>
  <c r="H175" i="29"/>
  <c r="H176" i="29"/>
  <c r="H177" i="29"/>
  <c r="H178" i="29"/>
  <c r="H179" i="29"/>
  <c r="H180" i="29"/>
  <c r="H181" i="29"/>
  <c r="H182" i="29"/>
  <c r="H183" i="29"/>
  <c r="H184" i="29"/>
  <c r="H185" i="29"/>
  <c r="H186" i="29"/>
  <c r="H187" i="29"/>
  <c r="H188" i="29"/>
  <c r="H189" i="29"/>
  <c r="H190" i="29"/>
  <c r="H191" i="29"/>
  <c r="H192" i="29"/>
  <c r="H193" i="29"/>
  <c r="H194" i="29"/>
  <c r="H195" i="29"/>
  <c r="H196" i="29"/>
  <c r="H197" i="29"/>
  <c r="H198" i="29"/>
  <c r="H199" i="29"/>
  <c r="H200" i="29"/>
  <c r="H201" i="29"/>
  <c r="H202" i="29"/>
  <c r="H203" i="29"/>
  <c r="H204" i="29"/>
  <c r="H205" i="29"/>
  <c r="H206" i="29"/>
  <c r="H207" i="29"/>
  <c r="H208" i="29"/>
  <c r="H209" i="29"/>
  <c r="H210" i="29"/>
  <c r="H211" i="29"/>
  <c r="H212" i="29"/>
  <c r="H213" i="29"/>
  <c r="H214" i="29"/>
  <c r="H215" i="29"/>
  <c r="H216" i="29"/>
  <c r="H217" i="29"/>
  <c r="H218" i="29"/>
  <c r="H219" i="29"/>
  <c r="H220" i="29"/>
  <c r="H221" i="29"/>
  <c r="H222" i="29"/>
  <c r="H223" i="29"/>
  <c r="H224" i="29"/>
  <c r="H225" i="29"/>
  <c r="H226" i="29"/>
  <c r="H227" i="29"/>
  <c r="H228" i="29"/>
  <c r="H229" i="29"/>
  <c r="H230" i="29"/>
  <c r="H231" i="29"/>
  <c r="H232" i="29"/>
  <c r="H233" i="29"/>
  <c r="H234" i="29"/>
  <c r="H235" i="29"/>
  <c r="H236" i="29"/>
  <c r="H237" i="29"/>
  <c r="H238" i="29"/>
  <c r="H239" i="29"/>
  <c r="H240" i="29"/>
  <c r="H241" i="29"/>
  <c r="H242" i="29"/>
  <c r="H243" i="29"/>
  <c r="H244" i="29"/>
  <c r="H245" i="29"/>
  <c r="H246" i="29"/>
  <c r="H247" i="29"/>
  <c r="H248" i="29"/>
  <c r="H249" i="29"/>
  <c r="H250" i="29"/>
  <c r="H251" i="29"/>
  <c r="H252" i="29"/>
  <c r="H253" i="29"/>
  <c r="H254" i="29"/>
  <c r="H255" i="29"/>
  <c r="H256" i="29"/>
  <c r="H257" i="29"/>
  <c r="H258" i="29"/>
  <c r="H259" i="29"/>
  <c r="H11" i="29"/>
  <c r="H8" i="29"/>
  <c r="H9" i="29"/>
  <c r="H10" i="29"/>
  <c r="H7" i="29"/>
  <c r="N259" i="29"/>
  <c r="N258" i="29"/>
  <c r="N257" i="29"/>
  <c r="N256" i="29"/>
  <c r="N255" i="29"/>
  <c r="N254" i="29"/>
  <c r="N253" i="29"/>
  <c r="O252" i="29" s="1"/>
  <c r="N251" i="29"/>
  <c r="N250" i="29"/>
  <c r="N249" i="29"/>
  <c r="N248" i="29"/>
  <c r="N247" i="29"/>
  <c r="N246" i="29"/>
  <c r="N245" i="29"/>
  <c r="N244" i="29"/>
  <c r="N243" i="29"/>
  <c r="N242" i="29"/>
  <c r="N241" i="29"/>
  <c r="N240" i="29"/>
  <c r="N239" i="29"/>
  <c r="N238" i="29"/>
  <c r="N237" i="29"/>
  <c r="N236" i="29"/>
  <c r="O235" i="29" s="1"/>
  <c r="N234" i="29"/>
  <c r="N233" i="29"/>
  <c r="O232" i="29" s="1"/>
  <c r="N231" i="29"/>
  <c r="N230" i="29"/>
  <c r="N228" i="29"/>
  <c r="N227" i="29"/>
  <c r="O208" i="29" s="1"/>
  <c r="N226" i="29"/>
  <c r="N224" i="29"/>
  <c r="O223" i="29" s="1"/>
  <c r="N222" i="29"/>
  <c r="N221" i="29"/>
  <c r="N220" i="29"/>
  <c r="N219" i="29"/>
  <c r="N217" i="29"/>
  <c r="O213" i="29" s="1"/>
  <c r="N216" i="29"/>
  <c r="N215" i="29"/>
  <c r="N214" i="29"/>
  <c r="N212" i="29"/>
  <c r="N211" i="29"/>
  <c r="N210"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O183" i="29" s="1"/>
  <c r="N182" i="29"/>
  <c r="N181" i="29"/>
  <c r="N180" i="29"/>
  <c r="N179" i="29"/>
  <c r="N178" i="29"/>
  <c r="N177" i="29"/>
  <c r="N176" i="29"/>
  <c r="N175" i="29"/>
  <c r="N174" i="29"/>
  <c r="N173" i="29"/>
  <c r="N172" i="29"/>
  <c r="N171" i="29"/>
  <c r="N170" i="29"/>
  <c r="N169" i="29"/>
  <c r="N167" i="29"/>
  <c r="N166" i="29"/>
  <c r="N165" i="29"/>
  <c r="N164" i="29"/>
  <c r="N163" i="29"/>
  <c r="N162" i="29"/>
  <c r="N161" i="29"/>
  <c r="N160" i="29"/>
  <c r="N159" i="29"/>
  <c r="N157" i="29"/>
  <c r="O149" i="29" s="1"/>
  <c r="N156" i="29"/>
  <c r="N155" i="29"/>
  <c r="N154" i="29"/>
  <c r="N153" i="29"/>
  <c r="N152" i="29"/>
  <c r="N151" i="29"/>
  <c r="N150"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O96" i="29" s="1"/>
  <c r="N107" i="29"/>
  <c r="N106" i="29"/>
  <c r="N105" i="29"/>
  <c r="N102" i="29"/>
  <c r="N100" i="29"/>
  <c r="N99" i="29"/>
  <c r="N95" i="29"/>
  <c r="N94" i="29"/>
  <c r="N93" i="29"/>
  <c r="N92" i="29"/>
  <c r="N91" i="29"/>
  <c r="N90" i="29"/>
  <c r="N88" i="29"/>
  <c r="N86" i="29"/>
  <c r="N85" i="29"/>
  <c r="N83" i="29"/>
  <c r="N82" i="29"/>
  <c r="N80" i="29"/>
  <c r="N78" i="29"/>
  <c r="N76" i="29"/>
  <c r="N75" i="29"/>
  <c r="N74" i="29"/>
  <c r="N72" i="29"/>
  <c r="N70" i="29"/>
  <c r="N69" i="29"/>
  <c r="N67" i="29"/>
  <c r="N66" i="29"/>
  <c r="N65" i="29"/>
  <c r="N64" i="29"/>
  <c r="N63" i="29"/>
  <c r="N62" i="29"/>
  <c r="N61" i="29"/>
  <c r="N58" i="29"/>
  <c r="N57" i="29"/>
  <c r="N54" i="29"/>
  <c r="N53" i="29"/>
  <c r="O52" i="29" s="1"/>
  <c r="N51" i="29"/>
  <c r="N50" i="29"/>
  <c r="N49" i="29"/>
  <c r="N48" i="29"/>
  <c r="N47" i="29"/>
  <c r="N46" i="29"/>
  <c r="N45" i="29"/>
  <c r="N44" i="29"/>
  <c r="N43" i="29"/>
  <c r="N42" i="29"/>
  <c r="O40" i="29" s="1"/>
  <c r="N39" i="29"/>
  <c r="O38" i="29"/>
  <c r="N37" i="29"/>
  <c r="N36" i="29"/>
  <c r="O34" i="29" s="1"/>
  <c r="N35" i="29"/>
  <c r="N33" i="29"/>
  <c r="N32" i="29"/>
  <c r="O31" i="29"/>
  <c r="N30" i="29"/>
  <c r="N29" i="29"/>
  <c r="N28" i="29"/>
  <c r="N26" i="29"/>
  <c r="N25" i="29"/>
  <c r="N24" i="29"/>
  <c r="N23" i="29"/>
  <c r="O22" i="29"/>
  <c r="N21" i="29"/>
  <c r="N20" i="29"/>
  <c r="N19" i="29"/>
  <c r="N17" i="29"/>
  <c r="N16" i="29"/>
  <c r="O15" i="29" s="1"/>
  <c r="N14" i="29"/>
  <c r="N13" i="29"/>
  <c r="O11" i="29" s="1"/>
  <c r="N12" i="29"/>
  <c r="N10" i="29"/>
  <c r="N9" i="29"/>
  <c r="O158" i="29" l="1"/>
  <c r="N266" i="29"/>
  <c r="O209" i="29"/>
  <c r="O218" i="29"/>
  <c r="O229" i="29"/>
  <c r="O18" i="29"/>
  <c r="O27" i="29"/>
  <c r="O55" i="29"/>
  <c r="O168" i="29"/>
  <c r="O148" i="29"/>
  <c r="O260" i="29" s="1"/>
  <c r="O36" i="30" s="1"/>
  <c r="N260" i="29"/>
  <c r="N262" i="29" s="1"/>
  <c r="N263" i="29" s="1"/>
  <c r="O8" i="29"/>
  <c r="O225" i="29"/>
  <c r="AE96" i="29"/>
  <c r="AE209" i="29"/>
  <c r="AE40" i="29"/>
  <c r="AE55" i="29"/>
  <c r="AD266" i="29"/>
  <c r="AE34" i="29"/>
  <c r="AE168" i="29"/>
  <c r="AE235" i="29"/>
  <c r="AE22" i="29"/>
  <c r="AE158" i="29"/>
  <c r="AE225" i="29"/>
  <c r="AE18" i="29"/>
  <c r="AE149" i="29"/>
  <c r="AE218" i="29"/>
  <c r="W213" i="29"/>
  <c r="W96" i="29"/>
  <c r="W209" i="29"/>
  <c r="W40" i="29"/>
  <c r="W55" i="29"/>
  <c r="W158" i="29"/>
  <c r="W183" i="29"/>
  <c r="W252" i="29"/>
  <c r="V266" i="29"/>
  <c r="W208" i="29"/>
  <c r="W22" i="29"/>
  <c r="W218" i="29"/>
  <c r="W225" i="29"/>
  <c r="W149" i="29"/>
  <c r="AE148" i="29"/>
  <c r="AE208" i="29"/>
  <c r="AE260" i="29" s="1"/>
  <c r="AD260" i="29"/>
  <c r="V260" i="29"/>
  <c r="W148" i="29"/>
  <c r="F259" i="29"/>
  <c r="F258" i="29"/>
  <c r="F257" i="29"/>
  <c r="F256" i="29"/>
  <c r="F255" i="29"/>
  <c r="F254" i="29"/>
  <c r="F253" i="29"/>
  <c r="F251" i="29"/>
  <c r="F250" i="29"/>
  <c r="F249" i="29"/>
  <c r="F248" i="29"/>
  <c r="F247" i="29"/>
  <c r="F246" i="29"/>
  <c r="F245" i="29"/>
  <c r="F244" i="29"/>
  <c r="F243" i="29"/>
  <c r="F242" i="29"/>
  <c r="F241" i="29"/>
  <c r="F240" i="29"/>
  <c r="F239" i="29"/>
  <c r="F238" i="29"/>
  <c r="F237" i="29"/>
  <c r="F236" i="29"/>
  <c r="F234" i="29"/>
  <c r="F233" i="29"/>
  <c r="F231" i="29"/>
  <c r="F230" i="29"/>
  <c r="F228" i="29"/>
  <c r="F227" i="29"/>
  <c r="F226" i="29"/>
  <c r="F224" i="29"/>
  <c r="G223" i="29" s="1"/>
  <c r="F222" i="29"/>
  <c r="F221" i="29"/>
  <c r="F220" i="29"/>
  <c r="F219" i="29"/>
  <c r="F217" i="29"/>
  <c r="F216" i="29"/>
  <c r="F215" i="29"/>
  <c r="F214" i="29"/>
  <c r="F212" i="29"/>
  <c r="F211" i="29"/>
  <c r="F210" i="29"/>
  <c r="F207" i="29"/>
  <c r="F206" i="29"/>
  <c r="F205" i="29"/>
  <c r="F204" i="29"/>
  <c r="F203" i="29"/>
  <c r="F202" i="29"/>
  <c r="F201" i="29"/>
  <c r="F200" i="29"/>
  <c r="F199" i="29"/>
  <c r="F198" i="29"/>
  <c r="F197" i="29"/>
  <c r="F196" i="29"/>
  <c r="F195" i="29"/>
  <c r="F194" i="29"/>
  <c r="F193" i="29"/>
  <c r="F192" i="29"/>
  <c r="F191" i="29"/>
  <c r="F190" i="29"/>
  <c r="F189" i="29"/>
  <c r="F188" i="29"/>
  <c r="F187" i="29"/>
  <c r="F186" i="29"/>
  <c r="F185" i="29"/>
  <c r="F184" i="29"/>
  <c r="F182" i="29"/>
  <c r="F181" i="29"/>
  <c r="F180" i="29"/>
  <c r="F179" i="29"/>
  <c r="F178" i="29"/>
  <c r="F177" i="29"/>
  <c r="F176" i="29"/>
  <c r="F175" i="29"/>
  <c r="F174" i="29"/>
  <c r="F173" i="29"/>
  <c r="F172" i="29"/>
  <c r="F171" i="29"/>
  <c r="F170" i="29"/>
  <c r="F169" i="29"/>
  <c r="F167" i="29"/>
  <c r="F166" i="29"/>
  <c r="F165" i="29"/>
  <c r="F164" i="29"/>
  <c r="F163" i="29"/>
  <c r="F162" i="29"/>
  <c r="F161" i="29"/>
  <c r="F160" i="29"/>
  <c r="F159" i="29"/>
  <c r="F157" i="29"/>
  <c r="F156" i="29"/>
  <c r="F155" i="29"/>
  <c r="F154" i="29"/>
  <c r="F153" i="29"/>
  <c r="F152" i="29"/>
  <c r="F151" i="29"/>
  <c r="F150" i="29"/>
  <c r="F147" i="29"/>
  <c r="F146" i="29"/>
  <c r="F145" i="29"/>
  <c r="F144" i="29"/>
  <c r="F143" i="29"/>
  <c r="F142" i="29"/>
  <c r="F141" i="29"/>
  <c r="F140" i="29"/>
  <c r="F139" i="29"/>
  <c r="F138" i="29"/>
  <c r="F137" i="29"/>
  <c r="F136" i="29"/>
  <c r="F135" i="29"/>
  <c r="F134" i="29"/>
  <c r="F133" i="29"/>
  <c r="F132" i="29"/>
  <c r="F131" i="29"/>
  <c r="F130" i="29"/>
  <c r="F129" i="29"/>
  <c r="F128" i="29"/>
  <c r="F127" i="29"/>
  <c r="F126" i="29"/>
  <c r="F125" i="29"/>
  <c r="F124" i="29"/>
  <c r="F123" i="29"/>
  <c r="F122" i="29"/>
  <c r="F121" i="29"/>
  <c r="F120" i="29"/>
  <c r="F119" i="29"/>
  <c r="F118" i="29"/>
  <c r="F117" i="29"/>
  <c r="F116" i="29"/>
  <c r="F115" i="29"/>
  <c r="F114" i="29"/>
  <c r="F113" i="29"/>
  <c r="F112" i="29"/>
  <c r="F111" i="29"/>
  <c r="F110" i="29"/>
  <c r="F109" i="29"/>
  <c r="F108" i="29"/>
  <c r="F107" i="29"/>
  <c r="F106" i="29"/>
  <c r="F105" i="29"/>
  <c r="F102" i="29"/>
  <c r="F100" i="29"/>
  <c r="F99" i="29"/>
  <c r="F95" i="29"/>
  <c r="F94" i="29"/>
  <c r="F93" i="29"/>
  <c r="F92" i="29"/>
  <c r="F91" i="29"/>
  <c r="F90" i="29"/>
  <c r="F88" i="29"/>
  <c r="F86" i="29"/>
  <c r="F85" i="29"/>
  <c r="F83" i="29"/>
  <c r="F82" i="29"/>
  <c r="F80" i="29"/>
  <c r="F78" i="29"/>
  <c r="F76" i="29"/>
  <c r="F75" i="29"/>
  <c r="F74" i="29"/>
  <c r="F72" i="29"/>
  <c r="F70" i="29"/>
  <c r="F69" i="29"/>
  <c r="F67" i="29"/>
  <c r="F66" i="29"/>
  <c r="F65" i="29"/>
  <c r="F64" i="29"/>
  <c r="F63" i="29"/>
  <c r="F62" i="29"/>
  <c r="F61" i="29"/>
  <c r="F58" i="29"/>
  <c r="F57" i="29"/>
  <c r="F54" i="29"/>
  <c r="F53" i="29"/>
  <c r="F51" i="29"/>
  <c r="F50" i="29"/>
  <c r="F49" i="29"/>
  <c r="F48" i="29"/>
  <c r="F47" i="29"/>
  <c r="F46" i="29"/>
  <c r="F45" i="29"/>
  <c r="F44" i="29"/>
  <c r="F43" i="29"/>
  <c r="F42" i="29"/>
  <c r="F39" i="29"/>
  <c r="G38" i="29" s="1"/>
  <c r="F37" i="29"/>
  <c r="F36" i="29"/>
  <c r="F35" i="29"/>
  <c r="G34" i="29" s="1"/>
  <c r="F33" i="29"/>
  <c r="F32" i="29"/>
  <c r="F30" i="29"/>
  <c r="F29" i="29"/>
  <c r="F28" i="29"/>
  <c r="F26" i="29"/>
  <c r="F25" i="29"/>
  <c r="F24" i="29"/>
  <c r="F23" i="29"/>
  <c r="F21" i="29"/>
  <c r="F20" i="29"/>
  <c r="F19" i="29"/>
  <c r="G18" i="29" s="1"/>
  <c r="F17" i="29"/>
  <c r="F16" i="29"/>
  <c r="F14" i="29"/>
  <c r="F13" i="29"/>
  <c r="F12" i="29"/>
  <c r="F10" i="29"/>
  <c r="F9" i="29"/>
  <c r="O39" i="30" l="1"/>
  <c r="Q50" i="30"/>
  <c r="Q36" i="30"/>
  <c r="Q37" i="30"/>
  <c r="N261" i="29"/>
  <c r="N264" i="29" s="1"/>
  <c r="N267" i="29"/>
  <c r="W260" i="29"/>
  <c r="G11" i="29"/>
  <c r="G232" i="29"/>
  <c r="G229" i="29"/>
  <c r="G213" i="29"/>
  <c r="AD267" i="29"/>
  <c r="AD262" i="29"/>
  <c r="AD263" i="29" s="1"/>
  <c r="AD261" i="29"/>
  <c r="V267" i="29"/>
  <c r="V261" i="29"/>
  <c r="V262" i="29"/>
  <c r="V263" i="29" s="1"/>
  <c r="G22" i="29"/>
  <c r="G27" i="29"/>
  <c r="G40" i="29"/>
  <c r="G8" i="29"/>
  <c r="G31" i="29"/>
  <c r="G52" i="29"/>
  <c r="G218" i="29"/>
  <c r="G252" i="29"/>
  <c r="G168" i="29"/>
  <c r="G225" i="29"/>
  <c r="G158" i="29"/>
  <c r="G235" i="29"/>
  <c r="G149" i="29"/>
  <c r="G183" i="29"/>
  <c r="G209" i="29"/>
  <c r="G15" i="29"/>
  <c r="G96" i="29"/>
  <c r="G55" i="29"/>
  <c r="F260" i="29"/>
  <c r="H35" i="30" s="1"/>
  <c r="G148" i="29"/>
  <c r="G208" i="29"/>
  <c r="H42" i="30" l="1"/>
  <c r="F271" i="29" s="1"/>
  <c r="F272" i="29" s="1"/>
  <c r="H37" i="30"/>
  <c r="F36" i="30"/>
  <c r="F41" i="30"/>
  <c r="Q38" i="30"/>
  <c r="Q39" i="30" s="1"/>
  <c r="Q49" i="30" s="1"/>
  <c r="AD264" i="29"/>
  <c r="V264" i="29"/>
  <c r="F262" i="29"/>
  <c r="F263" i="29" s="1"/>
  <c r="G260" i="29"/>
  <c r="H41" i="30" l="1"/>
  <c r="F44" i="30"/>
  <c r="E270" i="29"/>
  <c r="H36" i="30"/>
  <c r="H38" i="30" s="1"/>
  <c r="H39" i="30" s="1"/>
  <c r="H49" i="30" s="1"/>
  <c r="F39" i="30"/>
  <c r="E261" i="29"/>
  <c r="F261" i="29" s="1"/>
  <c r="F264" i="29" s="1"/>
  <c r="J11" i="18"/>
  <c r="F270" i="29" l="1"/>
  <c r="F273" i="29" s="1"/>
  <c r="H43" i="30"/>
  <c r="H44" i="30" s="1"/>
  <c r="F18" i="18"/>
  <c r="B45" i="28"/>
  <c r="G7" i="18"/>
  <c r="H7" i="18" s="1"/>
  <c r="K4" i="28" s="1"/>
  <c r="G26" i="18"/>
  <c r="G27" i="18"/>
  <c r="G20" i="18"/>
  <c r="G18" i="18"/>
  <c r="F26" i="18"/>
  <c r="G5" i="28"/>
  <c r="E5" i="28"/>
  <c r="AB1" i="30" l="1"/>
  <c r="AC1" i="30" s="1"/>
  <c r="S1" i="30"/>
  <c r="T1" i="30" s="1"/>
  <c r="J1" i="30"/>
  <c r="K1" i="30" s="1"/>
  <c r="A1" i="30"/>
  <c r="B1" i="30" s="1"/>
  <c r="Y1" i="29"/>
  <c r="Q1" i="29"/>
  <c r="I1" i="29"/>
  <c r="A1" i="29"/>
  <c r="B1" i="29" s="1"/>
  <c r="L11" i="18"/>
  <c r="F20" i="18" l="1"/>
  <c r="I37" i="30" l="1"/>
  <c r="I23" i="30"/>
  <c r="I9" i="30"/>
  <c r="I6" i="30"/>
  <c r="A14" i="18"/>
  <c r="B14" i="18" s="1"/>
  <c r="A15" i="18"/>
  <c r="A16" i="18"/>
  <c r="A17" i="18"/>
  <c r="B17" i="18" s="1"/>
  <c r="A18" i="18"/>
  <c r="B18" i="18" s="1"/>
  <c r="A19" i="18"/>
  <c r="B19" i="18" s="1"/>
  <c r="A20" i="18"/>
  <c r="B20" i="18" s="1"/>
  <c r="A21" i="18"/>
  <c r="B21" i="18" s="1"/>
  <c r="A22" i="18"/>
  <c r="B22" i="18" s="1"/>
  <c r="A23" i="18"/>
  <c r="B23" i="18" s="1"/>
  <c r="A24" i="18"/>
  <c r="B24" i="18" s="1"/>
  <c r="A25" i="18"/>
  <c r="B25" i="18" s="1"/>
  <c r="A26" i="18"/>
  <c r="B26" i="18" s="1"/>
  <c r="A27" i="18"/>
  <c r="A13" i="18"/>
  <c r="A5" i="10"/>
  <c r="B5" i="10" s="1"/>
  <c r="A6" i="10"/>
  <c r="B6" i="10" s="1"/>
  <c r="A7" i="10"/>
  <c r="B7" i="10" s="1"/>
  <c r="A8" i="10"/>
  <c r="B8" i="10" s="1"/>
  <c r="A9" i="10"/>
  <c r="B9" i="10" s="1"/>
  <c r="A10" i="10"/>
  <c r="B10" i="10" s="1"/>
  <c r="A11" i="10"/>
  <c r="B11" i="10" s="1"/>
  <c r="A12" i="10"/>
  <c r="B12" i="10" s="1"/>
  <c r="A13" i="10"/>
  <c r="B13" i="10" s="1"/>
  <c r="A14" i="10"/>
  <c r="B14" i="10" s="1"/>
  <c r="A15" i="10"/>
  <c r="B15" i="10" s="1"/>
  <c r="A16" i="10"/>
  <c r="B16" i="10" s="1"/>
  <c r="A17" i="10"/>
  <c r="B17" i="10" s="1"/>
  <c r="A18" i="10"/>
  <c r="B18" i="10" s="1"/>
  <c r="A4" i="10"/>
  <c r="B4" i="10" s="1"/>
  <c r="A7" i="1"/>
  <c r="B7" i="1" s="1"/>
  <c r="E7" i="1" s="1"/>
  <c r="A8" i="1"/>
  <c r="B8" i="1" s="1"/>
  <c r="E8" i="1" s="1"/>
  <c r="F8" i="1" s="1"/>
  <c r="A9" i="1"/>
  <c r="B9" i="1" s="1"/>
  <c r="E9" i="1" s="1"/>
  <c r="F9" i="1" s="1"/>
  <c r="A10" i="1"/>
  <c r="B10" i="1" s="1"/>
  <c r="I10" i="1" s="1"/>
  <c r="A11" i="1"/>
  <c r="B11" i="1" s="1"/>
  <c r="E11" i="1" s="1"/>
  <c r="A12" i="1"/>
  <c r="B12" i="1" s="1"/>
  <c r="E12" i="1" s="1"/>
  <c r="F12" i="1" s="1"/>
  <c r="A13" i="1"/>
  <c r="B13" i="1" s="1"/>
  <c r="I13" i="1" s="1"/>
  <c r="A14" i="1"/>
  <c r="B14" i="1" s="1"/>
  <c r="E14" i="1" s="1"/>
  <c r="F14" i="1" s="1"/>
  <c r="A15" i="1"/>
  <c r="B15" i="1" s="1"/>
  <c r="M15" i="1" s="1"/>
  <c r="N15" i="1" s="1"/>
  <c r="A16" i="1"/>
  <c r="B16" i="1" s="1"/>
  <c r="I16" i="1" s="1"/>
  <c r="A17" i="1"/>
  <c r="B17" i="1" s="1"/>
  <c r="I17" i="1" s="1"/>
  <c r="A18" i="1"/>
  <c r="B18" i="1" s="1"/>
  <c r="E18" i="1" s="1"/>
  <c r="F18" i="1" s="1"/>
  <c r="A19" i="1"/>
  <c r="B19" i="1" s="1"/>
  <c r="A20" i="1"/>
  <c r="B20" i="1" s="1"/>
  <c r="A6" i="1"/>
  <c r="B6" i="1" s="1"/>
  <c r="I6" i="1" s="1"/>
  <c r="N3" i="21"/>
  <c r="Q3" i="21"/>
  <c r="P3" i="21"/>
  <c r="O3" i="21"/>
  <c r="M3" i="21"/>
  <c r="L3" i="21"/>
  <c r="K3" i="21"/>
  <c r="J3" i="21"/>
  <c r="I3" i="21"/>
  <c r="H3" i="21"/>
  <c r="G3" i="21"/>
  <c r="F3" i="21"/>
  <c r="E3" i="21"/>
  <c r="D3" i="21"/>
  <c r="C3" i="21"/>
  <c r="A120" i="3"/>
  <c r="A121" i="3" s="1"/>
  <c r="A130" i="3"/>
  <c r="A131" i="3" s="1"/>
  <c r="A140" i="3"/>
  <c r="A141" i="3" s="1"/>
  <c r="A150" i="3"/>
  <c r="A151" i="3" s="1"/>
  <c r="A20" i="3"/>
  <c r="A21" i="3" s="1"/>
  <c r="A30" i="3"/>
  <c r="A31" i="3" s="1"/>
  <c r="A40" i="3"/>
  <c r="A41" i="3" s="1"/>
  <c r="A50" i="3"/>
  <c r="A51" i="3" s="1"/>
  <c r="A60" i="3"/>
  <c r="A61" i="3" s="1"/>
  <c r="A70" i="3"/>
  <c r="A71" i="3" s="1"/>
  <c r="A80" i="3"/>
  <c r="A81" i="3" s="1"/>
  <c r="A90" i="3"/>
  <c r="A91" i="3" s="1"/>
  <c r="A100" i="3"/>
  <c r="A101" i="3" s="1"/>
  <c r="A110" i="3"/>
  <c r="A111" i="3" s="1"/>
  <c r="A10" i="3"/>
  <c r="A11" i="3" s="1"/>
  <c r="A8" i="22"/>
  <c r="D8" i="22" s="1"/>
  <c r="A9" i="22"/>
  <c r="A10" i="22"/>
  <c r="D10" i="22" s="1"/>
  <c r="A11" i="22"/>
  <c r="A12" i="22"/>
  <c r="D12" i="22" s="1"/>
  <c r="A13" i="22"/>
  <c r="D13" i="22" s="1"/>
  <c r="A14" i="22"/>
  <c r="A15" i="22"/>
  <c r="A16" i="22"/>
  <c r="D16" i="22" s="1"/>
  <c r="A17" i="22"/>
  <c r="D17" i="22" s="1"/>
  <c r="A18" i="22"/>
  <c r="A19" i="22"/>
  <c r="D19" i="22" s="1"/>
  <c r="A20" i="22"/>
  <c r="D20" i="22" s="1"/>
  <c r="A21" i="22"/>
  <c r="D21" i="22" s="1"/>
  <c r="A7" i="22"/>
  <c r="D7" i="22" s="1"/>
  <c r="K6" i="3"/>
  <c r="D11" i="22"/>
  <c r="D14" i="22"/>
  <c r="D15" i="22"/>
  <c r="D18" i="22"/>
  <c r="AE7" i="28"/>
  <c r="AC7" i="28"/>
  <c r="AC8" i="28" s="1"/>
  <c r="AA7" i="28"/>
  <c r="Y7" i="28"/>
  <c r="W7" i="28"/>
  <c r="U7" i="28"/>
  <c r="S7" i="28"/>
  <c r="Q7" i="28"/>
  <c r="O7" i="28"/>
  <c r="M7" i="28"/>
  <c r="K7" i="28"/>
  <c r="I7" i="28"/>
  <c r="I8" i="28" s="1"/>
  <c r="G7" i="28"/>
  <c r="G8" i="28" s="1"/>
  <c r="E7" i="28"/>
  <c r="C7" i="28"/>
  <c r="C8" i="28" s="1"/>
  <c r="I12" i="1" l="1"/>
  <c r="I15" i="1"/>
  <c r="I11" i="1"/>
  <c r="E4" i="21"/>
  <c r="C5" i="21"/>
  <c r="D5" i="21"/>
  <c r="E5" i="21"/>
  <c r="F5" i="21"/>
  <c r="C4" i="21"/>
  <c r="G177" i="28"/>
  <c r="G180" i="28"/>
  <c r="G179" i="28"/>
  <c r="G178" i="28"/>
  <c r="I178" i="28"/>
  <c r="I177" i="28"/>
  <c r="I179" i="28"/>
  <c r="I180" i="28"/>
  <c r="AC180" i="28"/>
  <c r="AD180" i="28" s="1"/>
  <c r="AC179" i="28"/>
  <c r="AD179" i="28" s="1"/>
  <c r="AC178" i="28"/>
  <c r="AD178" i="28" s="1"/>
  <c r="AC177" i="28"/>
  <c r="AD177" i="28" s="1"/>
  <c r="C180" i="28"/>
  <c r="C179" i="28"/>
  <c r="C177" i="28"/>
  <c r="C178" i="28"/>
  <c r="C181" i="28"/>
  <c r="C182" i="28"/>
  <c r="C183" i="28"/>
  <c r="C184" i="28"/>
  <c r="C185" i="28"/>
  <c r="C186" i="28"/>
  <c r="C187" i="28"/>
  <c r="C188" i="28"/>
  <c r="C189" i="28"/>
  <c r="G181" i="28"/>
  <c r="G182" i="28"/>
  <c r="G183" i="28"/>
  <c r="G184" i="28"/>
  <c r="G185" i="28"/>
  <c r="G186" i="28"/>
  <c r="G187" i="28"/>
  <c r="G188" i="28"/>
  <c r="G189" i="28"/>
  <c r="I181" i="28"/>
  <c r="I182" i="28"/>
  <c r="I183" i="28"/>
  <c r="I184" i="28"/>
  <c r="I185" i="28"/>
  <c r="I186" i="28"/>
  <c r="I187" i="28"/>
  <c r="I188" i="28"/>
  <c r="I189" i="28"/>
  <c r="AC181" i="28"/>
  <c r="AD181" i="28" s="1"/>
  <c r="AC182" i="28"/>
  <c r="AD182" i="28" s="1"/>
  <c r="AC183" i="28"/>
  <c r="AD183" i="28" s="1"/>
  <c r="AC184" i="28"/>
  <c r="AD184" i="28" s="1"/>
  <c r="AC185" i="28"/>
  <c r="AD185" i="28" s="1"/>
  <c r="AC186" i="28"/>
  <c r="AD186" i="28" s="1"/>
  <c r="AC187" i="28"/>
  <c r="AD187" i="28" s="1"/>
  <c r="AC188" i="28"/>
  <c r="AD188" i="28" s="1"/>
  <c r="AC189" i="28"/>
  <c r="AD189" i="28" s="1"/>
  <c r="G190" i="28"/>
  <c r="G191" i="28"/>
  <c r="G192" i="28"/>
  <c r="G193" i="28"/>
  <c r="G194" i="28"/>
  <c r="G195" i="28"/>
  <c r="G196" i="28"/>
  <c r="G197" i="28"/>
  <c r="C190" i="28"/>
  <c r="C191" i="28"/>
  <c r="C192" i="28"/>
  <c r="C193" i="28"/>
  <c r="C194" i="28"/>
  <c r="C195" i="28"/>
  <c r="C196" i="28"/>
  <c r="C197" i="28"/>
  <c r="AC190" i="28"/>
  <c r="AD190" i="28" s="1"/>
  <c r="AC191" i="28"/>
  <c r="AD191" i="28" s="1"/>
  <c r="AC192" i="28"/>
  <c r="AD192" i="28" s="1"/>
  <c r="AC193" i="28"/>
  <c r="AD193" i="28" s="1"/>
  <c r="AC194" i="28"/>
  <c r="AD194" i="28" s="1"/>
  <c r="AC195" i="28"/>
  <c r="AD195" i="28" s="1"/>
  <c r="AC196" i="28"/>
  <c r="AD196" i="28" s="1"/>
  <c r="AC197" i="28"/>
  <c r="AD197" i="28" s="1"/>
  <c r="I190" i="28"/>
  <c r="I191" i="28"/>
  <c r="I192" i="28"/>
  <c r="I193" i="28"/>
  <c r="I194" i="28"/>
  <c r="I195" i="28"/>
  <c r="I196" i="28"/>
  <c r="I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G198" i="28"/>
  <c r="G199" i="28"/>
  <c r="G200" i="28"/>
  <c r="G201" i="28"/>
  <c r="G202" i="28"/>
  <c r="G203" i="28"/>
  <c r="G204" i="28"/>
  <c r="G205" i="28"/>
  <c r="G206" i="28"/>
  <c r="G207" i="28"/>
  <c r="G208" i="28"/>
  <c r="G209" i="28"/>
  <c r="G210" i="28"/>
  <c r="G211" i="28"/>
  <c r="G212" i="28"/>
  <c r="G213" i="28"/>
  <c r="G214" i="28"/>
  <c r="G215" i="28"/>
  <c r="G216" i="28"/>
  <c r="G217" i="28"/>
  <c r="G219" i="28"/>
  <c r="G221" i="28"/>
  <c r="G220" i="28"/>
  <c r="G218" i="28"/>
  <c r="AC198" i="28"/>
  <c r="AD198" i="28" s="1"/>
  <c r="AC199" i="28"/>
  <c r="AD199" i="28" s="1"/>
  <c r="AC200" i="28"/>
  <c r="AD200" i="28" s="1"/>
  <c r="AC201" i="28"/>
  <c r="AD201" i="28" s="1"/>
  <c r="AC202" i="28"/>
  <c r="AD202" i="28" s="1"/>
  <c r="AC203" i="28"/>
  <c r="AD203" i="28" s="1"/>
  <c r="AC204" i="28"/>
  <c r="AD204" i="28" s="1"/>
  <c r="AC205" i="28"/>
  <c r="AD205" i="28" s="1"/>
  <c r="AC206" i="28"/>
  <c r="AD206" i="28" s="1"/>
  <c r="AC207" i="28"/>
  <c r="AD207" i="28" s="1"/>
  <c r="AC208" i="28"/>
  <c r="AD208" i="28" s="1"/>
  <c r="AC209" i="28"/>
  <c r="AD209" i="28" s="1"/>
  <c r="AC210" i="28"/>
  <c r="AD210" i="28" s="1"/>
  <c r="AC211" i="28"/>
  <c r="AD211" i="28" s="1"/>
  <c r="AC212" i="28"/>
  <c r="AD212" i="28" s="1"/>
  <c r="AC213" i="28"/>
  <c r="AD213" i="28" s="1"/>
  <c r="AC214" i="28"/>
  <c r="AD214" i="28" s="1"/>
  <c r="AC215" i="28"/>
  <c r="AD215" i="28" s="1"/>
  <c r="AC216" i="28"/>
  <c r="AD216" i="28" s="1"/>
  <c r="AC221" i="28"/>
  <c r="AD221" i="28" s="1"/>
  <c r="AC217" i="28"/>
  <c r="AD217" i="28" s="1"/>
  <c r="AC218" i="28"/>
  <c r="AD218" i="28" s="1"/>
  <c r="AC219" i="28"/>
  <c r="AD219" i="28" s="1"/>
  <c r="AC220" i="28"/>
  <c r="AD220" i="28" s="1"/>
  <c r="I198" i="28"/>
  <c r="I199" i="28"/>
  <c r="I200" i="28"/>
  <c r="I201" i="28"/>
  <c r="I202" i="28"/>
  <c r="I203" i="28"/>
  <c r="I204" i="28"/>
  <c r="I205" i="28"/>
  <c r="I206" i="28"/>
  <c r="I207" i="28"/>
  <c r="I208" i="28"/>
  <c r="I209" i="28"/>
  <c r="I210" i="28"/>
  <c r="I211" i="28"/>
  <c r="I212" i="28"/>
  <c r="I213" i="28"/>
  <c r="I214" i="28"/>
  <c r="I215" i="28"/>
  <c r="I216" i="28"/>
  <c r="I217" i="28"/>
  <c r="I218" i="28"/>
  <c r="I219" i="28"/>
  <c r="I220" i="28"/>
  <c r="I221" i="28"/>
  <c r="C132" i="28"/>
  <c r="I132" i="28"/>
  <c r="AC132" i="28"/>
  <c r="AD132" i="28" s="1"/>
  <c r="G132" i="28"/>
  <c r="C133" i="28"/>
  <c r="C134" i="28"/>
  <c r="C135" i="28"/>
  <c r="C136" i="28"/>
  <c r="C137" i="28"/>
  <c r="C138" i="28"/>
  <c r="C139" i="28"/>
  <c r="C140" i="28"/>
  <c r="C141" i="28"/>
  <c r="C142" i="28"/>
  <c r="C143" i="28"/>
  <c r="C144" i="28"/>
  <c r="C145" i="28"/>
  <c r="C146" i="28"/>
  <c r="C147" i="28"/>
  <c r="C148" i="28"/>
  <c r="C149" i="28"/>
  <c r="C150" i="28"/>
  <c r="C151" i="28"/>
  <c r="C152" i="28"/>
  <c r="G133" i="28"/>
  <c r="G134" i="28"/>
  <c r="G135" i="28"/>
  <c r="G136" i="28"/>
  <c r="G137" i="28"/>
  <c r="G138" i="28"/>
  <c r="G139" i="28"/>
  <c r="G140" i="28"/>
  <c r="G141" i="28"/>
  <c r="G142" i="28"/>
  <c r="G143" i="28"/>
  <c r="G144" i="28"/>
  <c r="G145" i="28"/>
  <c r="G146" i="28"/>
  <c r="G147" i="28"/>
  <c r="G148" i="28"/>
  <c r="G149" i="28"/>
  <c r="G150" i="28"/>
  <c r="G151" i="28"/>
  <c r="G152" i="28"/>
  <c r="I133" i="28"/>
  <c r="I134" i="28"/>
  <c r="I135" i="28"/>
  <c r="I136" i="28"/>
  <c r="I137" i="28"/>
  <c r="I138" i="28"/>
  <c r="I139" i="28"/>
  <c r="I140" i="28"/>
  <c r="I141" i="28"/>
  <c r="I142" i="28"/>
  <c r="I143" i="28"/>
  <c r="I144" i="28"/>
  <c r="I145" i="28"/>
  <c r="I146" i="28"/>
  <c r="I147" i="28"/>
  <c r="I148" i="28"/>
  <c r="I149" i="28"/>
  <c r="I150" i="28"/>
  <c r="I151" i="28"/>
  <c r="I152" i="28"/>
  <c r="AC135" i="28"/>
  <c r="AD135" i="28" s="1"/>
  <c r="AC141" i="28"/>
  <c r="AD141" i="28" s="1"/>
  <c r="AC137" i="28"/>
  <c r="AD137" i="28" s="1"/>
  <c r="AC145" i="28"/>
  <c r="AD145" i="28" s="1"/>
  <c r="AC134" i="28"/>
  <c r="AD134" i="28" s="1"/>
  <c r="AC136" i="28"/>
  <c r="AD136" i="28" s="1"/>
  <c r="AC143" i="28"/>
  <c r="AD143" i="28" s="1"/>
  <c r="AC138" i="28"/>
  <c r="AD138" i="28" s="1"/>
  <c r="AC144" i="28"/>
  <c r="AD144" i="28" s="1"/>
  <c r="AC139" i="28"/>
  <c r="AD139" i="28" s="1"/>
  <c r="AC146" i="28"/>
  <c r="AD146" i="28" s="1"/>
  <c r="AC133" i="28"/>
  <c r="AD133" i="28" s="1"/>
  <c r="AC142" i="28"/>
  <c r="AD142" i="28" s="1"/>
  <c r="AC151" i="28"/>
  <c r="AD151" i="28" s="1"/>
  <c r="AC149" i="28"/>
  <c r="AD149" i="28" s="1"/>
  <c r="AC148" i="28"/>
  <c r="AD148" i="28" s="1"/>
  <c r="AC150" i="28"/>
  <c r="AD150" i="28" s="1"/>
  <c r="AC140" i="28"/>
  <c r="AD140" i="28" s="1"/>
  <c r="AC147" i="28"/>
  <c r="AD147" i="28" s="1"/>
  <c r="AC152" i="28"/>
  <c r="AD152" i="28" s="1"/>
  <c r="C153" i="28"/>
  <c r="C154" i="28"/>
  <c r="C155" i="28"/>
  <c r="C156" i="28"/>
  <c r="G153" i="28"/>
  <c r="G154" i="28"/>
  <c r="G155" i="28"/>
  <c r="G156" i="28"/>
  <c r="I153" i="28"/>
  <c r="I154" i="28"/>
  <c r="I155" i="28"/>
  <c r="I156" i="28"/>
  <c r="AC153" i="28"/>
  <c r="AD153" i="28" s="1"/>
  <c r="AC154" i="28"/>
  <c r="AD154" i="28" s="1"/>
  <c r="AC155" i="28"/>
  <c r="AD155" i="28" s="1"/>
  <c r="AC156" i="28"/>
  <c r="AD156" i="28" s="1"/>
  <c r="C157" i="28"/>
  <c r="C158" i="28"/>
  <c r="C159" i="28"/>
  <c r="C160" i="28"/>
  <c r="C161" i="28"/>
  <c r="G157" i="28"/>
  <c r="G158" i="28"/>
  <c r="G159" i="28"/>
  <c r="G160" i="28"/>
  <c r="G161" i="28"/>
  <c r="I157" i="28"/>
  <c r="I158" i="28"/>
  <c r="I159" i="28"/>
  <c r="I160" i="28"/>
  <c r="I161" i="28"/>
  <c r="AC157" i="28"/>
  <c r="AD157" i="28" s="1"/>
  <c r="AC158" i="28"/>
  <c r="AD158" i="28" s="1"/>
  <c r="AC159" i="28"/>
  <c r="AD159" i="28" s="1"/>
  <c r="AC160" i="28"/>
  <c r="AD160" i="28" s="1"/>
  <c r="AC161" i="28"/>
  <c r="AD161" i="28" s="1"/>
  <c r="C162" i="28"/>
  <c r="C163" i="28"/>
  <c r="C164" i="28"/>
  <c r="C165" i="28"/>
  <c r="C166" i="28"/>
  <c r="C167" i="28"/>
  <c r="G162" i="28"/>
  <c r="G163" i="28"/>
  <c r="G164" i="28"/>
  <c r="G165" i="28"/>
  <c r="G166" i="28"/>
  <c r="G167" i="28"/>
  <c r="I162" i="28"/>
  <c r="I163" i="28"/>
  <c r="I164" i="28"/>
  <c r="I165" i="28"/>
  <c r="I166" i="28"/>
  <c r="I167" i="28"/>
  <c r="AC162" i="28"/>
  <c r="AD162" i="28" s="1"/>
  <c r="AC163" i="28"/>
  <c r="AD163" i="28" s="1"/>
  <c r="AC164" i="28"/>
  <c r="AD164" i="28" s="1"/>
  <c r="AC165" i="28"/>
  <c r="AD165" i="28" s="1"/>
  <c r="AC166" i="28"/>
  <c r="AD166" i="28" s="1"/>
  <c r="AC167" i="28"/>
  <c r="AD167" i="28" s="1"/>
  <c r="C168" i="28"/>
  <c r="C169" i="28"/>
  <c r="C170" i="28"/>
  <c r="G168" i="28"/>
  <c r="G169" i="28"/>
  <c r="G170" i="28"/>
  <c r="I168" i="28"/>
  <c r="I169" i="28"/>
  <c r="I170" i="28"/>
  <c r="AC168" i="28"/>
  <c r="AD168" i="28" s="1"/>
  <c r="AC169" i="28"/>
  <c r="AD169" i="28" s="1"/>
  <c r="AC170" i="28"/>
  <c r="AD170" i="28" s="1"/>
  <c r="C173" i="28"/>
  <c r="C171" i="28"/>
  <c r="C172" i="28"/>
  <c r="I173" i="28"/>
  <c r="I171" i="28"/>
  <c r="I172" i="28"/>
  <c r="AC173" i="28"/>
  <c r="AD173" i="28" s="1"/>
  <c r="AC171" i="28"/>
  <c r="AD171" i="28" s="1"/>
  <c r="AC172" i="28"/>
  <c r="AD172" i="28" s="1"/>
  <c r="G173" i="28"/>
  <c r="G171" i="28"/>
  <c r="G172" i="28"/>
  <c r="C87" i="28"/>
  <c r="C176" i="28"/>
  <c r="C174" i="28"/>
  <c r="C175" i="28"/>
  <c r="I87" i="28"/>
  <c r="I174" i="28"/>
  <c r="I175" i="28"/>
  <c r="I176" i="28"/>
  <c r="AC87" i="28"/>
  <c r="AD87" i="28" s="1"/>
  <c r="AC176" i="28"/>
  <c r="AD176" i="28" s="1"/>
  <c r="AC174" i="28"/>
  <c r="AD174" i="28" s="1"/>
  <c r="AC175" i="28"/>
  <c r="AD175" i="28" s="1"/>
  <c r="G87" i="28"/>
  <c r="G176" i="28"/>
  <c r="G174" i="28"/>
  <c r="G175" i="28"/>
  <c r="C88" i="28"/>
  <c r="C89" i="28"/>
  <c r="C90" i="28"/>
  <c r="C91" i="28"/>
  <c r="C92" i="28"/>
  <c r="C93" i="28"/>
  <c r="C94" i="28"/>
  <c r="C95" i="28"/>
  <c r="C102" i="28"/>
  <c r="C96" i="28"/>
  <c r="C97" i="28"/>
  <c r="C101" i="28"/>
  <c r="C98" i="28"/>
  <c r="C100" i="28"/>
  <c r="C99" i="28"/>
  <c r="I88" i="28"/>
  <c r="I89" i="28"/>
  <c r="I90" i="28"/>
  <c r="I91" i="28"/>
  <c r="I92" i="28"/>
  <c r="I93" i="28"/>
  <c r="I94" i="28"/>
  <c r="I95" i="28"/>
  <c r="I96" i="28"/>
  <c r="I97" i="28"/>
  <c r="I98" i="28"/>
  <c r="I99" i="28"/>
  <c r="I100" i="28"/>
  <c r="I101" i="28"/>
  <c r="I102" i="28"/>
  <c r="G92" i="28"/>
  <c r="G99" i="28"/>
  <c r="G88" i="28"/>
  <c r="G100" i="28"/>
  <c r="G91" i="28"/>
  <c r="G89" i="28"/>
  <c r="G93" i="28"/>
  <c r="G101" i="28"/>
  <c r="G90" i="28"/>
  <c r="G95" i="28"/>
  <c r="G102" i="28"/>
  <c r="G94" i="28"/>
  <c r="G96" i="28"/>
  <c r="G98" i="28"/>
  <c r="G97" i="28"/>
  <c r="AC88" i="28"/>
  <c r="AD88" i="28" s="1"/>
  <c r="AC89" i="28"/>
  <c r="AD89" i="28" s="1"/>
  <c r="AC90" i="28"/>
  <c r="AD90" i="28" s="1"/>
  <c r="AC91" i="28"/>
  <c r="AD91" i="28" s="1"/>
  <c r="AC92" i="28"/>
  <c r="AD92" i="28" s="1"/>
  <c r="AC93" i="28"/>
  <c r="AD93" i="28" s="1"/>
  <c r="AC94" i="28"/>
  <c r="AD94" i="28" s="1"/>
  <c r="AC95" i="28"/>
  <c r="AD95" i="28" s="1"/>
  <c r="AC96" i="28"/>
  <c r="AD96" i="28" s="1"/>
  <c r="AC97" i="28"/>
  <c r="AD97" i="28" s="1"/>
  <c r="AC98" i="28"/>
  <c r="AD98" i="28" s="1"/>
  <c r="AC99" i="28"/>
  <c r="AD99" i="28" s="1"/>
  <c r="AC100" i="28"/>
  <c r="AD100" i="28" s="1"/>
  <c r="AC101" i="28"/>
  <c r="AD101" i="28" s="1"/>
  <c r="AC102" i="28"/>
  <c r="AD102" i="28" s="1"/>
  <c r="C103" i="28"/>
  <c r="C104" i="28"/>
  <c r="C105" i="28"/>
  <c r="C106" i="28"/>
  <c r="C107" i="28"/>
  <c r="C108" i="28"/>
  <c r="C109" i="28"/>
  <c r="C110" i="28"/>
  <c r="C111" i="28"/>
  <c r="C112" i="28"/>
  <c r="C113" i="28"/>
  <c r="C114" i="28"/>
  <c r="C115" i="28"/>
  <c r="G103" i="28"/>
  <c r="G104" i="28"/>
  <c r="G105" i="28"/>
  <c r="G106" i="28"/>
  <c r="G107" i="28"/>
  <c r="G108" i="28"/>
  <c r="G109" i="28"/>
  <c r="G110" i="28"/>
  <c r="G111" i="28"/>
  <c r="G112" i="28"/>
  <c r="G113" i="28"/>
  <c r="G114" i="28"/>
  <c r="G115" i="28"/>
  <c r="I103" i="28"/>
  <c r="I104" i="28"/>
  <c r="I105" i="28"/>
  <c r="I106" i="28"/>
  <c r="I107" i="28"/>
  <c r="I108" i="28"/>
  <c r="I109" i="28"/>
  <c r="I110" i="28"/>
  <c r="I111" i="28"/>
  <c r="I112" i="28"/>
  <c r="I113" i="28"/>
  <c r="I114" i="28"/>
  <c r="I115" i="28"/>
  <c r="AC103" i="28"/>
  <c r="AD103" i="28" s="1"/>
  <c r="AC104" i="28"/>
  <c r="AD104" i="28" s="1"/>
  <c r="AC105" i="28"/>
  <c r="AD105" i="28" s="1"/>
  <c r="AC106" i="28"/>
  <c r="AD106" i="28" s="1"/>
  <c r="AC107" i="28"/>
  <c r="AD107" i="28" s="1"/>
  <c r="AC108" i="28"/>
  <c r="AD108" i="28" s="1"/>
  <c r="AC109" i="28"/>
  <c r="AD109" i="28" s="1"/>
  <c r="AC110" i="28"/>
  <c r="AD110" i="28" s="1"/>
  <c r="AC111" i="28"/>
  <c r="AD111" i="28" s="1"/>
  <c r="AC112" i="28"/>
  <c r="AD112" i="28" s="1"/>
  <c r="AC113" i="28"/>
  <c r="AD113" i="28" s="1"/>
  <c r="AC114" i="28"/>
  <c r="AD114" i="28" s="1"/>
  <c r="AC115" i="28"/>
  <c r="AD115" i="28" s="1"/>
  <c r="C116" i="28"/>
  <c r="C117" i="28"/>
  <c r="C118" i="28"/>
  <c r="I116" i="28"/>
  <c r="I117" i="28"/>
  <c r="I118" i="28"/>
  <c r="G116" i="28"/>
  <c r="G117" i="28"/>
  <c r="G118" i="28"/>
  <c r="AC116" i="28"/>
  <c r="AD116" i="28" s="1"/>
  <c r="AC117" i="28"/>
  <c r="AD117" i="28" s="1"/>
  <c r="AC118" i="28"/>
  <c r="AD118" i="28" s="1"/>
  <c r="C119" i="28"/>
  <c r="C120" i="28"/>
  <c r="I119" i="28"/>
  <c r="I120" i="28"/>
  <c r="AC119" i="28"/>
  <c r="AD119" i="28" s="1"/>
  <c r="AC120" i="28"/>
  <c r="AD120" i="28" s="1"/>
  <c r="G119" i="28"/>
  <c r="G120" i="28"/>
  <c r="C121" i="28"/>
  <c r="C122" i="28"/>
  <c r="I121" i="28"/>
  <c r="I122" i="28"/>
  <c r="AC121" i="28"/>
  <c r="AD121" i="28" s="1"/>
  <c r="AC122" i="28"/>
  <c r="AD122" i="28" s="1"/>
  <c r="G121" i="28"/>
  <c r="G122" i="28"/>
  <c r="G123" i="28"/>
  <c r="G124" i="28"/>
  <c r="C123" i="28"/>
  <c r="C124" i="28"/>
  <c r="AC123" i="28"/>
  <c r="AD123" i="28" s="1"/>
  <c r="AC124" i="28"/>
  <c r="AD124" i="28" s="1"/>
  <c r="I123" i="28"/>
  <c r="I124" i="28"/>
  <c r="C126" i="28"/>
  <c r="C125" i="28"/>
  <c r="G126" i="28"/>
  <c r="G125" i="28"/>
  <c r="AC126" i="28"/>
  <c r="AD126" i="28" s="1"/>
  <c r="AC125" i="28"/>
  <c r="AD125" i="28" s="1"/>
  <c r="I125" i="28"/>
  <c r="I126" i="28"/>
  <c r="I130" i="28"/>
  <c r="I127" i="28"/>
  <c r="I128" i="28"/>
  <c r="I129" i="28"/>
  <c r="G130" i="28"/>
  <c r="G129" i="28"/>
  <c r="G127" i="28"/>
  <c r="G128" i="28"/>
  <c r="C130" i="28"/>
  <c r="C127" i="28"/>
  <c r="C128" i="28"/>
  <c r="C129" i="28"/>
  <c r="AC130" i="28"/>
  <c r="AD130" i="28" s="1"/>
  <c r="AC127" i="28"/>
  <c r="AD127" i="28" s="1"/>
  <c r="AC128" i="28"/>
  <c r="AD128" i="28" s="1"/>
  <c r="AC129" i="28"/>
  <c r="AD129" i="28" s="1"/>
  <c r="C131" i="28"/>
  <c r="I131" i="28"/>
  <c r="AC131" i="28"/>
  <c r="AD131" i="28" s="1"/>
  <c r="G131" i="28"/>
  <c r="G84" i="28"/>
  <c r="G77" i="28"/>
  <c r="G63" i="28"/>
  <c r="G55" i="28"/>
  <c r="G47" i="28"/>
  <c r="G37" i="28"/>
  <c r="G29" i="28"/>
  <c r="G21" i="28"/>
  <c r="G56" i="28"/>
  <c r="G76" i="28"/>
  <c r="G70" i="28"/>
  <c r="G62" i="28"/>
  <c r="G54" i="28"/>
  <c r="G44" i="28"/>
  <c r="G36" i="28"/>
  <c r="G28" i="28"/>
  <c r="G20" i="28"/>
  <c r="G48" i="28"/>
  <c r="G83" i="28"/>
  <c r="G75" i="28"/>
  <c r="G69" i="28"/>
  <c r="G61" i="28"/>
  <c r="G53" i="28"/>
  <c r="G43" i="28"/>
  <c r="G35" i="28"/>
  <c r="G27" i="28"/>
  <c r="G19" i="28"/>
  <c r="G22" i="28"/>
  <c r="G82" i="28"/>
  <c r="G74" i="28"/>
  <c r="G68" i="28"/>
  <c r="G60" i="28"/>
  <c r="G52" i="28"/>
  <c r="G42" i="28"/>
  <c r="G34" i="28"/>
  <c r="G26" i="28"/>
  <c r="G18" i="28"/>
  <c r="G64" i="28"/>
  <c r="G14" i="28"/>
  <c r="G81" i="28"/>
  <c r="G73" i="28"/>
  <c r="G67" i="28"/>
  <c r="G59" i="28"/>
  <c r="G51" i="28"/>
  <c r="G41" i="28"/>
  <c r="G33" i="28"/>
  <c r="G25" i="28"/>
  <c r="G17" i="28"/>
  <c r="G86" i="28"/>
  <c r="G80" i="28"/>
  <c r="G72" i="28"/>
  <c r="G66" i="28"/>
  <c r="G58" i="28"/>
  <c r="G50" i="28"/>
  <c r="G40" i="28"/>
  <c r="G32" i="28"/>
  <c r="G24" i="28"/>
  <c r="G16" i="28"/>
  <c r="G38" i="28"/>
  <c r="G85" i="28"/>
  <c r="G79" i="28"/>
  <c r="G71" i="28"/>
  <c r="G65" i="28"/>
  <c r="G57" i="28"/>
  <c r="G49" i="28"/>
  <c r="G39" i="28"/>
  <c r="G31" i="28"/>
  <c r="G23" i="28"/>
  <c r="G15" i="28"/>
  <c r="G78" i="28"/>
  <c r="G30" i="28"/>
  <c r="C78" i="28"/>
  <c r="C64" i="28"/>
  <c r="C56" i="28"/>
  <c r="C48" i="28"/>
  <c r="C38" i="28"/>
  <c r="C30" i="28"/>
  <c r="C21" i="28"/>
  <c r="C85" i="28"/>
  <c r="C31" i="28"/>
  <c r="C84" i="28"/>
  <c r="C77" i="28"/>
  <c r="C63" i="28"/>
  <c r="C55" i="28"/>
  <c r="C47" i="28"/>
  <c r="C37" i="28"/>
  <c r="C29" i="28"/>
  <c r="C20" i="28"/>
  <c r="C49" i="28"/>
  <c r="C76" i="28"/>
  <c r="C70" i="28"/>
  <c r="C62" i="28"/>
  <c r="C54" i="28"/>
  <c r="C44" i="28"/>
  <c r="C36" i="28"/>
  <c r="C28" i="28"/>
  <c r="C19" i="28"/>
  <c r="C65" i="28"/>
  <c r="C14" i="28"/>
  <c r="C83" i="28"/>
  <c r="C75" i="28"/>
  <c r="C69" i="28"/>
  <c r="C61" i="28"/>
  <c r="C53" i="28"/>
  <c r="C43" i="28"/>
  <c r="C35" i="28"/>
  <c r="C27" i="28"/>
  <c r="C18" i="28"/>
  <c r="C39" i="28"/>
  <c r="C25" i="28"/>
  <c r="C82" i="28"/>
  <c r="C74" i="28"/>
  <c r="C68" i="28"/>
  <c r="C60" i="28"/>
  <c r="C52" i="28"/>
  <c r="C42" i="28"/>
  <c r="C34" i="28"/>
  <c r="C26" i="28"/>
  <c r="C17" i="28"/>
  <c r="C79" i="28"/>
  <c r="C81" i="28"/>
  <c r="C73" i="28"/>
  <c r="C67" i="28"/>
  <c r="C59" i="28"/>
  <c r="C51" i="28"/>
  <c r="C41" i="28"/>
  <c r="C33" i="28"/>
  <c r="C24" i="28"/>
  <c r="C16" i="28"/>
  <c r="C57" i="28"/>
  <c r="C86" i="28"/>
  <c r="C80" i="28"/>
  <c r="C72" i="28"/>
  <c r="C66" i="28"/>
  <c r="C58" i="28"/>
  <c r="C50" i="28"/>
  <c r="C40" i="28"/>
  <c r="C32" i="28"/>
  <c r="C23" i="28"/>
  <c r="C15" i="28"/>
  <c r="C71" i="28"/>
  <c r="C22" i="28"/>
  <c r="I81" i="28"/>
  <c r="I73" i="28"/>
  <c r="I67" i="28"/>
  <c r="I59" i="28"/>
  <c r="I51" i="28"/>
  <c r="I41" i="28"/>
  <c r="I33" i="28"/>
  <c r="I25" i="28"/>
  <c r="I17" i="28"/>
  <c r="I42" i="28"/>
  <c r="I86" i="28"/>
  <c r="I80" i="28"/>
  <c r="I72" i="28"/>
  <c r="I66" i="28"/>
  <c r="I58" i="28"/>
  <c r="I50" i="28"/>
  <c r="I40" i="28"/>
  <c r="I32" i="28"/>
  <c r="I24" i="28"/>
  <c r="I16" i="28"/>
  <c r="I60" i="28"/>
  <c r="I85" i="28"/>
  <c r="I79" i="28"/>
  <c r="I71" i="28"/>
  <c r="I65" i="28"/>
  <c r="I57" i="28"/>
  <c r="I49" i="28"/>
  <c r="I39" i="28"/>
  <c r="I31" i="28"/>
  <c r="I23" i="28"/>
  <c r="I15" i="28"/>
  <c r="I68" i="28"/>
  <c r="I26" i="28"/>
  <c r="I78" i="28"/>
  <c r="I64" i="28"/>
  <c r="I56" i="28"/>
  <c r="I48" i="28"/>
  <c r="I38" i="28"/>
  <c r="I30" i="28"/>
  <c r="I22" i="28"/>
  <c r="I14" i="28"/>
  <c r="I52" i="28"/>
  <c r="I84" i="28"/>
  <c r="I77" i="28"/>
  <c r="I63" i="28"/>
  <c r="I55" i="28"/>
  <c r="I47" i="28"/>
  <c r="I37" i="28"/>
  <c r="I29" i="28"/>
  <c r="I21" i="28"/>
  <c r="I34" i="28"/>
  <c r="I76" i="28"/>
  <c r="I70" i="28"/>
  <c r="I62" i="28"/>
  <c r="I54" i="28"/>
  <c r="I44" i="28"/>
  <c r="I36" i="28"/>
  <c r="I28" i="28"/>
  <c r="I20" i="28"/>
  <c r="I74" i="28"/>
  <c r="I83" i="28"/>
  <c r="I75" i="28"/>
  <c r="I69" i="28"/>
  <c r="I61" i="28"/>
  <c r="I53" i="28"/>
  <c r="I43" i="28"/>
  <c r="I35" i="28"/>
  <c r="I27" i="28"/>
  <c r="I19" i="28"/>
  <c r="I82" i="28"/>
  <c r="I18" i="28"/>
  <c r="AC73" i="28"/>
  <c r="AD73" i="28" s="1"/>
  <c r="AC74" i="28"/>
  <c r="AD74" i="28" s="1"/>
  <c r="AC75" i="28"/>
  <c r="AD75" i="28" s="1"/>
  <c r="AC76" i="28"/>
  <c r="AD76" i="28" s="1"/>
  <c r="AC78" i="28"/>
  <c r="AD78" i="28" s="1"/>
  <c r="AC77" i="28"/>
  <c r="AD77" i="28" s="1"/>
  <c r="AC79" i="28"/>
  <c r="AD79" i="28" s="1"/>
  <c r="AC81" i="28"/>
  <c r="AD81" i="28" s="1"/>
  <c r="AC80" i="28"/>
  <c r="AD80" i="28" s="1"/>
  <c r="AC82" i="28"/>
  <c r="AD82" i="28" s="1"/>
  <c r="AC83" i="28"/>
  <c r="AD83" i="28" s="1"/>
  <c r="AC84" i="28"/>
  <c r="AD84" i="28" s="1"/>
  <c r="AC86" i="28"/>
  <c r="AD86" i="28" s="1"/>
  <c r="AC85" i="28"/>
  <c r="AD85" i="28" s="1"/>
  <c r="AC72" i="28"/>
  <c r="AD72" i="28" s="1"/>
  <c r="AC71" i="28"/>
  <c r="AD71" i="28" s="1"/>
  <c r="AC31" i="28"/>
  <c r="AD31" i="28" s="1"/>
  <c r="AC32" i="28"/>
  <c r="AD32" i="28" s="1"/>
  <c r="AC33" i="28"/>
  <c r="AD33" i="28" s="1"/>
  <c r="AC34" i="28"/>
  <c r="AD34" i="28" s="1"/>
  <c r="AC28" i="28"/>
  <c r="AD28" i="28" s="1"/>
  <c r="AC30" i="28"/>
  <c r="AD30" i="28" s="1"/>
  <c r="AC27" i="28"/>
  <c r="AD27" i="28" s="1"/>
  <c r="AC29" i="28"/>
  <c r="AD29" i="28" s="1"/>
  <c r="AC40" i="28"/>
  <c r="AD40" i="28" s="1"/>
  <c r="AC25" i="28"/>
  <c r="AD25" i="28" s="1"/>
  <c r="AC26" i="28"/>
  <c r="AD26" i="28" s="1"/>
  <c r="AC35" i="28"/>
  <c r="AD35" i="28" s="1"/>
  <c r="AC36" i="28"/>
  <c r="AD36" i="28" s="1"/>
  <c r="AC39" i="28"/>
  <c r="AD39" i="28" s="1"/>
  <c r="AC22" i="28"/>
  <c r="AD22" i="28" s="1"/>
  <c r="AC24" i="28"/>
  <c r="AD24" i="28" s="1"/>
  <c r="AC23" i="28"/>
  <c r="AD23" i="28" s="1"/>
  <c r="AC42" i="28"/>
  <c r="AD42" i="28" s="1"/>
  <c r="AC41" i="28"/>
  <c r="AD41" i="28" s="1"/>
  <c r="I8" i="1"/>
  <c r="E16" i="1"/>
  <c r="F16" i="1" s="1"/>
  <c r="I7" i="1"/>
  <c r="E15" i="1"/>
  <c r="K4" i="21"/>
  <c r="L5" i="21"/>
  <c r="M5" i="21"/>
  <c r="I4" i="21"/>
  <c r="O5" i="21"/>
  <c r="I14" i="1"/>
  <c r="H5" i="21"/>
  <c r="G5" i="21"/>
  <c r="J5" i="21"/>
  <c r="AC60" i="28"/>
  <c r="AD60" i="28" s="1"/>
  <c r="AC47" i="28"/>
  <c r="AD47" i="28" s="1"/>
  <c r="AC19" i="28"/>
  <c r="AD19" i="28" s="1"/>
  <c r="AC68" i="28"/>
  <c r="AD68" i="28" s="1"/>
  <c r="AC64" i="28"/>
  <c r="AD64" i="28" s="1"/>
  <c r="AC54" i="28"/>
  <c r="AD54" i="28" s="1"/>
  <c r="AC21" i="28"/>
  <c r="AD21" i="28" s="1"/>
  <c r="AC14" i="28"/>
  <c r="AC67" i="28"/>
  <c r="AD67" i="28" s="1"/>
  <c r="AC58" i="28"/>
  <c r="AD58" i="28" s="1"/>
  <c r="AC50" i="28"/>
  <c r="AD50" i="28" s="1"/>
  <c r="AC37" i="28"/>
  <c r="AD37" i="28" s="1"/>
  <c r="AC63" i="28"/>
  <c r="AD63" i="28" s="1"/>
  <c r="AC53" i="28"/>
  <c r="AD53" i="28" s="1"/>
  <c r="AC15" i="28"/>
  <c r="AD15" i="28" s="1"/>
  <c r="AC38" i="28"/>
  <c r="AD38" i="28" s="1"/>
  <c r="AC66" i="28"/>
  <c r="AD66" i="28" s="1"/>
  <c r="AC62" i="28"/>
  <c r="AD62" i="28" s="1"/>
  <c r="AC57" i="28"/>
  <c r="AD57" i="28" s="1"/>
  <c r="AC52" i="28"/>
  <c r="AD52" i="28" s="1"/>
  <c r="AC49" i="28"/>
  <c r="AD49" i="28" s="1"/>
  <c r="AC16" i="28"/>
  <c r="AD16" i="28" s="1"/>
  <c r="AC43" i="28"/>
  <c r="AD43" i="28" s="1"/>
  <c r="AC70" i="28"/>
  <c r="AD70" i="28" s="1"/>
  <c r="AC65" i="28"/>
  <c r="AD65" i="28" s="1"/>
  <c r="AC61" i="28"/>
  <c r="AD61" i="28" s="1"/>
  <c r="AC51" i="28"/>
  <c r="AD51" i="28" s="1"/>
  <c r="AC17" i="28"/>
  <c r="AD17" i="28" s="1"/>
  <c r="AC44" i="28"/>
  <c r="AD44" i="28" s="1"/>
  <c r="AC56" i="28"/>
  <c r="AD56" i="28" s="1"/>
  <c r="AC48" i="28"/>
  <c r="AD48" i="28" s="1"/>
  <c r="AC18" i="28"/>
  <c r="AD18" i="28" s="1"/>
  <c r="AC20" i="28"/>
  <c r="AD20" i="28" s="1"/>
  <c r="AC59" i="28"/>
  <c r="AD59" i="28" s="1"/>
  <c r="AC55" i="28"/>
  <c r="AD55" i="28" s="1"/>
  <c r="AC69" i="28"/>
  <c r="AD69" i="28" s="1"/>
  <c r="K5" i="21"/>
  <c r="M4" i="21"/>
  <c r="I18" i="1"/>
  <c r="L4" i="21"/>
  <c r="D4" i="21"/>
  <c r="O4" i="21"/>
  <c r="N4" i="21"/>
  <c r="N5" i="21"/>
  <c r="J4" i="21"/>
  <c r="P4" i="21"/>
  <c r="H4" i="21"/>
  <c r="P5" i="21"/>
  <c r="G4" i="21"/>
  <c r="E10" i="1"/>
  <c r="F10" i="1" s="1"/>
  <c r="Q4" i="21"/>
  <c r="I5" i="21"/>
  <c r="F4" i="21"/>
  <c r="B27" i="18"/>
  <c r="B15" i="18"/>
  <c r="B13" i="18"/>
  <c r="B16" i="18"/>
  <c r="K8" i="28"/>
  <c r="S8" i="28"/>
  <c r="AA8" i="28"/>
  <c r="E8" i="28"/>
  <c r="M8" i="28"/>
  <c r="U8" i="28"/>
  <c r="O8" i="28"/>
  <c r="W8" i="28"/>
  <c r="AE8" i="28"/>
  <c r="Q8" i="28"/>
  <c r="Y8" i="28"/>
  <c r="I20" i="1"/>
  <c r="E20" i="1"/>
  <c r="F20" i="1" s="1"/>
  <c r="I19" i="1"/>
  <c r="E19" i="1"/>
  <c r="Q5" i="21"/>
  <c r="E13" i="1"/>
  <c r="F13" i="1" s="1"/>
  <c r="I9" i="1"/>
  <c r="E17" i="1"/>
  <c r="F17" i="1" s="1"/>
  <c r="H51" i="30"/>
  <c r="F19" i="1"/>
  <c r="F15" i="1"/>
  <c r="F11" i="1"/>
  <c r="F7" i="1"/>
  <c r="E6" i="1"/>
  <c r="F6" i="1" s="1"/>
  <c r="O177" i="28" l="1"/>
  <c r="P177" i="28" s="1"/>
  <c r="O180" i="28"/>
  <c r="P180" i="28" s="1"/>
  <c r="O179" i="28"/>
  <c r="P179" i="28" s="1"/>
  <c r="O178" i="28"/>
  <c r="P178" i="28" s="1"/>
  <c r="S180" i="28"/>
  <c r="T180" i="28" s="1"/>
  <c r="S179" i="28"/>
  <c r="T179" i="28" s="1"/>
  <c r="S178" i="28"/>
  <c r="T178" i="28" s="1"/>
  <c r="S177" i="28"/>
  <c r="T177" i="28" s="1"/>
  <c r="K180" i="28"/>
  <c r="L180" i="28" s="1"/>
  <c r="K179" i="28"/>
  <c r="L179" i="28" s="1"/>
  <c r="K178" i="28"/>
  <c r="L178" i="28" s="1"/>
  <c r="K177" i="28"/>
  <c r="L177" i="28" s="1"/>
  <c r="Q178" i="28"/>
  <c r="R178" i="28" s="1"/>
  <c r="Q177" i="28"/>
  <c r="R177" i="28" s="1"/>
  <c r="Q180" i="28"/>
  <c r="R180" i="28" s="1"/>
  <c r="Q179" i="28"/>
  <c r="R179" i="28" s="1"/>
  <c r="AE178" i="28"/>
  <c r="AF178" i="28" s="1"/>
  <c r="AE177" i="28"/>
  <c r="AF177" i="28" s="1"/>
  <c r="AE180" i="28"/>
  <c r="AF180" i="28" s="1"/>
  <c r="AE179" i="28"/>
  <c r="AF179" i="28" s="1"/>
  <c r="W177" i="28"/>
  <c r="X177" i="28" s="1"/>
  <c r="W180" i="28"/>
  <c r="X180" i="28" s="1"/>
  <c r="W179" i="28"/>
  <c r="X179" i="28" s="1"/>
  <c r="W178" i="28"/>
  <c r="X178" i="28" s="1"/>
  <c r="U180" i="28"/>
  <c r="V180" i="28" s="1"/>
  <c r="U179" i="28"/>
  <c r="V179" i="28" s="1"/>
  <c r="U178" i="28"/>
  <c r="V178" i="28" s="1"/>
  <c r="U177" i="28"/>
  <c r="V177" i="28" s="1"/>
  <c r="M180" i="28"/>
  <c r="N180" i="28" s="1"/>
  <c r="M179" i="28"/>
  <c r="N179" i="28" s="1"/>
  <c r="M178" i="28"/>
  <c r="N178" i="28" s="1"/>
  <c r="M177" i="28"/>
  <c r="N177" i="28" s="1"/>
  <c r="E180" i="28"/>
  <c r="E179" i="28"/>
  <c r="E178" i="28"/>
  <c r="E177" i="28"/>
  <c r="Y178" i="28"/>
  <c r="Z178" i="28" s="1"/>
  <c r="Y177" i="28"/>
  <c r="Z177" i="28" s="1"/>
  <c r="Y180" i="28"/>
  <c r="Z180" i="28" s="1"/>
  <c r="Y179" i="28"/>
  <c r="Z179" i="28" s="1"/>
  <c r="AA180" i="28"/>
  <c r="AB180" i="28" s="1"/>
  <c r="AA179" i="28"/>
  <c r="AB179" i="28" s="1"/>
  <c r="AA178" i="28"/>
  <c r="AB178" i="28" s="1"/>
  <c r="AA177" i="28"/>
  <c r="AB177" i="28" s="1"/>
  <c r="Y181" i="28"/>
  <c r="Z181" i="28" s="1"/>
  <c r="Y182" i="28"/>
  <c r="Z182" i="28" s="1"/>
  <c r="Y183" i="28"/>
  <c r="Z183" i="28" s="1"/>
  <c r="Y184" i="28"/>
  <c r="Z184" i="28" s="1"/>
  <c r="Y185" i="28"/>
  <c r="Z185" i="28" s="1"/>
  <c r="Y186" i="28"/>
  <c r="Z186" i="28" s="1"/>
  <c r="Y187" i="28"/>
  <c r="Z187" i="28" s="1"/>
  <c r="Y188" i="28"/>
  <c r="Z188" i="28" s="1"/>
  <c r="Y189" i="28"/>
  <c r="Z189" i="28" s="1"/>
  <c r="Q181" i="28"/>
  <c r="R181" i="28" s="1"/>
  <c r="Q182" i="28"/>
  <c r="R182" i="28" s="1"/>
  <c r="Q183" i="28"/>
  <c r="R183" i="28" s="1"/>
  <c r="Q184" i="28"/>
  <c r="R184" i="28" s="1"/>
  <c r="Q185" i="28"/>
  <c r="R185" i="28" s="1"/>
  <c r="Q186" i="28"/>
  <c r="R186" i="28" s="1"/>
  <c r="Q187" i="28"/>
  <c r="R187" i="28" s="1"/>
  <c r="Q188" i="28"/>
  <c r="R188" i="28" s="1"/>
  <c r="Q189" i="28"/>
  <c r="R189" i="28" s="1"/>
  <c r="AE181" i="28"/>
  <c r="AF181" i="28" s="1"/>
  <c r="AE182" i="28"/>
  <c r="AF182" i="28" s="1"/>
  <c r="AE183" i="28"/>
  <c r="AF183" i="28" s="1"/>
  <c r="AE184" i="28"/>
  <c r="AF184" i="28" s="1"/>
  <c r="AE185" i="28"/>
  <c r="AF185" i="28" s="1"/>
  <c r="AE186" i="28"/>
  <c r="AF186" i="28" s="1"/>
  <c r="AE187" i="28"/>
  <c r="AF187" i="28" s="1"/>
  <c r="AE188" i="28"/>
  <c r="AF188" i="28" s="1"/>
  <c r="AE189" i="28"/>
  <c r="AF189" i="28" s="1"/>
  <c r="W181" i="28"/>
  <c r="X181" i="28" s="1"/>
  <c r="W182" i="28"/>
  <c r="X182" i="28" s="1"/>
  <c r="W183" i="28"/>
  <c r="X183" i="28" s="1"/>
  <c r="W184" i="28"/>
  <c r="X184" i="28" s="1"/>
  <c r="W185" i="28"/>
  <c r="X185" i="28" s="1"/>
  <c r="W186" i="28"/>
  <c r="X186" i="28" s="1"/>
  <c r="W187" i="28"/>
  <c r="X187" i="28" s="1"/>
  <c r="W188" i="28"/>
  <c r="X188" i="28" s="1"/>
  <c r="W189" i="28"/>
  <c r="X189" i="28" s="1"/>
  <c r="O181" i="28"/>
  <c r="P181" i="28" s="1"/>
  <c r="O182" i="28"/>
  <c r="P182" i="28" s="1"/>
  <c r="O183" i="28"/>
  <c r="P183" i="28" s="1"/>
  <c r="O184" i="28"/>
  <c r="P184" i="28" s="1"/>
  <c r="O185" i="28"/>
  <c r="P185" i="28" s="1"/>
  <c r="O186" i="28"/>
  <c r="P186" i="28" s="1"/>
  <c r="O187" i="28"/>
  <c r="P187" i="28" s="1"/>
  <c r="O188" i="28"/>
  <c r="P188" i="28" s="1"/>
  <c r="O189" i="28"/>
  <c r="P189" i="28" s="1"/>
  <c r="U181" i="28"/>
  <c r="V181" i="28" s="1"/>
  <c r="U182" i="28"/>
  <c r="V182" i="28" s="1"/>
  <c r="U183" i="28"/>
  <c r="V183" i="28" s="1"/>
  <c r="U184" i="28"/>
  <c r="V184" i="28" s="1"/>
  <c r="U185" i="28"/>
  <c r="V185" i="28" s="1"/>
  <c r="U186" i="28"/>
  <c r="V186" i="28" s="1"/>
  <c r="U187" i="28"/>
  <c r="V187" i="28" s="1"/>
  <c r="U188" i="28"/>
  <c r="V188" i="28" s="1"/>
  <c r="U189" i="28"/>
  <c r="V189" i="28" s="1"/>
  <c r="M181" i="28"/>
  <c r="N181" i="28" s="1"/>
  <c r="M182" i="28"/>
  <c r="N182" i="28" s="1"/>
  <c r="M183" i="28"/>
  <c r="N183" i="28" s="1"/>
  <c r="M184" i="28"/>
  <c r="N184" i="28" s="1"/>
  <c r="M185" i="28"/>
  <c r="N185" i="28" s="1"/>
  <c r="M186" i="28"/>
  <c r="N186" i="28" s="1"/>
  <c r="M187" i="28"/>
  <c r="N187" i="28" s="1"/>
  <c r="M188" i="28"/>
  <c r="N188" i="28" s="1"/>
  <c r="M189" i="28"/>
  <c r="N189" i="28" s="1"/>
  <c r="E181" i="28"/>
  <c r="E182" i="28"/>
  <c r="E183" i="28"/>
  <c r="E184" i="28"/>
  <c r="E185" i="28"/>
  <c r="E186" i="28"/>
  <c r="E187" i="28"/>
  <c r="E188" i="28"/>
  <c r="E189" i="28"/>
  <c r="AA181" i="28"/>
  <c r="AB181" i="28" s="1"/>
  <c r="AA182" i="28"/>
  <c r="AB182" i="28" s="1"/>
  <c r="AA183" i="28"/>
  <c r="AB183" i="28" s="1"/>
  <c r="AA184" i="28"/>
  <c r="AB184" i="28" s="1"/>
  <c r="AA185" i="28"/>
  <c r="AB185" i="28" s="1"/>
  <c r="AA186" i="28"/>
  <c r="AB186" i="28" s="1"/>
  <c r="AA187" i="28"/>
  <c r="AB187" i="28" s="1"/>
  <c r="AA188" i="28"/>
  <c r="AB188" i="28" s="1"/>
  <c r="AA189" i="28"/>
  <c r="AB189" i="28" s="1"/>
  <c r="S181" i="28"/>
  <c r="T181" i="28" s="1"/>
  <c r="S182" i="28"/>
  <c r="T182" i="28" s="1"/>
  <c r="S183" i="28"/>
  <c r="T183" i="28" s="1"/>
  <c r="S184" i="28"/>
  <c r="T184" i="28" s="1"/>
  <c r="S185" i="28"/>
  <c r="T185" i="28" s="1"/>
  <c r="S186" i="28"/>
  <c r="T186" i="28" s="1"/>
  <c r="S187" i="28"/>
  <c r="T187" i="28" s="1"/>
  <c r="S188" i="28"/>
  <c r="T188" i="28" s="1"/>
  <c r="S189" i="28"/>
  <c r="T189" i="28" s="1"/>
  <c r="K181" i="28"/>
  <c r="L181" i="28" s="1"/>
  <c r="K182" i="28"/>
  <c r="L182" i="28" s="1"/>
  <c r="K183" i="28"/>
  <c r="L183" i="28" s="1"/>
  <c r="K184" i="28"/>
  <c r="L184" i="28" s="1"/>
  <c r="K185" i="28"/>
  <c r="L185" i="28" s="1"/>
  <c r="K186" i="28"/>
  <c r="L186" i="28" s="1"/>
  <c r="K187" i="28"/>
  <c r="L187" i="28" s="1"/>
  <c r="K188" i="28"/>
  <c r="L188" i="28" s="1"/>
  <c r="K189" i="28"/>
  <c r="L189" i="28" s="1"/>
  <c r="Y190" i="28"/>
  <c r="Z190" i="28" s="1"/>
  <c r="Y191" i="28"/>
  <c r="Z191" i="28" s="1"/>
  <c r="Y192" i="28"/>
  <c r="Z192" i="28" s="1"/>
  <c r="Y193" i="28"/>
  <c r="Z193" i="28" s="1"/>
  <c r="Y194" i="28"/>
  <c r="Z194" i="28" s="1"/>
  <c r="Y195" i="28"/>
  <c r="Z195" i="28" s="1"/>
  <c r="Y196" i="28"/>
  <c r="Z196" i="28" s="1"/>
  <c r="Y197" i="28"/>
  <c r="Z197" i="28" s="1"/>
  <c r="Q190" i="28"/>
  <c r="R190" i="28" s="1"/>
  <c r="Q191" i="28"/>
  <c r="R191" i="28" s="1"/>
  <c r="Q192" i="28"/>
  <c r="R192" i="28" s="1"/>
  <c r="Q193" i="28"/>
  <c r="R193" i="28" s="1"/>
  <c r="Q194" i="28"/>
  <c r="R194" i="28" s="1"/>
  <c r="Q195" i="28"/>
  <c r="R195" i="28" s="1"/>
  <c r="Q196" i="28"/>
  <c r="R196" i="28" s="1"/>
  <c r="Q197" i="28"/>
  <c r="R197" i="28" s="1"/>
  <c r="AE190" i="28"/>
  <c r="AF190" i="28" s="1"/>
  <c r="AE191" i="28"/>
  <c r="AF191" i="28" s="1"/>
  <c r="AE192" i="28"/>
  <c r="AF192" i="28" s="1"/>
  <c r="AE193" i="28"/>
  <c r="AF193" i="28" s="1"/>
  <c r="AE194" i="28"/>
  <c r="AF194" i="28" s="1"/>
  <c r="AE195" i="28"/>
  <c r="AF195" i="28" s="1"/>
  <c r="AE196" i="28"/>
  <c r="AF196" i="28" s="1"/>
  <c r="AE197" i="28"/>
  <c r="AF197" i="28" s="1"/>
  <c r="W190" i="28"/>
  <c r="X190" i="28" s="1"/>
  <c r="W191" i="28"/>
  <c r="X191" i="28" s="1"/>
  <c r="W192" i="28"/>
  <c r="X192" i="28" s="1"/>
  <c r="W193" i="28"/>
  <c r="X193" i="28" s="1"/>
  <c r="W194" i="28"/>
  <c r="X194" i="28" s="1"/>
  <c r="W195" i="28"/>
  <c r="X195" i="28" s="1"/>
  <c r="W196" i="28"/>
  <c r="X196" i="28" s="1"/>
  <c r="W197" i="28"/>
  <c r="X197" i="28" s="1"/>
  <c r="O190" i="28"/>
  <c r="P190" i="28" s="1"/>
  <c r="O191" i="28"/>
  <c r="P191" i="28" s="1"/>
  <c r="O192" i="28"/>
  <c r="P192" i="28" s="1"/>
  <c r="O193" i="28"/>
  <c r="P193" i="28" s="1"/>
  <c r="O194" i="28"/>
  <c r="P194" i="28" s="1"/>
  <c r="O195" i="28"/>
  <c r="P195" i="28" s="1"/>
  <c r="O196" i="28"/>
  <c r="P196" i="28" s="1"/>
  <c r="O197" i="28"/>
  <c r="P197" i="28" s="1"/>
  <c r="U190" i="28"/>
  <c r="V190" i="28" s="1"/>
  <c r="U191" i="28"/>
  <c r="V191" i="28" s="1"/>
  <c r="U192" i="28"/>
  <c r="V192" i="28" s="1"/>
  <c r="U193" i="28"/>
  <c r="V193" i="28" s="1"/>
  <c r="U194" i="28"/>
  <c r="V194" i="28" s="1"/>
  <c r="U195" i="28"/>
  <c r="V195" i="28" s="1"/>
  <c r="U196" i="28"/>
  <c r="V196" i="28" s="1"/>
  <c r="U197" i="28"/>
  <c r="V197" i="28" s="1"/>
  <c r="M190" i="28"/>
  <c r="N190" i="28" s="1"/>
  <c r="M191" i="28"/>
  <c r="N191" i="28" s="1"/>
  <c r="M192" i="28"/>
  <c r="N192" i="28" s="1"/>
  <c r="M193" i="28"/>
  <c r="N193" i="28" s="1"/>
  <c r="M194" i="28"/>
  <c r="N194" i="28" s="1"/>
  <c r="M195" i="28"/>
  <c r="N195" i="28" s="1"/>
  <c r="M196" i="28"/>
  <c r="N196" i="28" s="1"/>
  <c r="M197" i="28"/>
  <c r="N197" i="28" s="1"/>
  <c r="E190" i="28"/>
  <c r="E191" i="28"/>
  <c r="E192" i="28"/>
  <c r="E193" i="28"/>
  <c r="E194" i="28"/>
  <c r="E195" i="28"/>
  <c r="E196" i="28"/>
  <c r="E197" i="28"/>
  <c r="AA190" i="28"/>
  <c r="AB190" i="28" s="1"/>
  <c r="AA191" i="28"/>
  <c r="AB191" i="28" s="1"/>
  <c r="AA192" i="28"/>
  <c r="AB192" i="28" s="1"/>
  <c r="AA193" i="28"/>
  <c r="AB193" i="28" s="1"/>
  <c r="AA194" i="28"/>
  <c r="AB194" i="28" s="1"/>
  <c r="AA195" i="28"/>
  <c r="AB195" i="28" s="1"/>
  <c r="AA196" i="28"/>
  <c r="AB196" i="28" s="1"/>
  <c r="AA197" i="28"/>
  <c r="AB197" i="28" s="1"/>
  <c r="S190" i="28"/>
  <c r="T190" i="28" s="1"/>
  <c r="S191" i="28"/>
  <c r="T191" i="28" s="1"/>
  <c r="S192" i="28"/>
  <c r="T192" i="28" s="1"/>
  <c r="S193" i="28"/>
  <c r="T193" i="28" s="1"/>
  <c r="S194" i="28"/>
  <c r="T194" i="28" s="1"/>
  <c r="S195" i="28"/>
  <c r="T195" i="28" s="1"/>
  <c r="S196" i="28"/>
  <c r="T196" i="28" s="1"/>
  <c r="S197" i="28"/>
  <c r="T197" i="28" s="1"/>
  <c r="K190" i="28"/>
  <c r="L190" i="28" s="1"/>
  <c r="K191" i="28"/>
  <c r="L191" i="28" s="1"/>
  <c r="K192" i="28"/>
  <c r="L192" i="28" s="1"/>
  <c r="K193" i="28"/>
  <c r="L193" i="28" s="1"/>
  <c r="K194" i="28"/>
  <c r="L194" i="28" s="1"/>
  <c r="K195" i="28"/>
  <c r="L195" i="28" s="1"/>
  <c r="K196" i="28"/>
  <c r="L196" i="28" s="1"/>
  <c r="K197" i="28"/>
  <c r="L197" i="28" s="1"/>
  <c r="Y198" i="28"/>
  <c r="Z198" i="28" s="1"/>
  <c r="Y199" i="28"/>
  <c r="Z199" i="28" s="1"/>
  <c r="Y200" i="28"/>
  <c r="Z200" i="28" s="1"/>
  <c r="Y201" i="28"/>
  <c r="Z201" i="28" s="1"/>
  <c r="Y202" i="28"/>
  <c r="Z202" i="28" s="1"/>
  <c r="Y203" i="28"/>
  <c r="Z203" i="28" s="1"/>
  <c r="Y204" i="28"/>
  <c r="Z204" i="28" s="1"/>
  <c r="Y205" i="28"/>
  <c r="Z205" i="28" s="1"/>
  <c r="Y206" i="28"/>
  <c r="Z206" i="28" s="1"/>
  <c r="Y207" i="28"/>
  <c r="Z207" i="28" s="1"/>
  <c r="Y208" i="28"/>
  <c r="Z208" i="28" s="1"/>
  <c r="Y209" i="28"/>
  <c r="Z209" i="28" s="1"/>
  <c r="Y210" i="28"/>
  <c r="Z210" i="28" s="1"/>
  <c r="Y211" i="28"/>
  <c r="Z211" i="28" s="1"/>
  <c r="Y212" i="28"/>
  <c r="Z212" i="28" s="1"/>
  <c r="Y213" i="28"/>
  <c r="Z213" i="28" s="1"/>
  <c r="Y214" i="28"/>
  <c r="Z214" i="28" s="1"/>
  <c r="Y215" i="28"/>
  <c r="Z215" i="28" s="1"/>
  <c r="Y216" i="28"/>
  <c r="Z216" i="28" s="1"/>
  <c r="Y217" i="28"/>
  <c r="Z217" i="28" s="1"/>
  <c r="Y218" i="28"/>
  <c r="Z218" i="28" s="1"/>
  <c r="Y219" i="28"/>
  <c r="Z219" i="28" s="1"/>
  <c r="Y220" i="28"/>
  <c r="Z220" i="28" s="1"/>
  <c r="Y221" i="28"/>
  <c r="Z221" i="28" s="1"/>
  <c r="Q198" i="28"/>
  <c r="R198" i="28" s="1"/>
  <c r="Q199" i="28"/>
  <c r="R199" i="28" s="1"/>
  <c r="Q200" i="28"/>
  <c r="R200" i="28" s="1"/>
  <c r="Q201" i="28"/>
  <c r="R201" i="28" s="1"/>
  <c r="Q202" i="28"/>
  <c r="R202" i="28" s="1"/>
  <c r="Q203" i="28"/>
  <c r="R203" i="28" s="1"/>
  <c r="Q204" i="28"/>
  <c r="R204" i="28" s="1"/>
  <c r="Q205" i="28"/>
  <c r="R205" i="28" s="1"/>
  <c r="Q206" i="28"/>
  <c r="R206" i="28" s="1"/>
  <c r="Q207" i="28"/>
  <c r="R207" i="28" s="1"/>
  <c r="Q208" i="28"/>
  <c r="R208" i="28" s="1"/>
  <c r="Q209" i="28"/>
  <c r="R209" i="28" s="1"/>
  <c r="Q210" i="28"/>
  <c r="R210" i="28" s="1"/>
  <c r="Q211" i="28"/>
  <c r="R211" i="28" s="1"/>
  <c r="Q212" i="28"/>
  <c r="R212" i="28" s="1"/>
  <c r="Q213" i="28"/>
  <c r="R213" i="28" s="1"/>
  <c r="Q214" i="28"/>
  <c r="R214" i="28" s="1"/>
  <c r="Q215" i="28"/>
  <c r="R215" i="28" s="1"/>
  <c r="Q216" i="28"/>
  <c r="R216" i="28" s="1"/>
  <c r="Q217" i="28"/>
  <c r="R217" i="28" s="1"/>
  <c r="Q218" i="28"/>
  <c r="R218" i="28" s="1"/>
  <c r="Q219" i="28"/>
  <c r="R219" i="28" s="1"/>
  <c r="Q220" i="28"/>
  <c r="R220" i="28" s="1"/>
  <c r="Q221" i="28"/>
  <c r="R221" i="28" s="1"/>
  <c r="AE198" i="28"/>
  <c r="AF198" i="28" s="1"/>
  <c r="AE199" i="28"/>
  <c r="AF199" i="28" s="1"/>
  <c r="AE200" i="28"/>
  <c r="AF200" i="28" s="1"/>
  <c r="AE201" i="28"/>
  <c r="AF201" i="28" s="1"/>
  <c r="AE202" i="28"/>
  <c r="AF202" i="28" s="1"/>
  <c r="AE203" i="28"/>
  <c r="AF203" i="28" s="1"/>
  <c r="AE204" i="28"/>
  <c r="AF204" i="28" s="1"/>
  <c r="AE205" i="28"/>
  <c r="AF205" i="28" s="1"/>
  <c r="AE206" i="28"/>
  <c r="AF206" i="28" s="1"/>
  <c r="AE207" i="28"/>
  <c r="AF207" i="28" s="1"/>
  <c r="AE208" i="28"/>
  <c r="AF208" i="28" s="1"/>
  <c r="AE209" i="28"/>
  <c r="AF209" i="28" s="1"/>
  <c r="AE210" i="28"/>
  <c r="AF210" i="28" s="1"/>
  <c r="AE211" i="28"/>
  <c r="AF211" i="28" s="1"/>
  <c r="AE212" i="28"/>
  <c r="AF212" i="28" s="1"/>
  <c r="AE213" i="28"/>
  <c r="AF213" i="28" s="1"/>
  <c r="AE214" i="28"/>
  <c r="AF214" i="28" s="1"/>
  <c r="AE215" i="28"/>
  <c r="AF215" i="28" s="1"/>
  <c r="AE216" i="28"/>
  <c r="AF216" i="28" s="1"/>
  <c r="AE220" i="28"/>
  <c r="AF220" i="28" s="1"/>
  <c r="AE221" i="28"/>
  <c r="AF221" i="28" s="1"/>
  <c r="AE217" i="28"/>
  <c r="AF217" i="28" s="1"/>
  <c r="AE219" i="28"/>
  <c r="AF219" i="28" s="1"/>
  <c r="AE218" i="28"/>
  <c r="AF218" i="28" s="1"/>
  <c r="W198" i="28"/>
  <c r="X198" i="28" s="1"/>
  <c r="W199" i="28"/>
  <c r="X199" i="28" s="1"/>
  <c r="W200" i="28"/>
  <c r="X200" i="28" s="1"/>
  <c r="W201" i="28"/>
  <c r="X201" i="28" s="1"/>
  <c r="W202" i="28"/>
  <c r="X202" i="28" s="1"/>
  <c r="W203" i="28"/>
  <c r="X203" i="28" s="1"/>
  <c r="W204" i="28"/>
  <c r="X204" i="28" s="1"/>
  <c r="W205" i="28"/>
  <c r="X205" i="28" s="1"/>
  <c r="W206" i="28"/>
  <c r="X206" i="28" s="1"/>
  <c r="W207" i="28"/>
  <c r="X207" i="28" s="1"/>
  <c r="W208" i="28"/>
  <c r="X208" i="28" s="1"/>
  <c r="W209" i="28"/>
  <c r="X209" i="28" s="1"/>
  <c r="W210" i="28"/>
  <c r="X210" i="28" s="1"/>
  <c r="W211" i="28"/>
  <c r="X211" i="28" s="1"/>
  <c r="W212" i="28"/>
  <c r="X212" i="28" s="1"/>
  <c r="W213" i="28"/>
  <c r="X213" i="28" s="1"/>
  <c r="W214" i="28"/>
  <c r="X214" i="28" s="1"/>
  <c r="W215" i="28"/>
  <c r="X215" i="28" s="1"/>
  <c r="W216" i="28"/>
  <c r="X216" i="28" s="1"/>
  <c r="W217" i="28"/>
  <c r="X217" i="28" s="1"/>
  <c r="W221" i="28"/>
  <c r="X221" i="28" s="1"/>
  <c r="W218" i="28"/>
  <c r="X218" i="28" s="1"/>
  <c r="W219" i="28"/>
  <c r="X219" i="28" s="1"/>
  <c r="W220" i="28"/>
  <c r="X220" i="28" s="1"/>
  <c r="O198" i="28"/>
  <c r="P198" i="28" s="1"/>
  <c r="O199" i="28"/>
  <c r="P199" i="28" s="1"/>
  <c r="O200" i="28"/>
  <c r="P200" i="28" s="1"/>
  <c r="O201" i="28"/>
  <c r="P201" i="28" s="1"/>
  <c r="O202" i="28"/>
  <c r="P202" i="28" s="1"/>
  <c r="O203" i="28"/>
  <c r="P203" i="28" s="1"/>
  <c r="O204" i="28"/>
  <c r="P204" i="28" s="1"/>
  <c r="O205" i="28"/>
  <c r="P205" i="28" s="1"/>
  <c r="O206" i="28"/>
  <c r="P206" i="28" s="1"/>
  <c r="O207" i="28"/>
  <c r="P207" i="28" s="1"/>
  <c r="O208" i="28"/>
  <c r="P208" i="28" s="1"/>
  <c r="O209" i="28"/>
  <c r="P209" i="28" s="1"/>
  <c r="O210" i="28"/>
  <c r="P210" i="28" s="1"/>
  <c r="O211" i="28"/>
  <c r="P211" i="28" s="1"/>
  <c r="O212" i="28"/>
  <c r="P212" i="28" s="1"/>
  <c r="O213" i="28"/>
  <c r="P213" i="28" s="1"/>
  <c r="O214" i="28"/>
  <c r="P214" i="28" s="1"/>
  <c r="O215" i="28"/>
  <c r="P215" i="28" s="1"/>
  <c r="O216" i="28"/>
  <c r="P216" i="28" s="1"/>
  <c r="O219" i="28"/>
  <c r="P219" i="28" s="1"/>
  <c r="O218" i="28"/>
  <c r="P218" i="28" s="1"/>
  <c r="O221" i="28"/>
  <c r="P221" i="28" s="1"/>
  <c r="O220" i="28"/>
  <c r="P220" i="28" s="1"/>
  <c r="O217" i="28"/>
  <c r="P217" i="28" s="1"/>
  <c r="U198" i="28"/>
  <c r="V198" i="28" s="1"/>
  <c r="U199" i="28"/>
  <c r="V199" i="28" s="1"/>
  <c r="U200" i="28"/>
  <c r="V200" i="28" s="1"/>
  <c r="U201" i="28"/>
  <c r="V201" i="28" s="1"/>
  <c r="U202" i="28"/>
  <c r="V202" i="28" s="1"/>
  <c r="U203" i="28"/>
  <c r="V203" i="28" s="1"/>
  <c r="U204" i="28"/>
  <c r="V204" i="28" s="1"/>
  <c r="U205" i="28"/>
  <c r="V205" i="28" s="1"/>
  <c r="U206" i="28"/>
  <c r="V206" i="28" s="1"/>
  <c r="U207" i="28"/>
  <c r="V207" i="28" s="1"/>
  <c r="U208" i="28"/>
  <c r="V208" i="28" s="1"/>
  <c r="U209" i="28"/>
  <c r="V209" i="28" s="1"/>
  <c r="U210" i="28"/>
  <c r="V210" i="28" s="1"/>
  <c r="U211" i="28"/>
  <c r="V211" i="28" s="1"/>
  <c r="U212" i="28"/>
  <c r="V212" i="28" s="1"/>
  <c r="U213" i="28"/>
  <c r="V213" i="28" s="1"/>
  <c r="U214" i="28"/>
  <c r="V214" i="28" s="1"/>
  <c r="U215" i="28"/>
  <c r="V215" i="28" s="1"/>
  <c r="U216" i="28"/>
  <c r="V216" i="28" s="1"/>
  <c r="U217" i="28"/>
  <c r="V217" i="28" s="1"/>
  <c r="U218" i="28"/>
  <c r="V218" i="28" s="1"/>
  <c r="U219" i="28"/>
  <c r="V219" i="28" s="1"/>
  <c r="U220" i="28"/>
  <c r="V220" i="28" s="1"/>
  <c r="U221" i="28"/>
  <c r="V221" i="28" s="1"/>
  <c r="M198" i="28"/>
  <c r="N198" i="28" s="1"/>
  <c r="M199" i="28"/>
  <c r="N199" i="28" s="1"/>
  <c r="M200" i="28"/>
  <c r="N200" i="28" s="1"/>
  <c r="M201" i="28"/>
  <c r="N201" i="28" s="1"/>
  <c r="M202" i="28"/>
  <c r="N202" i="28" s="1"/>
  <c r="M203" i="28"/>
  <c r="N203" i="28" s="1"/>
  <c r="M204" i="28"/>
  <c r="N204" i="28" s="1"/>
  <c r="M205" i="28"/>
  <c r="N205" i="28" s="1"/>
  <c r="M206" i="28"/>
  <c r="N206" i="28" s="1"/>
  <c r="M207" i="28"/>
  <c r="N207" i="28" s="1"/>
  <c r="M208" i="28"/>
  <c r="N208" i="28" s="1"/>
  <c r="M209" i="28"/>
  <c r="N209" i="28" s="1"/>
  <c r="M210" i="28"/>
  <c r="N210" i="28" s="1"/>
  <c r="M211" i="28"/>
  <c r="N211" i="28" s="1"/>
  <c r="M212" i="28"/>
  <c r="N212" i="28" s="1"/>
  <c r="M213" i="28"/>
  <c r="N213" i="28" s="1"/>
  <c r="M214" i="28"/>
  <c r="N214" i="28" s="1"/>
  <c r="M215" i="28"/>
  <c r="N215" i="28" s="1"/>
  <c r="M216" i="28"/>
  <c r="N216" i="28" s="1"/>
  <c r="M217" i="28"/>
  <c r="N217" i="28" s="1"/>
  <c r="M218" i="28"/>
  <c r="N218" i="28" s="1"/>
  <c r="M219" i="28"/>
  <c r="N219" i="28" s="1"/>
  <c r="M220" i="28"/>
  <c r="N220" i="28" s="1"/>
  <c r="M221" i="28"/>
  <c r="N221" i="28" s="1"/>
  <c r="E198" i="28"/>
  <c r="E199" i="28"/>
  <c r="E200" i="28"/>
  <c r="E201" i="28"/>
  <c r="E202" i="28"/>
  <c r="E203" i="28"/>
  <c r="E204" i="28"/>
  <c r="E205" i="28"/>
  <c r="E206" i="28"/>
  <c r="E207" i="28"/>
  <c r="E208" i="28"/>
  <c r="E209" i="28"/>
  <c r="E210" i="28"/>
  <c r="E211" i="28"/>
  <c r="E212" i="28"/>
  <c r="E213" i="28"/>
  <c r="E214" i="28"/>
  <c r="E215" i="28"/>
  <c r="E216" i="28"/>
  <c r="E217" i="28"/>
  <c r="E218" i="28"/>
  <c r="E219" i="28"/>
  <c r="E220" i="28"/>
  <c r="E221" i="28"/>
  <c r="AA198" i="28"/>
  <c r="AB198" i="28" s="1"/>
  <c r="AA199" i="28"/>
  <c r="AB199" i="28" s="1"/>
  <c r="AA200" i="28"/>
  <c r="AB200" i="28" s="1"/>
  <c r="AA201" i="28"/>
  <c r="AB201" i="28" s="1"/>
  <c r="AA202" i="28"/>
  <c r="AB202" i="28" s="1"/>
  <c r="AA203" i="28"/>
  <c r="AB203" i="28" s="1"/>
  <c r="AA204" i="28"/>
  <c r="AB204" i="28" s="1"/>
  <c r="AA205" i="28"/>
  <c r="AB205" i="28" s="1"/>
  <c r="AA206" i="28"/>
  <c r="AB206" i="28" s="1"/>
  <c r="AA207" i="28"/>
  <c r="AB207" i="28" s="1"/>
  <c r="AA208" i="28"/>
  <c r="AB208" i="28" s="1"/>
  <c r="AA209" i="28"/>
  <c r="AB209" i="28" s="1"/>
  <c r="AA210" i="28"/>
  <c r="AB210" i="28" s="1"/>
  <c r="AA211" i="28"/>
  <c r="AB211" i="28" s="1"/>
  <c r="AA212" i="28"/>
  <c r="AB212" i="28" s="1"/>
  <c r="AA213" i="28"/>
  <c r="AB213" i="28" s="1"/>
  <c r="AA214" i="28"/>
  <c r="AB214" i="28" s="1"/>
  <c r="AA215" i="28"/>
  <c r="AB215" i="28" s="1"/>
  <c r="AA216" i="28"/>
  <c r="AB216" i="28" s="1"/>
  <c r="AA217" i="28"/>
  <c r="AB217" i="28" s="1"/>
  <c r="AA218" i="28"/>
  <c r="AB218" i="28" s="1"/>
  <c r="AA219" i="28"/>
  <c r="AB219" i="28" s="1"/>
  <c r="AA220" i="28"/>
  <c r="AB220" i="28" s="1"/>
  <c r="AA221" i="28"/>
  <c r="AB221" i="28" s="1"/>
  <c r="S198" i="28"/>
  <c r="T198" i="28" s="1"/>
  <c r="S199" i="28"/>
  <c r="T199" i="28" s="1"/>
  <c r="S200" i="28"/>
  <c r="T200" i="28" s="1"/>
  <c r="S201" i="28"/>
  <c r="T201" i="28" s="1"/>
  <c r="S202" i="28"/>
  <c r="T202" i="28" s="1"/>
  <c r="S203" i="28"/>
  <c r="T203" i="28" s="1"/>
  <c r="S204" i="28"/>
  <c r="T204" i="28" s="1"/>
  <c r="S205" i="28"/>
  <c r="T205" i="28" s="1"/>
  <c r="S206" i="28"/>
  <c r="T206" i="28" s="1"/>
  <c r="S207" i="28"/>
  <c r="T207" i="28" s="1"/>
  <c r="S208" i="28"/>
  <c r="T208" i="28" s="1"/>
  <c r="S209" i="28"/>
  <c r="T209" i="28" s="1"/>
  <c r="S210" i="28"/>
  <c r="T210" i="28" s="1"/>
  <c r="S211" i="28"/>
  <c r="T211" i="28" s="1"/>
  <c r="S212" i="28"/>
  <c r="T212" i="28" s="1"/>
  <c r="S213" i="28"/>
  <c r="T213" i="28" s="1"/>
  <c r="S214" i="28"/>
  <c r="T214" i="28" s="1"/>
  <c r="S215" i="28"/>
  <c r="T215" i="28" s="1"/>
  <c r="S216" i="28"/>
  <c r="T216" i="28" s="1"/>
  <c r="S217" i="28"/>
  <c r="T217" i="28" s="1"/>
  <c r="S218" i="28"/>
  <c r="T218" i="28" s="1"/>
  <c r="S219" i="28"/>
  <c r="T219" i="28" s="1"/>
  <c r="S220" i="28"/>
  <c r="T220" i="28" s="1"/>
  <c r="S221" i="28"/>
  <c r="T221" i="28" s="1"/>
  <c r="K198" i="28"/>
  <c r="L198" i="28" s="1"/>
  <c r="K199" i="28"/>
  <c r="L199" i="28" s="1"/>
  <c r="K200" i="28"/>
  <c r="L200" i="28" s="1"/>
  <c r="K201" i="28"/>
  <c r="L201" i="28" s="1"/>
  <c r="K202" i="28"/>
  <c r="L202" i="28" s="1"/>
  <c r="K203" i="28"/>
  <c r="L203" i="28" s="1"/>
  <c r="K204" i="28"/>
  <c r="L204" i="28" s="1"/>
  <c r="K205" i="28"/>
  <c r="L205" i="28" s="1"/>
  <c r="K206" i="28"/>
  <c r="L206" i="28" s="1"/>
  <c r="K207" i="28"/>
  <c r="L207" i="28" s="1"/>
  <c r="K208" i="28"/>
  <c r="L208" i="28" s="1"/>
  <c r="K209" i="28"/>
  <c r="L209" i="28" s="1"/>
  <c r="K210" i="28"/>
  <c r="L210" i="28" s="1"/>
  <c r="K211" i="28"/>
  <c r="L211" i="28" s="1"/>
  <c r="K212" i="28"/>
  <c r="L212" i="28" s="1"/>
  <c r="K213" i="28"/>
  <c r="L213" i="28" s="1"/>
  <c r="K214" i="28"/>
  <c r="L214" i="28" s="1"/>
  <c r="K215" i="28"/>
  <c r="L215" i="28" s="1"/>
  <c r="K216" i="28"/>
  <c r="L216" i="28" s="1"/>
  <c r="K217" i="28"/>
  <c r="L217" i="28" s="1"/>
  <c r="K218" i="28"/>
  <c r="L218" i="28" s="1"/>
  <c r="K219" i="28"/>
  <c r="L219" i="28" s="1"/>
  <c r="K220" i="28"/>
  <c r="L220" i="28" s="1"/>
  <c r="K221" i="28"/>
  <c r="L221" i="28" s="1"/>
  <c r="W132" i="28"/>
  <c r="X132" i="28" s="1"/>
  <c r="Q132" i="28"/>
  <c r="R132" i="28" s="1"/>
  <c r="S132" i="28"/>
  <c r="T132" i="28" s="1"/>
  <c r="AE132" i="28"/>
  <c r="AF132" i="28" s="1"/>
  <c r="K132" i="28"/>
  <c r="L132" i="28" s="1"/>
  <c r="O132" i="28"/>
  <c r="P132" i="28" s="1"/>
  <c r="U132" i="28"/>
  <c r="V132" i="28" s="1"/>
  <c r="M132" i="28"/>
  <c r="N132" i="28" s="1"/>
  <c r="E132" i="28"/>
  <c r="Y132" i="28"/>
  <c r="Z132" i="28" s="1"/>
  <c r="AA132" i="28"/>
  <c r="AB132" i="28" s="1"/>
  <c r="Y133" i="28"/>
  <c r="Z133" i="28" s="1"/>
  <c r="Y134" i="28"/>
  <c r="Z134" i="28" s="1"/>
  <c r="Y135" i="28"/>
  <c r="Z135" i="28" s="1"/>
  <c r="Y136" i="28"/>
  <c r="Z136" i="28" s="1"/>
  <c r="Y137" i="28"/>
  <c r="Z137" i="28" s="1"/>
  <c r="Y138" i="28"/>
  <c r="Z138" i="28" s="1"/>
  <c r="Y139" i="28"/>
  <c r="Z139" i="28" s="1"/>
  <c r="Y140" i="28"/>
  <c r="Z140" i="28" s="1"/>
  <c r="Y141" i="28"/>
  <c r="Z141" i="28" s="1"/>
  <c r="Y142" i="28"/>
  <c r="Z142" i="28" s="1"/>
  <c r="Y143" i="28"/>
  <c r="Z143" i="28" s="1"/>
  <c r="Y144" i="28"/>
  <c r="Z144" i="28" s="1"/>
  <c r="Y145" i="28"/>
  <c r="Z145" i="28" s="1"/>
  <c r="Y146" i="28"/>
  <c r="Z146" i="28" s="1"/>
  <c r="Y150" i="28"/>
  <c r="Z150" i="28" s="1"/>
  <c r="Y151" i="28"/>
  <c r="Z151" i="28" s="1"/>
  <c r="Y152" i="28"/>
  <c r="Z152" i="28" s="1"/>
  <c r="Y149" i="28"/>
  <c r="Z149" i="28" s="1"/>
  <c r="Y148" i="28"/>
  <c r="Z148" i="28" s="1"/>
  <c r="Y147" i="28"/>
  <c r="Z147" i="28" s="1"/>
  <c r="Q133" i="28"/>
  <c r="R133" i="28" s="1"/>
  <c r="Q134" i="28"/>
  <c r="R134" i="28" s="1"/>
  <c r="Q135" i="28"/>
  <c r="R135" i="28" s="1"/>
  <c r="Q136" i="28"/>
  <c r="R136" i="28" s="1"/>
  <c r="Q137" i="28"/>
  <c r="R137" i="28" s="1"/>
  <c r="Q138" i="28"/>
  <c r="R138" i="28" s="1"/>
  <c r="Q139" i="28"/>
  <c r="R139" i="28" s="1"/>
  <c r="Q140" i="28"/>
  <c r="R140" i="28" s="1"/>
  <c r="Q141" i="28"/>
  <c r="R141" i="28" s="1"/>
  <c r="Q142" i="28"/>
  <c r="R142" i="28" s="1"/>
  <c r="Q143" i="28"/>
  <c r="R143" i="28" s="1"/>
  <c r="Q144" i="28"/>
  <c r="R144" i="28" s="1"/>
  <c r="Q145" i="28"/>
  <c r="R145" i="28" s="1"/>
  <c r="Q146" i="28"/>
  <c r="R146" i="28" s="1"/>
  <c r="Q150" i="28"/>
  <c r="R150" i="28" s="1"/>
  <c r="Q151" i="28"/>
  <c r="R151" i="28" s="1"/>
  <c r="Q152" i="28"/>
  <c r="R152" i="28" s="1"/>
  <c r="Q147" i="28"/>
  <c r="R147" i="28" s="1"/>
  <c r="Q148" i="28"/>
  <c r="R148" i="28" s="1"/>
  <c r="Q149" i="28"/>
  <c r="R149" i="28" s="1"/>
  <c r="AE133" i="28"/>
  <c r="AF133" i="28" s="1"/>
  <c r="AE134" i="28"/>
  <c r="AF134" i="28" s="1"/>
  <c r="AE135" i="28"/>
  <c r="AF135" i="28" s="1"/>
  <c r="AE136" i="28"/>
  <c r="AF136" i="28" s="1"/>
  <c r="AE137" i="28"/>
  <c r="AF137" i="28" s="1"/>
  <c r="AE138" i="28"/>
  <c r="AF138" i="28" s="1"/>
  <c r="AE139" i="28"/>
  <c r="AF139" i="28" s="1"/>
  <c r="AE140" i="28"/>
  <c r="AF140" i="28" s="1"/>
  <c r="AE141" i="28"/>
  <c r="AF141" i="28" s="1"/>
  <c r="AE142" i="28"/>
  <c r="AF142" i="28" s="1"/>
  <c r="AE143" i="28"/>
  <c r="AF143" i="28" s="1"/>
  <c r="AE144" i="28"/>
  <c r="AF144" i="28" s="1"/>
  <c r="AE145" i="28"/>
  <c r="AF145" i="28" s="1"/>
  <c r="AE146" i="28"/>
  <c r="AF146" i="28" s="1"/>
  <c r="AE147" i="28"/>
  <c r="AF147" i="28" s="1"/>
  <c r="AE148" i="28"/>
  <c r="AF148" i="28" s="1"/>
  <c r="AE149" i="28"/>
  <c r="AF149" i="28" s="1"/>
  <c r="AE150" i="28"/>
  <c r="AF150" i="28" s="1"/>
  <c r="AE151" i="28"/>
  <c r="AF151" i="28" s="1"/>
  <c r="AE152" i="28"/>
  <c r="AF152" i="28" s="1"/>
  <c r="W133" i="28"/>
  <c r="X133" i="28" s="1"/>
  <c r="W134" i="28"/>
  <c r="X134" i="28" s="1"/>
  <c r="W135" i="28"/>
  <c r="X135" i="28" s="1"/>
  <c r="W136" i="28"/>
  <c r="X136" i="28" s="1"/>
  <c r="W137" i="28"/>
  <c r="X137" i="28" s="1"/>
  <c r="W138" i="28"/>
  <c r="X138" i="28" s="1"/>
  <c r="W139" i="28"/>
  <c r="X139" i="28" s="1"/>
  <c r="W140" i="28"/>
  <c r="X140" i="28" s="1"/>
  <c r="W141" i="28"/>
  <c r="X141" i="28" s="1"/>
  <c r="W142" i="28"/>
  <c r="X142" i="28" s="1"/>
  <c r="W143" i="28"/>
  <c r="X143" i="28" s="1"/>
  <c r="W144" i="28"/>
  <c r="X144" i="28" s="1"/>
  <c r="W145" i="28"/>
  <c r="X145" i="28" s="1"/>
  <c r="W146" i="28"/>
  <c r="X146" i="28" s="1"/>
  <c r="W147" i="28"/>
  <c r="X147" i="28" s="1"/>
  <c r="W148" i="28"/>
  <c r="X148" i="28" s="1"/>
  <c r="W149" i="28"/>
  <c r="X149" i="28" s="1"/>
  <c r="W150" i="28"/>
  <c r="X150" i="28" s="1"/>
  <c r="W151" i="28"/>
  <c r="X151" i="28" s="1"/>
  <c r="W152" i="28"/>
  <c r="X152" i="28" s="1"/>
  <c r="O133" i="28"/>
  <c r="P133" i="28" s="1"/>
  <c r="O134" i="28"/>
  <c r="P134" i="28" s="1"/>
  <c r="O135" i="28"/>
  <c r="P135" i="28" s="1"/>
  <c r="O136" i="28"/>
  <c r="P136" i="28" s="1"/>
  <c r="O137" i="28"/>
  <c r="P137" i="28" s="1"/>
  <c r="O138" i="28"/>
  <c r="P138" i="28" s="1"/>
  <c r="O139" i="28"/>
  <c r="P139" i="28" s="1"/>
  <c r="O140" i="28"/>
  <c r="P140" i="28" s="1"/>
  <c r="O141" i="28"/>
  <c r="P141" i="28" s="1"/>
  <c r="O142" i="28"/>
  <c r="P142" i="28" s="1"/>
  <c r="O143" i="28"/>
  <c r="P143" i="28" s="1"/>
  <c r="O144" i="28"/>
  <c r="P144" i="28" s="1"/>
  <c r="O145" i="28"/>
  <c r="P145" i="28" s="1"/>
  <c r="O146" i="28"/>
  <c r="P146" i="28" s="1"/>
  <c r="O147" i="28"/>
  <c r="P147" i="28" s="1"/>
  <c r="O148" i="28"/>
  <c r="P148" i="28" s="1"/>
  <c r="O149" i="28"/>
  <c r="P149" i="28" s="1"/>
  <c r="O150" i="28"/>
  <c r="P150" i="28" s="1"/>
  <c r="O151" i="28"/>
  <c r="P151" i="28" s="1"/>
  <c r="O152" i="28"/>
  <c r="P152" i="28" s="1"/>
  <c r="U134" i="28"/>
  <c r="V134" i="28" s="1"/>
  <c r="U137" i="28"/>
  <c r="V137" i="28" s="1"/>
  <c r="U144" i="28"/>
  <c r="V144" i="28" s="1"/>
  <c r="U138" i="28"/>
  <c r="V138" i="28" s="1"/>
  <c r="U142" i="28"/>
  <c r="V142" i="28" s="1"/>
  <c r="U147" i="28"/>
  <c r="V147" i="28" s="1"/>
  <c r="U148" i="28"/>
  <c r="V148" i="28" s="1"/>
  <c r="U149" i="28"/>
  <c r="V149" i="28" s="1"/>
  <c r="U139" i="28"/>
  <c r="V139" i="28" s="1"/>
  <c r="U146" i="28"/>
  <c r="V146" i="28" s="1"/>
  <c r="U133" i="28"/>
  <c r="V133" i="28" s="1"/>
  <c r="U135" i="28"/>
  <c r="V135" i="28" s="1"/>
  <c r="U145" i="28"/>
  <c r="V145" i="28" s="1"/>
  <c r="U136" i="28"/>
  <c r="V136" i="28" s="1"/>
  <c r="U143" i="28"/>
  <c r="V143" i="28" s="1"/>
  <c r="U140" i="28"/>
  <c r="V140" i="28" s="1"/>
  <c r="U150" i="28"/>
  <c r="V150" i="28" s="1"/>
  <c r="U141" i="28"/>
  <c r="V141" i="28" s="1"/>
  <c r="U151" i="28"/>
  <c r="V151" i="28" s="1"/>
  <c r="U152" i="28"/>
  <c r="V152" i="28" s="1"/>
  <c r="M133" i="28"/>
  <c r="N133" i="28" s="1"/>
  <c r="M145" i="28"/>
  <c r="N145" i="28" s="1"/>
  <c r="M143" i="28"/>
  <c r="N143" i="28" s="1"/>
  <c r="M135" i="28"/>
  <c r="N135" i="28" s="1"/>
  <c r="M140" i="28"/>
  <c r="N140" i="28" s="1"/>
  <c r="M137" i="28"/>
  <c r="N137" i="28" s="1"/>
  <c r="M136" i="28"/>
  <c r="N136" i="28" s="1"/>
  <c r="M144" i="28"/>
  <c r="N144" i="28" s="1"/>
  <c r="M147" i="28"/>
  <c r="N147" i="28" s="1"/>
  <c r="M148" i="28"/>
  <c r="N148" i="28" s="1"/>
  <c r="M149" i="28"/>
  <c r="N149" i="28" s="1"/>
  <c r="M134" i="28"/>
  <c r="N134" i="28" s="1"/>
  <c r="M138" i="28"/>
  <c r="N138" i="28" s="1"/>
  <c r="M146" i="28"/>
  <c r="N146" i="28" s="1"/>
  <c r="M141" i="28"/>
  <c r="N141" i="28" s="1"/>
  <c r="M139" i="28"/>
  <c r="N139" i="28" s="1"/>
  <c r="M151" i="28"/>
  <c r="N151" i="28" s="1"/>
  <c r="M152" i="28"/>
  <c r="N152" i="28" s="1"/>
  <c r="M142" i="28"/>
  <c r="N142" i="28" s="1"/>
  <c r="M150" i="28"/>
  <c r="N150" i="28" s="1"/>
  <c r="E137" i="28"/>
  <c r="E146" i="28"/>
  <c r="E138" i="28"/>
  <c r="E134" i="28"/>
  <c r="E139" i="28"/>
  <c r="E141" i="28"/>
  <c r="E145" i="28"/>
  <c r="E133" i="28"/>
  <c r="E140" i="28"/>
  <c r="E147" i="28"/>
  <c r="E148" i="28"/>
  <c r="E149" i="28"/>
  <c r="E136" i="28"/>
  <c r="E142" i="28"/>
  <c r="E144" i="28"/>
  <c r="E135" i="28"/>
  <c r="E150" i="28"/>
  <c r="E151" i="28"/>
  <c r="E143" i="28"/>
  <c r="E152" i="28"/>
  <c r="AA133" i="28"/>
  <c r="AB133" i="28" s="1"/>
  <c r="AA134" i="28"/>
  <c r="AB134" i="28" s="1"/>
  <c r="AA135" i="28"/>
  <c r="AB135" i="28" s="1"/>
  <c r="AA136" i="28"/>
  <c r="AB136" i="28" s="1"/>
  <c r="AA137" i="28"/>
  <c r="AB137" i="28" s="1"/>
  <c r="AA138" i="28"/>
  <c r="AB138" i="28" s="1"/>
  <c r="AA139" i="28"/>
  <c r="AB139" i="28" s="1"/>
  <c r="AA140" i="28"/>
  <c r="AB140" i="28" s="1"/>
  <c r="AA141" i="28"/>
  <c r="AB141" i="28" s="1"/>
  <c r="AA142" i="28"/>
  <c r="AB142" i="28" s="1"/>
  <c r="AA143" i="28"/>
  <c r="AB143" i="28" s="1"/>
  <c r="AA144" i="28"/>
  <c r="AB144" i="28" s="1"/>
  <c r="AA145" i="28"/>
  <c r="AB145" i="28" s="1"/>
  <c r="AA146" i="28"/>
  <c r="AB146" i="28" s="1"/>
  <c r="AA147" i="28"/>
  <c r="AB147" i="28" s="1"/>
  <c r="AA148" i="28"/>
  <c r="AB148" i="28" s="1"/>
  <c r="AA149" i="28"/>
  <c r="AB149" i="28" s="1"/>
  <c r="AA150" i="28"/>
  <c r="AB150" i="28" s="1"/>
  <c r="AA151" i="28"/>
  <c r="AB151" i="28" s="1"/>
  <c r="AA152" i="28"/>
  <c r="AB152" i="28" s="1"/>
  <c r="S133" i="28"/>
  <c r="T133" i="28" s="1"/>
  <c r="S134" i="28"/>
  <c r="T134" i="28" s="1"/>
  <c r="S135" i="28"/>
  <c r="T135" i="28" s="1"/>
  <c r="S136" i="28"/>
  <c r="T136" i="28" s="1"/>
  <c r="S137" i="28"/>
  <c r="T137" i="28" s="1"/>
  <c r="S138" i="28"/>
  <c r="T138" i="28" s="1"/>
  <c r="S139" i="28"/>
  <c r="T139" i="28" s="1"/>
  <c r="S140" i="28"/>
  <c r="T140" i="28" s="1"/>
  <c r="S141" i="28"/>
  <c r="T141" i="28" s="1"/>
  <c r="S142" i="28"/>
  <c r="T142" i="28" s="1"/>
  <c r="S143" i="28"/>
  <c r="T143" i="28" s="1"/>
  <c r="S144" i="28"/>
  <c r="T144" i="28" s="1"/>
  <c r="S145" i="28"/>
  <c r="T145" i="28" s="1"/>
  <c r="S146" i="28"/>
  <c r="T146" i="28" s="1"/>
  <c r="S147" i="28"/>
  <c r="T147" i="28" s="1"/>
  <c r="S148" i="28"/>
  <c r="T148" i="28" s="1"/>
  <c r="S149" i="28"/>
  <c r="T149" i="28" s="1"/>
  <c r="S150" i="28"/>
  <c r="T150" i="28" s="1"/>
  <c r="S151" i="28"/>
  <c r="T151" i="28" s="1"/>
  <c r="S152" i="28"/>
  <c r="T152" i="28" s="1"/>
  <c r="K133" i="28"/>
  <c r="L133" i="28" s="1"/>
  <c r="K134" i="28"/>
  <c r="L134" i="28" s="1"/>
  <c r="K135" i="28"/>
  <c r="L135" i="28" s="1"/>
  <c r="K136" i="28"/>
  <c r="L136" i="28" s="1"/>
  <c r="K137" i="28"/>
  <c r="L137" i="28" s="1"/>
  <c r="K138" i="28"/>
  <c r="L138" i="28" s="1"/>
  <c r="K139" i="28"/>
  <c r="L139" i="28" s="1"/>
  <c r="K140" i="28"/>
  <c r="L140" i="28" s="1"/>
  <c r="K141" i="28"/>
  <c r="L141" i="28" s="1"/>
  <c r="K142" i="28"/>
  <c r="L142" i="28" s="1"/>
  <c r="K143" i="28"/>
  <c r="L143" i="28" s="1"/>
  <c r="K144" i="28"/>
  <c r="L144" i="28" s="1"/>
  <c r="K145" i="28"/>
  <c r="L145" i="28" s="1"/>
  <c r="K146" i="28"/>
  <c r="L146" i="28" s="1"/>
  <c r="K147" i="28"/>
  <c r="L147" i="28" s="1"/>
  <c r="K148" i="28"/>
  <c r="L148" i="28" s="1"/>
  <c r="K149" i="28"/>
  <c r="L149" i="28" s="1"/>
  <c r="K150" i="28"/>
  <c r="L150" i="28" s="1"/>
  <c r="K151" i="28"/>
  <c r="L151" i="28" s="1"/>
  <c r="K152" i="28"/>
  <c r="L152" i="28" s="1"/>
  <c r="W153" i="28"/>
  <c r="X153" i="28" s="1"/>
  <c r="W154" i="28"/>
  <c r="X154" i="28" s="1"/>
  <c r="W155" i="28"/>
  <c r="X155" i="28" s="1"/>
  <c r="W156" i="28"/>
  <c r="X156" i="28" s="1"/>
  <c r="Q153" i="28"/>
  <c r="R153" i="28" s="1"/>
  <c r="Q154" i="28"/>
  <c r="R154" i="28" s="1"/>
  <c r="Q155" i="28"/>
  <c r="R155" i="28" s="1"/>
  <c r="Q156" i="28"/>
  <c r="R156" i="28" s="1"/>
  <c r="S153" i="28"/>
  <c r="T153" i="28" s="1"/>
  <c r="S154" i="28"/>
  <c r="T154" i="28" s="1"/>
  <c r="S155" i="28"/>
  <c r="T155" i="28" s="1"/>
  <c r="S156" i="28"/>
  <c r="T156" i="28" s="1"/>
  <c r="AE153" i="28"/>
  <c r="AF153" i="28" s="1"/>
  <c r="AE154" i="28"/>
  <c r="AF154" i="28" s="1"/>
  <c r="AE155" i="28"/>
  <c r="AF155" i="28" s="1"/>
  <c r="AE156" i="28"/>
  <c r="AF156" i="28" s="1"/>
  <c r="K153" i="28"/>
  <c r="L153" i="28" s="1"/>
  <c r="K154" i="28"/>
  <c r="L154" i="28" s="1"/>
  <c r="K155" i="28"/>
  <c r="L155" i="28" s="1"/>
  <c r="K156" i="28"/>
  <c r="L156" i="28" s="1"/>
  <c r="M153" i="28"/>
  <c r="N153" i="28" s="1"/>
  <c r="M154" i="28"/>
  <c r="N154" i="28" s="1"/>
  <c r="M155" i="28"/>
  <c r="N155" i="28" s="1"/>
  <c r="M156" i="28"/>
  <c r="N156" i="28" s="1"/>
  <c r="E153" i="28"/>
  <c r="E154" i="28"/>
  <c r="E155" i="28"/>
  <c r="E156" i="28"/>
  <c r="O153" i="28"/>
  <c r="P153" i="28" s="1"/>
  <c r="O154" i="28"/>
  <c r="P154" i="28" s="1"/>
  <c r="O155" i="28"/>
  <c r="P155" i="28" s="1"/>
  <c r="O156" i="28"/>
  <c r="P156" i="28" s="1"/>
  <c r="U153" i="28"/>
  <c r="V153" i="28" s="1"/>
  <c r="U154" i="28"/>
  <c r="V154" i="28" s="1"/>
  <c r="U155" i="28"/>
  <c r="V155" i="28" s="1"/>
  <c r="U156" i="28"/>
  <c r="V156" i="28" s="1"/>
  <c r="Y153" i="28"/>
  <c r="Z153" i="28" s="1"/>
  <c r="Y154" i="28"/>
  <c r="Z154" i="28" s="1"/>
  <c r="Y155" i="28"/>
  <c r="Z155" i="28" s="1"/>
  <c r="Y156" i="28"/>
  <c r="Z156" i="28" s="1"/>
  <c r="AA153" i="28"/>
  <c r="AB153" i="28" s="1"/>
  <c r="AA154" i="28"/>
  <c r="AB154" i="28" s="1"/>
  <c r="AA155" i="28"/>
  <c r="AB155" i="28" s="1"/>
  <c r="AA156" i="28"/>
  <c r="AB156" i="28" s="1"/>
  <c r="Y157" i="28"/>
  <c r="Z157" i="28" s="1"/>
  <c r="Y158" i="28"/>
  <c r="Z158" i="28" s="1"/>
  <c r="Y159" i="28"/>
  <c r="Z159" i="28" s="1"/>
  <c r="Y160" i="28"/>
  <c r="Z160" i="28" s="1"/>
  <c r="Y161" i="28"/>
  <c r="Z161" i="28" s="1"/>
  <c r="Q157" i="28"/>
  <c r="R157" i="28" s="1"/>
  <c r="Q158" i="28"/>
  <c r="R158" i="28" s="1"/>
  <c r="Q159" i="28"/>
  <c r="R159" i="28" s="1"/>
  <c r="Q160" i="28"/>
  <c r="R160" i="28" s="1"/>
  <c r="Q161" i="28"/>
  <c r="R161" i="28" s="1"/>
  <c r="AE157" i="28"/>
  <c r="AF157" i="28" s="1"/>
  <c r="AE158" i="28"/>
  <c r="AF158" i="28" s="1"/>
  <c r="AE159" i="28"/>
  <c r="AF159" i="28" s="1"/>
  <c r="AE160" i="28"/>
  <c r="AF160" i="28" s="1"/>
  <c r="AE161" i="28"/>
  <c r="AF161" i="28" s="1"/>
  <c r="W157" i="28"/>
  <c r="X157" i="28" s="1"/>
  <c r="W158" i="28"/>
  <c r="X158" i="28" s="1"/>
  <c r="W159" i="28"/>
  <c r="X159" i="28" s="1"/>
  <c r="W160" i="28"/>
  <c r="X160" i="28" s="1"/>
  <c r="W161" i="28"/>
  <c r="X161" i="28" s="1"/>
  <c r="O157" i="28"/>
  <c r="P157" i="28" s="1"/>
  <c r="O158" i="28"/>
  <c r="P158" i="28" s="1"/>
  <c r="O159" i="28"/>
  <c r="P159" i="28" s="1"/>
  <c r="O160" i="28"/>
  <c r="P160" i="28" s="1"/>
  <c r="O161" i="28"/>
  <c r="P161" i="28" s="1"/>
  <c r="U157" i="28"/>
  <c r="V157" i="28" s="1"/>
  <c r="U158" i="28"/>
  <c r="V158" i="28" s="1"/>
  <c r="U159" i="28"/>
  <c r="V159" i="28" s="1"/>
  <c r="U160" i="28"/>
  <c r="V160" i="28" s="1"/>
  <c r="U161" i="28"/>
  <c r="V161" i="28" s="1"/>
  <c r="M157" i="28"/>
  <c r="N157" i="28" s="1"/>
  <c r="M158" i="28"/>
  <c r="N158" i="28" s="1"/>
  <c r="M159" i="28"/>
  <c r="N159" i="28" s="1"/>
  <c r="M160" i="28"/>
  <c r="N160" i="28" s="1"/>
  <c r="M161" i="28"/>
  <c r="N161" i="28" s="1"/>
  <c r="E157" i="28"/>
  <c r="E158" i="28"/>
  <c r="E159" i="28"/>
  <c r="E160" i="28"/>
  <c r="E161" i="28"/>
  <c r="AA157" i="28"/>
  <c r="AB157" i="28" s="1"/>
  <c r="AA158" i="28"/>
  <c r="AB158" i="28" s="1"/>
  <c r="AA159" i="28"/>
  <c r="AB159" i="28" s="1"/>
  <c r="AA160" i="28"/>
  <c r="AB160" i="28" s="1"/>
  <c r="AA161" i="28"/>
  <c r="AB161" i="28" s="1"/>
  <c r="S157" i="28"/>
  <c r="T157" i="28" s="1"/>
  <c r="S158" i="28"/>
  <c r="T158" i="28" s="1"/>
  <c r="S159" i="28"/>
  <c r="T159" i="28" s="1"/>
  <c r="S160" i="28"/>
  <c r="T160" i="28" s="1"/>
  <c r="S161" i="28"/>
  <c r="T161" i="28" s="1"/>
  <c r="K157" i="28"/>
  <c r="L157" i="28" s="1"/>
  <c r="K158" i="28"/>
  <c r="L158" i="28" s="1"/>
  <c r="K159" i="28"/>
  <c r="L159" i="28" s="1"/>
  <c r="K160" i="28"/>
  <c r="L160" i="28" s="1"/>
  <c r="K161" i="28"/>
  <c r="L161" i="28" s="1"/>
  <c r="Y162" i="28"/>
  <c r="Z162" i="28" s="1"/>
  <c r="Y163" i="28"/>
  <c r="Z163" i="28" s="1"/>
  <c r="Y164" i="28"/>
  <c r="Z164" i="28" s="1"/>
  <c r="Y165" i="28"/>
  <c r="Z165" i="28" s="1"/>
  <c r="Y166" i="28"/>
  <c r="Z166" i="28" s="1"/>
  <c r="Y167" i="28"/>
  <c r="Z167" i="28" s="1"/>
  <c r="Q162" i="28"/>
  <c r="R162" i="28" s="1"/>
  <c r="Q163" i="28"/>
  <c r="R163" i="28" s="1"/>
  <c r="Q164" i="28"/>
  <c r="R164" i="28" s="1"/>
  <c r="Q165" i="28"/>
  <c r="R165" i="28" s="1"/>
  <c r="Q166" i="28"/>
  <c r="R166" i="28" s="1"/>
  <c r="Q167" i="28"/>
  <c r="R167" i="28" s="1"/>
  <c r="AE162" i="28"/>
  <c r="AF162" i="28" s="1"/>
  <c r="AE163" i="28"/>
  <c r="AF163" i="28" s="1"/>
  <c r="AE164" i="28"/>
  <c r="AF164" i="28" s="1"/>
  <c r="AE165" i="28"/>
  <c r="AF165" i="28" s="1"/>
  <c r="AE166" i="28"/>
  <c r="AF166" i="28" s="1"/>
  <c r="AE167" i="28"/>
  <c r="AF167" i="28" s="1"/>
  <c r="W162" i="28"/>
  <c r="X162" i="28" s="1"/>
  <c r="W163" i="28"/>
  <c r="X163" i="28" s="1"/>
  <c r="W164" i="28"/>
  <c r="X164" i="28" s="1"/>
  <c r="W165" i="28"/>
  <c r="X165" i="28" s="1"/>
  <c r="W166" i="28"/>
  <c r="X166" i="28" s="1"/>
  <c r="W167" i="28"/>
  <c r="X167" i="28" s="1"/>
  <c r="O162" i="28"/>
  <c r="P162" i="28" s="1"/>
  <c r="O163" i="28"/>
  <c r="P163" i="28" s="1"/>
  <c r="O164" i="28"/>
  <c r="P164" i="28" s="1"/>
  <c r="O165" i="28"/>
  <c r="P165" i="28" s="1"/>
  <c r="O166" i="28"/>
  <c r="P166" i="28" s="1"/>
  <c r="O167" i="28"/>
  <c r="P167" i="28" s="1"/>
  <c r="U162" i="28"/>
  <c r="V162" i="28" s="1"/>
  <c r="U163" i="28"/>
  <c r="V163" i="28" s="1"/>
  <c r="U164" i="28"/>
  <c r="V164" i="28" s="1"/>
  <c r="U165" i="28"/>
  <c r="V165" i="28" s="1"/>
  <c r="U166" i="28"/>
  <c r="V166" i="28" s="1"/>
  <c r="U167" i="28"/>
  <c r="V167" i="28" s="1"/>
  <c r="M162" i="28"/>
  <c r="N162" i="28" s="1"/>
  <c r="M163" i="28"/>
  <c r="N163" i="28" s="1"/>
  <c r="M164" i="28"/>
  <c r="N164" i="28" s="1"/>
  <c r="M165" i="28"/>
  <c r="N165" i="28" s="1"/>
  <c r="M166" i="28"/>
  <c r="N166" i="28" s="1"/>
  <c r="M167" i="28"/>
  <c r="N167" i="28" s="1"/>
  <c r="E162" i="28"/>
  <c r="E163" i="28"/>
  <c r="E164" i="28"/>
  <c r="E165" i="28"/>
  <c r="E166" i="28"/>
  <c r="E167" i="28"/>
  <c r="AA162" i="28"/>
  <c r="AB162" i="28" s="1"/>
  <c r="AA163" i="28"/>
  <c r="AB163" i="28" s="1"/>
  <c r="AA164" i="28"/>
  <c r="AB164" i="28" s="1"/>
  <c r="AA165" i="28"/>
  <c r="AB165" i="28" s="1"/>
  <c r="AA166" i="28"/>
  <c r="AB166" i="28" s="1"/>
  <c r="AA167" i="28"/>
  <c r="AB167" i="28" s="1"/>
  <c r="S162" i="28"/>
  <c r="T162" i="28" s="1"/>
  <c r="S163" i="28"/>
  <c r="T163" i="28" s="1"/>
  <c r="S164" i="28"/>
  <c r="T164" i="28" s="1"/>
  <c r="S165" i="28"/>
  <c r="T165" i="28" s="1"/>
  <c r="S166" i="28"/>
  <c r="T166" i="28" s="1"/>
  <c r="S167" i="28"/>
  <c r="T167" i="28" s="1"/>
  <c r="K162" i="28"/>
  <c r="L162" i="28" s="1"/>
  <c r="K163" i="28"/>
  <c r="L163" i="28" s="1"/>
  <c r="K164" i="28"/>
  <c r="L164" i="28" s="1"/>
  <c r="K165" i="28"/>
  <c r="L165" i="28" s="1"/>
  <c r="K166" i="28"/>
  <c r="L166" i="28" s="1"/>
  <c r="K167" i="28"/>
  <c r="L167" i="28" s="1"/>
  <c r="Y168" i="28"/>
  <c r="Z168" i="28" s="1"/>
  <c r="Y169" i="28"/>
  <c r="Z169" i="28" s="1"/>
  <c r="Y170" i="28"/>
  <c r="Z170" i="28" s="1"/>
  <c r="Q168" i="28"/>
  <c r="R168" i="28" s="1"/>
  <c r="Q169" i="28"/>
  <c r="R169" i="28" s="1"/>
  <c r="Q170" i="28"/>
  <c r="R170" i="28" s="1"/>
  <c r="AE168" i="28"/>
  <c r="AF168" i="28" s="1"/>
  <c r="AE169" i="28"/>
  <c r="AF169" i="28" s="1"/>
  <c r="AE170" i="28"/>
  <c r="AF170" i="28" s="1"/>
  <c r="W168" i="28"/>
  <c r="X168" i="28" s="1"/>
  <c r="W169" i="28"/>
  <c r="X169" i="28" s="1"/>
  <c r="W170" i="28"/>
  <c r="X170" i="28" s="1"/>
  <c r="O168" i="28"/>
  <c r="P168" i="28" s="1"/>
  <c r="O169" i="28"/>
  <c r="P169" i="28" s="1"/>
  <c r="O170" i="28"/>
  <c r="P170" i="28" s="1"/>
  <c r="U168" i="28"/>
  <c r="V168" i="28" s="1"/>
  <c r="U169" i="28"/>
  <c r="V169" i="28" s="1"/>
  <c r="U170" i="28"/>
  <c r="V170" i="28" s="1"/>
  <c r="M168" i="28"/>
  <c r="N168" i="28" s="1"/>
  <c r="M169" i="28"/>
  <c r="N169" i="28" s="1"/>
  <c r="M170" i="28"/>
  <c r="N170" i="28" s="1"/>
  <c r="E168" i="28"/>
  <c r="E169" i="28"/>
  <c r="E170" i="28"/>
  <c r="AA168" i="28"/>
  <c r="AB168" i="28" s="1"/>
  <c r="AA169" i="28"/>
  <c r="AB169" i="28" s="1"/>
  <c r="AA170" i="28"/>
  <c r="AB170" i="28" s="1"/>
  <c r="S168" i="28"/>
  <c r="T168" i="28" s="1"/>
  <c r="S169" i="28"/>
  <c r="T169" i="28" s="1"/>
  <c r="S170" i="28"/>
  <c r="T170" i="28" s="1"/>
  <c r="K168" i="28"/>
  <c r="L168" i="28" s="1"/>
  <c r="K169" i="28"/>
  <c r="L169" i="28" s="1"/>
  <c r="K170" i="28"/>
  <c r="L170" i="28" s="1"/>
  <c r="Y173" i="28"/>
  <c r="Z173" i="28" s="1"/>
  <c r="Y171" i="28"/>
  <c r="Z171" i="28" s="1"/>
  <c r="Y172" i="28"/>
  <c r="Z172" i="28" s="1"/>
  <c r="Q173" i="28"/>
  <c r="R173" i="28" s="1"/>
  <c r="Q171" i="28"/>
  <c r="R171" i="28" s="1"/>
  <c r="Q172" i="28"/>
  <c r="R172" i="28" s="1"/>
  <c r="AE173" i="28"/>
  <c r="AF173" i="28" s="1"/>
  <c r="AE171" i="28"/>
  <c r="AF171" i="28" s="1"/>
  <c r="AE172" i="28"/>
  <c r="AF172" i="28" s="1"/>
  <c r="W173" i="28"/>
  <c r="X173" i="28" s="1"/>
  <c r="W171" i="28"/>
  <c r="X171" i="28" s="1"/>
  <c r="W172" i="28"/>
  <c r="X172" i="28" s="1"/>
  <c r="O173" i="28"/>
  <c r="P173" i="28" s="1"/>
  <c r="O171" i="28"/>
  <c r="P171" i="28" s="1"/>
  <c r="O172" i="28"/>
  <c r="P172" i="28" s="1"/>
  <c r="U173" i="28"/>
  <c r="V173" i="28" s="1"/>
  <c r="U171" i="28"/>
  <c r="V171" i="28" s="1"/>
  <c r="U172" i="28"/>
  <c r="V172" i="28" s="1"/>
  <c r="M173" i="28"/>
  <c r="N173" i="28" s="1"/>
  <c r="M171" i="28"/>
  <c r="N171" i="28" s="1"/>
  <c r="M172" i="28"/>
  <c r="N172" i="28" s="1"/>
  <c r="E173" i="28"/>
  <c r="E171" i="28"/>
  <c r="E172" i="28"/>
  <c r="AA173" i="28"/>
  <c r="AB173" i="28" s="1"/>
  <c r="AA171" i="28"/>
  <c r="AB171" i="28" s="1"/>
  <c r="AA172" i="28"/>
  <c r="AB172" i="28" s="1"/>
  <c r="S173" i="28"/>
  <c r="T173" i="28" s="1"/>
  <c r="S171" i="28"/>
  <c r="T171" i="28" s="1"/>
  <c r="S172" i="28"/>
  <c r="T172" i="28" s="1"/>
  <c r="K173" i="28"/>
  <c r="L173" i="28" s="1"/>
  <c r="K171" i="28"/>
  <c r="L171" i="28" s="1"/>
  <c r="K172" i="28"/>
  <c r="L172" i="28" s="1"/>
  <c r="K87" i="28"/>
  <c r="L87" i="28" s="1"/>
  <c r="K174" i="28"/>
  <c r="L174" i="28" s="1"/>
  <c r="K175" i="28"/>
  <c r="L175" i="28" s="1"/>
  <c r="K176" i="28"/>
  <c r="L176" i="28" s="1"/>
  <c r="AE87" i="28"/>
  <c r="AF87" i="28" s="1"/>
  <c r="AE176" i="28"/>
  <c r="AF176" i="28" s="1"/>
  <c r="AE174" i="28"/>
  <c r="AF174" i="28" s="1"/>
  <c r="AE175" i="28"/>
  <c r="AF175" i="28" s="1"/>
  <c r="W87" i="28"/>
  <c r="X87" i="28" s="1"/>
  <c r="W176" i="28"/>
  <c r="X176" i="28" s="1"/>
  <c r="W174" i="28"/>
  <c r="X174" i="28" s="1"/>
  <c r="W175" i="28"/>
  <c r="X175" i="28" s="1"/>
  <c r="O87" i="28"/>
  <c r="P87" i="28" s="1"/>
  <c r="O174" i="28"/>
  <c r="P174" i="28" s="1"/>
  <c r="O175" i="28"/>
  <c r="P175" i="28" s="1"/>
  <c r="O176" i="28"/>
  <c r="P176" i="28" s="1"/>
  <c r="S87" i="28"/>
  <c r="T87" i="28" s="1"/>
  <c r="S174" i="28"/>
  <c r="T174" i="28" s="1"/>
  <c r="S175" i="28"/>
  <c r="T175" i="28" s="1"/>
  <c r="S176" i="28"/>
  <c r="T176" i="28" s="1"/>
  <c r="Q87" i="28"/>
  <c r="R87" i="28" s="1"/>
  <c r="Q174" i="28"/>
  <c r="R174" i="28" s="1"/>
  <c r="Q175" i="28"/>
  <c r="R175" i="28" s="1"/>
  <c r="Q176" i="28"/>
  <c r="R176" i="28" s="1"/>
  <c r="U87" i="28"/>
  <c r="V87" i="28" s="1"/>
  <c r="U176" i="28"/>
  <c r="V176" i="28" s="1"/>
  <c r="U174" i="28"/>
  <c r="V174" i="28" s="1"/>
  <c r="U175" i="28"/>
  <c r="V175" i="28" s="1"/>
  <c r="M87" i="28"/>
  <c r="N87" i="28" s="1"/>
  <c r="M174" i="28"/>
  <c r="N174" i="28" s="1"/>
  <c r="M175" i="28"/>
  <c r="N175" i="28" s="1"/>
  <c r="M176" i="28"/>
  <c r="N176" i="28" s="1"/>
  <c r="E87" i="28"/>
  <c r="E176" i="28"/>
  <c r="E174" i="28"/>
  <c r="E175" i="28"/>
  <c r="Y87" i="28"/>
  <c r="Z87" i="28" s="1"/>
  <c r="Y174" i="28"/>
  <c r="Z174" i="28" s="1"/>
  <c r="Y175" i="28"/>
  <c r="Z175" i="28" s="1"/>
  <c r="Y176" i="28"/>
  <c r="Z176" i="28" s="1"/>
  <c r="AA87" i="28"/>
  <c r="AB87" i="28" s="1"/>
  <c r="AA174" i="28"/>
  <c r="AB174" i="28" s="1"/>
  <c r="AA175" i="28"/>
  <c r="AB175" i="28" s="1"/>
  <c r="AA176" i="28"/>
  <c r="AB176" i="28" s="1"/>
  <c r="U88" i="28"/>
  <c r="V88" i="28" s="1"/>
  <c r="U89" i="28"/>
  <c r="V89" i="28" s="1"/>
  <c r="U90" i="28"/>
  <c r="V90" i="28" s="1"/>
  <c r="U91" i="28"/>
  <c r="V91" i="28" s="1"/>
  <c r="U92" i="28"/>
  <c r="V92" i="28" s="1"/>
  <c r="U93" i="28"/>
  <c r="V93" i="28" s="1"/>
  <c r="U94" i="28"/>
  <c r="V94" i="28" s="1"/>
  <c r="U95" i="28"/>
  <c r="V95" i="28" s="1"/>
  <c r="U96" i="28"/>
  <c r="V96" i="28" s="1"/>
  <c r="U97" i="28"/>
  <c r="V97" i="28" s="1"/>
  <c r="U98" i="28"/>
  <c r="V98" i="28" s="1"/>
  <c r="U99" i="28"/>
  <c r="V99" i="28" s="1"/>
  <c r="U100" i="28"/>
  <c r="V100" i="28" s="1"/>
  <c r="U101" i="28"/>
  <c r="V101" i="28" s="1"/>
  <c r="U102" i="28"/>
  <c r="V102" i="28" s="1"/>
  <c r="E88" i="28"/>
  <c r="E89" i="28"/>
  <c r="E90" i="28"/>
  <c r="E91" i="28"/>
  <c r="E92" i="28"/>
  <c r="E93" i="28"/>
  <c r="E94" i="28"/>
  <c r="E95" i="28"/>
  <c r="E96" i="28"/>
  <c r="E97" i="28"/>
  <c r="E98" i="28"/>
  <c r="E99" i="28"/>
  <c r="E100" i="28"/>
  <c r="E101" i="28"/>
  <c r="E102" i="28"/>
  <c r="Y88" i="28"/>
  <c r="Z88" i="28" s="1"/>
  <c r="Y89" i="28"/>
  <c r="Z89" i="28" s="1"/>
  <c r="Y90" i="28"/>
  <c r="Z90" i="28" s="1"/>
  <c r="Y91" i="28"/>
  <c r="Z91" i="28" s="1"/>
  <c r="Y92" i="28"/>
  <c r="Z92" i="28" s="1"/>
  <c r="Y93" i="28"/>
  <c r="Z93" i="28" s="1"/>
  <c r="Y94" i="28"/>
  <c r="Z94" i="28" s="1"/>
  <c r="Y95" i="28"/>
  <c r="Z95" i="28" s="1"/>
  <c r="Y96" i="28"/>
  <c r="Z96" i="28" s="1"/>
  <c r="Y97" i="28"/>
  <c r="Z97" i="28" s="1"/>
  <c r="Y98" i="28"/>
  <c r="Z98" i="28" s="1"/>
  <c r="Y99" i="28"/>
  <c r="Z99" i="28" s="1"/>
  <c r="Y100" i="28"/>
  <c r="Z100" i="28" s="1"/>
  <c r="Y101" i="28"/>
  <c r="Z101" i="28" s="1"/>
  <c r="Y102" i="28"/>
  <c r="Z102" i="28" s="1"/>
  <c r="AA88" i="28"/>
  <c r="AB88" i="28" s="1"/>
  <c r="AA89" i="28"/>
  <c r="AB89" i="28" s="1"/>
  <c r="AA90" i="28"/>
  <c r="AB90" i="28" s="1"/>
  <c r="AA91" i="28"/>
  <c r="AB91" i="28" s="1"/>
  <c r="AA92" i="28"/>
  <c r="AB92" i="28" s="1"/>
  <c r="AA93" i="28"/>
  <c r="AB93" i="28" s="1"/>
  <c r="AA94" i="28"/>
  <c r="AB94" i="28" s="1"/>
  <c r="AA100" i="28"/>
  <c r="AB100" i="28" s="1"/>
  <c r="AA101" i="28"/>
  <c r="AB101" i="28" s="1"/>
  <c r="AA95" i="28"/>
  <c r="AB95" i="28" s="1"/>
  <c r="AA96" i="28"/>
  <c r="AB96" i="28" s="1"/>
  <c r="AA99" i="28"/>
  <c r="AB99" i="28" s="1"/>
  <c r="AA97" i="28"/>
  <c r="AB97" i="28" s="1"/>
  <c r="AA98" i="28"/>
  <c r="AB98" i="28" s="1"/>
  <c r="AA102" i="28"/>
  <c r="AB102" i="28" s="1"/>
  <c r="AE89" i="28"/>
  <c r="AF89" i="28" s="1"/>
  <c r="AE93" i="28"/>
  <c r="AF93" i="28" s="1"/>
  <c r="AE98" i="28"/>
  <c r="AF98" i="28" s="1"/>
  <c r="AE90" i="28"/>
  <c r="AF90" i="28" s="1"/>
  <c r="AE88" i="28"/>
  <c r="AF88" i="28" s="1"/>
  <c r="AE99" i="28"/>
  <c r="AF99" i="28" s="1"/>
  <c r="AE100" i="28"/>
  <c r="AF100" i="28" s="1"/>
  <c r="AE102" i="28"/>
  <c r="AF102" i="28" s="1"/>
  <c r="AE101" i="28"/>
  <c r="AF101" i="28" s="1"/>
  <c r="AE92" i="28"/>
  <c r="AF92" i="28" s="1"/>
  <c r="AE96" i="28"/>
  <c r="AF96" i="28" s="1"/>
  <c r="AE91" i="28"/>
  <c r="AF91" i="28" s="1"/>
  <c r="AE94" i="28"/>
  <c r="AF94" i="28" s="1"/>
  <c r="AE95" i="28"/>
  <c r="AF95" i="28" s="1"/>
  <c r="AE97" i="28"/>
  <c r="AF97" i="28" s="1"/>
  <c r="M88" i="28"/>
  <c r="N88" i="28" s="1"/>
  <c r="M89" i="28"/>
  <c r="N89" i="28" s="1"/>
  <c r="M90" i="28"/>
  <c r="N90" i="28" s="1"/>
  <c r="M91" i="28"/>
  <c r="N91" i="28" s="1"/>
  <c r="M92" i="28"/>
  <c r="N92" i="28" s="1"/>
  <c r="M93" i="28"/>
  <c r="N93" i="28" s="1"/>
  <c r="M94" i="28"/>
  <c r="N94" i="28" s="1"/>
  <c r="M95" i="28"/>
  <c r="N95" i="28" s="1"/>
  <c r="M96" i="28"/>
  <c r="N96" i="28" s="1"/>
  <c r="M97" i="28"/>
  <c r="N97" i="28" s="1"/>
  <c r="M98" i="28"/>
  <c r="N98" i="28" s="1"/>
  <c r="M99" i="28"/>
  <c r="N99" i="28" s="1"/>
  <c r="M100" i="28"/>
  <c r="N100" i="28" s="1"/>
  <c r="M101" i="28"/>
  <c r="N101" i="28" s="1"/>
  <c r="M102" i="28"/>
  <c r="N102" i="28" s="1"/>
  <c r="S88" i="28"/>
  <c r="T88" i="28" s="1"/>
  <c r="S89" i="28"/>
  <c r="T89" i="28" s="1"/>
  <c r="S90" i="28"/>
  <c r="T90" i="28" s="1"/>
  <c r="S91" i="28"/>
  <c r="T91" i="28" s="1"/>
  <c r="S92" i="28"/>
  <c r="T92" i="28" s="1"/>
  <c r="S93" i="28"/>
  <c r="T93" i="28" s="1"/>
  <c r="S94" i="28"/>
  <c r="T94" i="28" s="1"/>
  <c r="S102" i="28"/>
  <c r="T102" i="28" s="1"/>
  <c r="S99" i="28"/>
  <c r="T99" i="28" s="1"/>
  <c r="S100" i="28"/>
  <c r="T100" i="28" s="1"/>
  <c r="S101" i="28"/>
  <c r="T101" i="28" s="1"/>
  <c r="S95" i="28"/>
  <c r="T95" i="28" s="1"/>
  <c r="S97" i="28"/>
  <c r="T97" i="28" s="1"/>
  <c r="S96" i="28"/>
  <c r="T96" i="28" s="1"/>
  <c r="S98" i="28"/>
  <c r="T98" i="28" s="1"/>
  <c r="K88" i="28"/>
  <c r="L88" i="28" s="1"/>
  <c r="K89" i="28"/>
  <c r="L89" i="28" s="1"/>
  <c r="K90" i="28"/>
  <c r="L90" i="28" s="1"/>
  <c r="K91" i="28"/>
  <c r="L91" i="28" s="1"/>
  <c r="K92" i="28"/>
  <c r="L92" i="28" s="1"/>
  <c r="K93" i="28"/>
  <c r="L93" i="28" s="1"/>
  <c r="K94" i="28"/>
  <c r="L94" i="28" s="1"/>
  <c r="K97" i="28"/>
  <c r="L97" i="28" s="1"/>
  <c r="K95" i="28"/>
  <c r="L95" i="28" s="1"/>
  <c r="K98" i="28"/>
  <c r="L98" i="28" s="1"/>
  <c r="K96" i="28"/>
  <c r="L96" i="28" s="1"/>
  <c r="K99" i="28"/>
  <c r="L99" i="28" s="1"/>
  <c r="K100" i="28"/>
  <c r="L100" i="28" s="1"/>
  <c r="K101" i="28"/>
  <c r="L101" i="28" s="1"/>
  <c r="K102" i="28"/>
  <c r="L102" i="28" s="1"/>
  <c r="W94" i="28"/>
  <c r="X94" i="28" s="1"/>
  <c r="W96" i="28"/>
  <c r="X96" i="28" s="1"/>
  <c r="W95" i="28"/>
  <c r="X95" i="28" s="1"/>
  <c r="W97" i="28"/>
  <c r="X97" i="28" s="1"/>
  <c r="W98" i="28"/>
  <c r="X98" i="28" s="1"/>
  <c r="W91" i="28"/>
  <c r="X91" i="28" s="1"/>
  <c r="W102" i="28"/>
  <c r="X102" i="28" s="1"/>
  <c r="W92" i="28"/>
  <c r="X92" i="28" s="1"/>
  <c r="W99" i="28"/>
  <c r="X99" i="28" s="1"/>
  <c r="W101" i="28"/>
  <c r="X101" i="28" s="1"/>
  <c r="W90" i="28"/>
  <c r="X90" i="28" s="1"/>
  <c r="W88" i="28"/>
  <c r="X88" i="28" s="1"/>
  <c r="W100" i="28"/>
  <c r="X100" i="28" s="1"/>
  <c r="W89" i="28"/>
  <c r="X89" i="28" s="1"/>
  <c r="W93" i="28"/>
  <c r="X93" i="28" s="1"/>
  <c r="Q88" i="28"/>
  <c r="R88" i="28" s="1"/>
  <c r="Q89" i="28"/>
  <c r="R89" i="28" s="1"/>
  <c r="Q90" i="28"/>
  <c r="R90" i="28" s="1"/>
  <c r="Q91" i="28"/>
  <c r="R91" i="28" s="1"/>
  <c r="Q92" i="28"/>
  <c r="R92" i="28" s="1"/>
  <c r="Q93" i="28"/>
  <c r="R93" i="28" s="1"/>
  <c r="Q94" i="28"/>
  <c r="R94" i="28" s="1"/>
  <c r="Q95" i="28"/>
  <c r="R95" i="28" s="1"/>
  <c r="Q96" i="28"/>
  <c r="R96" i="28" s="1"/>
  <c r="Q97" i="28"/>
  <c r="R97" i="28" s="1"/>
  <c r="Q98" i="28"/>
  <c r="R98" i="28" s="1"/>
  <c r="Q99" i="28"/>
  <c r="R99" i="28" s="1"/>
  <c r="Q100" i="28"/>
  <c r="R100" i="28" s="1"/>
  <c r="Q101" i="28"/>
  <c r="R101" i="28" s="1"/>
  <c r="Q102" i="28"/>
  <c r="R102" i="28" s="1"/>
  <c r="O101" i="28"/>
  <c r="P101" i="28" s="1"/>
  <c r="O91" i="28"/>
  <c r="P91" i="28" s="1"/>
  <c r="O95" i="28"/>
  <c r="P95" i="28" s="1"/>
  <c r="O100" i="28"/>
  <c r="P100" i="28" s="1"/>
  <c r="O92" i="28"/>
  <c r="P92" i="28" s="1"/>
  <c r="O96" i="28"/>
  <c r="P96" i="28" s="1"/>
  <c r="O88" i="28"/>
  <c r="P88" i="28" s="1"/>
  <c r="O94" i="28"/>
  <c r="P94" i="28" s="1"/>
  <c r="O97" i="28"/>
  <c r="P97" i="28" s="1"/>
  <c r="O102" i="28"/>
  <c r="P102" i="28" s="1"/>
  <c r="O89" i="28"/>
  <c r="P89" i="28" s="1"/>
  <c r="O93" i="28"/>
  <c r="P93" i="28" s="1"/>
  <c r="O98" i="28"/>
  <c r="P98" i="28" s="1"/>
  <c r="O99" i="28"/>
  <c r="P99" i="28" s="1"/>
  <c r="O90" i="28"/>
  <c r="P90" i="28" s="1"/>
  <c r="Y103" i="28"/>
  <c r="Z103" i="28" s="1"/>
  <c r="Y104" i="28"/>
  <c r="Z104" i="28" s="1"/>
  <c r="Y105" i="28"/>
  <c r="Z105" i="28" s="1"/>
  <c r="Y106" i="28"/>
  <c r="Z106" i="28" s="1"/>
  <c r="Y107" i="28"/>
  <c r="Z107" i="28" s="1"/>
  <c r="Y108" i="28"/>
  <c r="Z108" i="28" s="1"/>
  <c r="Y109" i="28"/>
  <c r="Z109" i="28" s="1"/>
  <c r="Y110" i="28"/>
  <c r="Z110" i="28" s="1"/>
  <c r="Y111" i="28"/>
  <c r="Z111" i="28" s="1"/>
  <c r="Y112" i="28"/>
  <c r="Z112" i="28" s="1"/>
  <c r="Y113" i="28"/>
  <c r="Z113" i="28" s="1"/>
  <c r="Y114" i="28"/>
  <c r="Z114" i="28" s="1"/>
  <c r="Y115" i="28"/>
  <c r="Z115" i="28" s="1"/>
  <c r="Q103" i="28"/>
  <c r="R103" i="28" s="1"/>
  <c r="Q104" i="28"/>
  <c r="R104" i="28" s="1"/>
  <c r="Q105" i="28"/>
  <c r="R105" i="28" s="1"/>
  <c r="Q106" i="28"/>
  <c r="R106" i="28" s="1"/>
  <c r="Q107" i="28"/>
  <c r="R107" i="28" s="1"/>
  <c r="Q108" i="28"/>
  <c r="R108" i="28" s="1"/>
  <c r="Q109" i="28"/>
  <c r="R109" i="28" s="1"/>
  <c r="Q110" i="28"/>
  <c r="R110" i="28" s="1"/>
  <c r="Q111" i="28"/>
  <c r="R111" i="28" s="1"/>
  <c r="Q112" i="28"/>
  <c r="R112" i="28" s="1"/>
  <c r="Q113" i="28"/>
  <c r="R113" i="28" s="1"/>
  <c r="Q114" i="28"/>
  <c r="R114" i="28" s="1"/>
  <c r="Q115" i="28"/>
  <c r="R115" i="28" s="1"/>
  <c r="AE103" i="28"/>
  <c r="AF103" i="28" s="1"/>
  <c r="AE104" i="28"/>
  <c r="AF104" i="28" s="1"/>
  <c r="AE105" i="28"/>
  <c r="AF105" i="28" s="1"/>
  <c r="AE106" i="28"/>
  <c r="AF106" i="28" s="1"/>
  <c r="AE107" i="28"/>
  <c r="AF107" i="28" s="1"/>
  <c r="AE108" i="28"/>
  <c r="AF108" i="28" s="1"/>
  <c r="AE109" i="28"/>
  <c r="AF109" i="28" s="1"/>
  <c r="AE110" i="28"/>
  <c r="AF110" i="28" s="1"/>
  <c r="AE111" i="28"/>
  <c r="AF111" i="28" s="1"/>
  <c r="AE112" i="28"/>
  <c r="AF112" i="28" s="1"/>
  <c r="AE113" i="28"/>
  <c r="AF113" i="28" s="1"/>
  <c r="AE114" i="28"/>
  <c r="AF114" i="28" s="1"/>
  <c r="AE115" i="28"/>
  <c r="AF115" i="28" s="1"/>
  <c r="W103" i="28"/>
  <c r="X103" i="28" s="1"/>
  <c r="W104" i="28"/>
  <c r="X104" i="28" s="1"/>
  <c r="W105" i="28"/>
  <c r="X105" i="28" s="1"/>
  <c r="W106" i="28"/>
  <c r="X106" i="28" s="1"/>
  <c r="W107" i="28"/>
  <c r="X107" i="28" s="1"/>
  <c r="W108" i="28"/>
  <c r="X108" i="28" s="1"/>
  <c r="W109" i="28"/>
  <c r="X109" i="28" s="1"/>
  <c r="W110" i="28"/>
  <c r="X110" i="28" s="1"/>
  <c r="W111" i="28"/>
  <c r="X111" i="28" s="1"/>
  <c r="W112" i="28"/>
  <c r="X112" i="28" s="1"/>
  <c r="W113" i="28"/>
  <c r="X113" i="28" s="1"/>
  <c r="W114" i="28"/>
  <c r="X114" i="28" s="1"/>
  <c r="W115" i="28"/>
  <c r="X115" i="28" s="1"/>
  <c r="O103" i="28"/>
  <c r="P103" i="28" s="1"/>
  <c r="O104" i="28"/>
  <c r="P104" i="28" s="1"/>
  <c r="O105" i="28"/>
  <c r="P105" i="28" s="1"/>
  <c r="O106" i="28"/>
  <c r="P106" i="28" s="1"/>
  <c r="O107" i="28"/>
  <c r="P107" i="28" s="1"/>
  <c r="O108" i="28"/>
  <c r="P108" i="28" s="1"/>
  <c r="O109" i="28"/>
  <c r="P109" i="28" s="1"/>
  <c r="O110" i="28"/>
  <c r="P110" i="28" s="1"/>
  <c r="O111" i="28"/>
  <c r="P111" i="28" s="1"/>
  <c r="O112" i="28"/>
  <c r="P112" i="28" s="1"/>
  <c r="O113" i="28"/>
  <c r="P113" i="28" s="1"/>
  <c r="O114" i="28"/>
  <c r="P114" i="28" s="1"/>
  <c r="O115" i="28"/>
  <c r="P115" i="28" s="1"/>
  <c r="U103" i="28"/>
  <c r="V103" i="28" s="1"/>
  <c r="U104" i="28"/>
  <c r="V104" i="28" s="1"/>
  <c r="U105" i="28"/>
  <c r="V105" i="28" s="1"/>
  <c r="U106" i="28"/>
  <c r="V106" i="28" s="1"/>
  <c r="U107" i="28"/>
  <c r="V107" i="28" s="1"/>
  <c r="U108" i="28"/>
  <c r="V108" i="28" s="1"/>
  <c r="U109" i="28"/>
  <c r="V109" i="28" s="1"/>
  <c r="U110" i="28"/>
  <c r="V110" i="28" s="1"/>
  <c r="U111" i="28"/>
  <c r="V111" i="28" s="1"/>
  <c r="U112" i="28"/>
  <c r="V112" i="28" s="1"/>
  <c r="U113" i="28"/>
  <c r="V113" i="28" s="1"/>
  <c r="U114" i="28"/>
  <c r="V114" i="28" s="1"/>
  <c r="U115" i="28"/>
  <c r="V115" i="28" s="1"/>
  <c r="M103" i="28"/>
  <c r="N103" i="28" s="1"/>
  <c r="M104" i="28"/>
  <c r="N104" i="28" s="1"/>
  <c r="M105" i="28"/>
  <c r="N105" i="28" s="1"/>
  <c r="M106" i="28"/>
  <c r="N106" i="28" s="1"/>
  <c r="M107" i="28"/>
  <c r="N107" i="28" s="1"/>
  <c r="M108" i="28"/>
  <c r="N108" i="28" s="1"/>
  <c r="M109" i="28"/>
  <c r="N109" i="28" s="1"/>
  <c r="M110" i="28"/>
  <c r="N110" i="28" s="1"/>
  <c r="M111" i="28"/>
  <c r="N111" i="28" s="1"/>
  <c r="M112" i="28"/>
  <c r="N112" i="28" s="1"/>
  <c r="M113" i="28"/>
  <c r="N113" i="28" s="1"/>
  <c r="M114" i="28"/>
  <c r="N114" i="28" s="1"/>
  <c r="M115" i="28"/>
  <c r="N115" i="28" s="1"/>
  <c r="E103" i="28"/>
  <c r="E104" i="28"/>
  <c r="E105" i="28"/>
  <c r="E106" i="28"/>
  <c r="E107" i="28"/>
  <c r="E108" i="28"/>
  <c r="E109" i="28"/>
  <c r="E110" i="28"/>
  <c r="E111" i="28"/>
  <c r="E112" i="28"/>
  <c r="E113" i="28"/>
  <c r="E114" i="28"/>
  <c r="E115" i="28"/>
  <c r="AA103" i="28"/>
  <c r="AB103" i="28" s="1"/>
  <c r="AA104" i="28"/>
  <c r="AB104" i="28" s="1"/>
  <c r="AA105" i="28"/>
  <c r="AB105" i="28" s="1"/>
  <c r="AA106" i="28"/>
  <c r="AB106" i="28" s="1"/>
  <c r="AA107" i="28"/>
  <c r="AB107" i="28" s="1"/>
  <c r="AA108" i="28"/>
  <c r="AB108" i="28" s="1"/>
  <c r="AA109" i="28"/>
  <c r="AB109" i="28" s="1"/>
  <c r="AA110" i="28"/>
  <c r="AB110" i="28" s="1"/>
  <c r="AA111" i="28"/>
  <c r="AB111" i="28" s="1"/>
  <c r="AA112" i="28"/>
  <c r="AB112" i="28" s="1"/>
  <c r="AA113" i="28"/>
  <c r="AB113" i="28" s="1"/>
  <c r="AA114" i="28"/>
  <c r="AB114" i="28" s="1"/>
  <c r="AA115" i="28"/>
  <c r="AB115" i="28" s="1"/>
  <c r="S103" i="28"/>
  <c r="T103" i="28" s="1"/>
  <c r="S104" i="28"/>
  <c r="T104" i="28" s="1"/>
  <c r="S105" i="28"/>
  <c r="T105" i="28" s="1"/>
  <c r="S106" i="28"/>
  <c r="T106" i="28" s="1"/>
  <c r="S107" i="28"/>
  <c r="T107" i="28" s="1"/>
  <c r="S108" i="28"/>
  <c r="T108" i="28" s="1"/>
  <c r="S109" i="28"/>
  <c r="T109" i="28" s="1"/>
  <c r="S110" i="28"/>
  <c r="T110" i="28" s="1"/>
  <c r="S111" i="28"/>
  <c r="T111" i="28" s="1"/>
  <c r="S112" i="28"/>
  <c r="T112" i="28" s="1"/>
  <c r="S113" i="28"/>
  <c r="T113" i="28" s="1"/>
  <c r="S114" i="28"/>
  <c r="T114" i="28" s="1"/>
  <c r="S115" i="28"/>
  <c r="T115" i="28" s="1"/>
  <c r="K103" i="28"/>
  <c r="L103" i="28" s="1"/>
  <c r="K104" i="28"/>
  <c r="L104" i="28" s="1"/>
  <c r="K105" i="28"/>
  <c r="L105" i="28" s="1"/>
  <c r="K106" i="28"/>
  <c r="L106" i="28" s="1"/>
  <c r="K107" i="28"/>
  <c r="L107" i="28" s="1"/>
  <c r="K108" i="28"/>
  <c r="L108" i="28" s="1"/>
  <c r="K109" i="28"/>
  <c r="L109" i="28" s="1"/>
  <c r="K110" i="28"/>
  <c r="L110" i="28" s="1"/>
  <c r="K111" i="28"/>
  <c r="L111" i="28" s="1"/>
  <c r="K112" i="28"/>
  <c r="L112" i="28" s="1"/>
  <c r="K113" i="28"/>
  <c r="L113" i="28" s="1"/>
  <c r="K114" i="28"/>
  <c r="L114" i="28" s="1"/>
  <c r="K115" i="28"/>
  <c r="L115" i="28" s="1"/>
  <c r="S116" i="28"/>
  <c r="T116" i="28" s="1"/>
  <c r="S117" i="28"/>
  <c r="T117" i="28" s="1"/>
  <c r="S118" i="28"/>
  <c r="T118" i="28" s="1"/>
  <c r="AE116" i="28"/>
  <c r="AF116" i="28" s="1"/>
  <c r="AE117" i="28"/>
  <c r="AF117" i="28" s="1"/>
  <c r="AE118" i="28"/>
  <c r="AF118" i="28" s="1"/>
  <c r="K116" i="28"/>
  <c r="L116" i="28" s="1"/>
  <c r="K117" i="28"/>
  <c r="L117" i="28" s="1"/>
  <c r="K118" i="28"/>
  <c r="L118" i="28" s="1"/>
  <c r="U116" i="28"/>
  <c r="V116" i="28" s="1"/>
  <c r="U117" i="28"/>
  <c r="V117" i="28" s="1"/>
  <c r="U118" i="28"/>
  <c r="V118" i="28" s="1"/>
  <c r="W116" i="28"/>
  <c r="X116" i="28" s="1"/>
  <c r="W117" i="28"/>
  <c r="X117" i="28" s="1"/>
  <c r="W118" i="28"/>
  <c r="X118" i="28" s="1"/>
  <c r="Q116" i="28"/>
  <c r="R116" i="28" s="1"/>
  <c r="Q117" i="28"/>
  <c r="R117" i="28" s="1"/>
  <c r="Q118" i="28"/>
  <c r="R118" i="28" s="1"/>
  <c r="O116" i="28"/>
  <c r="P116" i="28" s="1"/>
  <c r="O117" i="28"/>
  <c r="P117" i="28" s="1"/>
  <c r="O118" i="28"/>
  <c r="P118" i="28" s="1"/>
  <c r="M116" i="28"/>
  <c r="N116" i="28" s="1"/>
  <c r="M117" i="28"/>
  <c r="N117" i="28" s="1"/>
  <c r="M118" i="28"/>
  <c r="N118" i="28" s="1"/>
  <c r="E116" i="28"/>
  <c r="E117" i="28"/>
  <c r="E118" i="28"/>
  <c r="Y116" i="28"/>
  <c r="Z116" i="28" s="1"/>
  <c r="Y117" i="28"/>
  <c r="Z117" i="28" s="1"/>
  <c r="Y118" i="28"/>
  <c r="Z118" i="28" s="1"/>
  <c r="AA116" i="28"/>
  <c r="AB116" i="28" s="1"/>
  <c r="AA117" i="28"/>
  <c r="AB117" i="28" s="1"/>
  <c r="AA118" i="28"/>
  <c r="AB118" i="28" s="1"/>
  <c r="U119" i="28"/>
  <c r="V119" i="28" s="1"/>
  <c r="U120" i="28"/>
  <c r="V120" i="28" s="1"/>
  <c r="M119" i="28"/>
  <c r="N119" i="28" s="1"/>
  <c r="M120" i="28"/>
  <c r="N120" i="28" s="1"/>
  <c r="E119" i="28"/>
  <c r="E120" i="28"/>
  <c r="Y119" i="28"/>
  <c r="Z119" i="28" s="1"/>
  <c r="Y120" i="28"/>
  <c r="Z120" i="28" s="1"/>
  <c r="AA119" i="28"/>
  <c r="AB119" i="28" s="1"/>
  <c r="AA120" i="28"/>
  <c r="AB120" i="28" s="1"/>
  <c r="S119" i="28"/>
  <c r="T119" i="28" s="1"/>
  <c r="S120" i="28"/>
  <c r="T120" i="28" s="1"/>
  <c r="AE120" i="28"/>
  <c r="AF120" i="28" s="1"/>
  <c r="AE119" i="28"/>
  <c r="AF119" i="28" s="1"/>
  <c r="Q119" i="28"/>
  <c r="R119" i="28" s="1"/>
  <c r="Q120" i="28"/>
  <c r="R120" i="28" s="1"/>
  <c r="K119" i="28"/>
  <c r="L119" i="28" s="1"/>
  <c r="K120" i="28"/>
  <c r="L120" i="28" s="1"/>
  <c r="W120" i="28"/>
  <c r="X120" i="28" s="1"/>
  <c r="W119" i="28"/>
  <c r="X119" i="28" s="1"/>
  <c r="O120" i="28"/>
  <c r="P120" i="28" s="1"/>
  <c r="O119" i="28"/>
  <c r="P119" i="28" s="1"/>
  <c r="M121" i="28"/>
  <c r="N121" i="28" s="1"/>
  <c r="M122" i="28"/>
  <c r="N122" i="28" s="1"/>
  <c r="E121" i="28"/>
  <c r="E122" i="28"/>
  <c r="Y121" i="28"/>
  <c r="Z121" i="28" s="1"/>
  <c r="Y122" i="28"/>
  <c r="Z122" i="28" s="1"/>
  <c r="AA121" i="28"/>
  <c r="AB121" i="28" s="1"/>
  <c r="AA122" i="28"/>
  <c r="AB122" i="28" s="1"/>
  <c r="Q121" i="28"/>
  <c r="R121" i="28" s="1"/>
  <c r="Q122" i="28"/>
  <c r="R122" i="28" s="1"/>
  <c r="S121" i="28"/>
  <c r="T121" i="28" s="1"/>
  <c r="S122" i="28"/>
  <c r="T122" i="28" s="1"/>
  <c r="U121" i="28"/>
  <c r="V121" i="28" s="1"/>
  <c r="U122" i="28"/>
  <c r="V122" i="28" s="1"/>
  <c r="AE121" i="28"/>
  <c r="AF121" i="28" s="1"/>
  <c r="AE122" i="28"/>
  <c r="AF122" i="28" s="1"/>
  <c r="K121" i="28"/>
  <c r="L121" i="28" s="1"/>
  <c r="K122" i="28"/>
  <c r="L122" i="28" s="1"/>
  <c r="W121" i="28"/>
  <c r="X121" i="28" s="1"/>
  <c r="W122" i="28"/>
  <c r="X122" i="28" s="1"/>
  <c r="O121" i="28"/>
  <c r="P121" i="28" s="1"/>
  <c r="O122" i="28"/>
  <c r="P122" i="28" s="1"/>
  <c r="E123" i="28"/>
  <c r="E124" i="28"/>
  <c r="Y123" i="28"/>
  <c r="Z123" i="28" s="1"/>
  <c r="Y124" i="28"/>
  <c r="Z124" i="28" s="1"/>
  <c r="Q123" i="28"/>
  <c r="R123" i="28" s="1"/>
  <c r="Q124" i="28"/>
  <c r="R124" i="28" s="1"/>
  <c r="S123" i="28"/>
  <c r="T123" i="28" s="1"/>
  <c r="S124" i="28"/>
  <c r="T124" i="28" s="1"/>
  <c r="AE124" i="28"/>
  <c r="AF124" i="28" s="1"/>
  <c r="AE123" i="28"/>
  <c r="AF123" i="28" s="1"/>
  <c r="M123" i="28"/>
  <c r="N123" i="28" s="1"/>
  <c r="M124" i="28"/>
  <c r="N124" i="28" s="1"/>
  <c r="K123" i="28"/>
  <c r="L123" i="28" s="1"/>
  <c r="K124" i="28"/>
  <c r="L124" i="28" s="1"/>
  <c r="W123" i="28"/>
  <c r="X123" i="28" s="1"/>
  <c r="W124" i="28"/>
  <c r="X124" i="28" s="1"/>
  <c r="U123" i="28"/>
  <c r="V123" i="28" s="1"/>
  <c r="U124" i="28"/>
  <c r="V124" i="28" s="1"/>
  <c r="AA123" i="28"/>
  <c r="AB123" i="28" s="1"/>
  <c r="AA124" i="28"/>
  <c r="AB124" i="28" s="1"/>
  <c r="O124" i="28"/>
  <c r="P124" i="28" s="1"/>
  <c r="O123" i="28"/>
  <c r="P123" i="28" s="1"/>
  <c r="Y125" i="28"/>
  <c r="Z125" i="28" s="1"/>
  <c r="Y126" i="28"/>
  <c r="Z126" i="28" s="1"/>
  <c r="Q125" i="28"/>
  <c r="R125" i="28" s="1"/>
  <c r="Q126" i="28"/>
  <c r="R126" i="28" s="1"/>
  <c r="AE126" i="28"/>
  <c r="AF126" i="28" s="1"/>
  <c r="AE125" i="28"/>
  <c r="AF125" i="28" s="1"/>
  <c r="W126" i="28"/>
  <c r="X126" i="28" s="1"/>
  <c r="W125" i="28"/>
  <c r="X125" i="28" s="1"/>
  <c r="O126" i="28"/>
  <c r="P126" i="28" s="1"/>
  <c r="O125" i="28"/>
  <c r="P125" i="28" s="1"/>
  <c r="U126" i="28"/>
  <c r="V126" i="28" s="1"/>
  <c r="U125" i="28"/>
  <c r="V125" i="28" s="1"/>
  <c r="M125" i="28"/>
  <c r="N125" i="28" s="1"/>
  <c r="M126" i="28"/>
  <c r="N126" i="28" s="1"/>
  <c r="E126" i="28"/>
  <c r="E125" i="28"/>
  <c r="AA126" i="28"/>
  <c r="AB126" i="28" s="1"/>
  <c r="AA125" i="28"/>
  <c r="AB125" i="28" s="1"/>
  <c r="S125" i="28"/>
  <c r="T125" i="28" s="1"/>
  <c r="S126" i="28"/>
  <c r="T126" i="28" s="1"/>
  <c r="K125" i="28"/>
  <c r="L125" i="28" s="1"/>
  <c r="K126" i="28"/>
  <c r="L126" i="28" s="1"/>
  <c r="E130" i="28"/>
  <c r="E128" i="28"/>
  <c r="E129" i="28"/>
  <c r="E127" i="28"/>
  <c r="Y130" i="28"/>
  <c r="Z130" i="28" s="1"/>
  <c r="Y127" i="28"/>
  <c r="Z127" i="28" s="1"/>
  <c r="Y128" i="28"/>
  <c r="Z128" i="28" s="1"/>
  <c r="Y129" i="28"/>
  <c r="Z129" i="28" s="1"/>
  <c r="AA130" i="28"/>
  <c r="AB130" i="28" s="1"/>
  <c r="AA127" i="28"/>
  <c r="AB127" i="28" s="1"/>
  <c r="AA128" i="28"/>
  <c r="AB128" i="28" s="1"/>
  <c r="AA129" i="28"/>
  <c r="AB129" i="28" s="1"/>
  <c r="Q130" i="28"/>
  <c r="R130" i="28" s="1"/>
  <c r="Q127" i="28"/>
  <c r="R127" i="28" s="1"/>
  <c r="Q128" i="28"/>
  <c r="R128" i="28" s="1"/>
  <c r="Q129" i="28"/>
  <c r="R129" i="28" s="1"/>
  <c r="S130" i="28"/>
  <c r="T130" i="28" s="1"/>
  <c r="S127" i="28"/>
  <c r="T127" i="28" s="1"/>
  <c r="S128" i="28"/>
  <c r="T128" i="28" s="1"/>
  <c r="S129" i="28"/>
  <c r="T129" i="28" s="1"/>
  <c r="M130" i="28"/>
  <c r="N130" i="28" s="1"/>
  <c r="M127" i="28"/>
  <c r="N127" i="28" s="1"/>
  <c r="M128" i="28"/>
  <c r="N128" i="28" s="1"/>
  <c r="M129" i="28"/>
  <c r="N129" i="28" s="1"/>
  <c r="K130" i="28"/>
  <c r="L130" i="28" s="1"/>
  <c r="K127" i="28"/>
  <c r="L127" i="28" s="1"/>
  <c r="K128" i="28"/>
  <c r="L128" i="28" s="1"/>
  <c r="K129" i="28"/>
  <c r="L129" i="28" s="1"/>
  <c r="W130" i="28"/>
  <c r="X130" i="28" s="1"/>
  <c r="W127" i="28"/>
  <c r="X127" i="28" s="1"/>
  <c r="W128" i="28"/>
  <c r="X128" i="28" s="1"/>
  <c r="W129" i="28"/>
  <c r="X129" i="28" s="1"/>
  <c r="U130" i="28"/>
  <c r="V130" i="28" s="1"/>
  <c r="U127" i="28"/>
  <c r="V127" i="28" s="1"/>
  <c r="U128" i="28"/>
  <c r="V128" i="28" s="1"/>
  <c r="U129" i="28"/>
  <c r="V129" i="28" s="1"/>
  <c r="AE130" i="28"/>
  <c r="AF130" i="28" s="1"/>
  <c r="AE129" i="28"/>
  <c r="AF129" i="28" s="1"/>
  <c r="AE127" i="28"/>
  <c r="AF127" i="28" s="1"/>
  <c r="AE128" i="28"/>
  <c r="AF128" i="28" s="1"/>
  <c r="O130" i="28"/>
  <c r="P130" i="28" s="1"/>
  <c r="O127" i="28"/>
  <c r="P127" i="28" s="1"/>
  <c r="O128" i="28"/>
  <c r="P128" i="28" s="1"/>
  <c r="O129" i="28"/>
  <c r="P129" i="28" s="1"/>
  <c r="M131" i="28"/>
  <c r="N131" i="28" s="1"/>
  <c r="U131" i="28"/>
  <c r="V131" i="28" s="1"/>
  <c r="E131" i="28"/>
  <c r="Y131" i="28"/>
  <c r="Z131" i="28" s="1"/>
  <c r="AA131" i="28"/>
  <c r="AB131" i="28" s="1"/>
  <c r="Q131" i="28"/>
  <c r="R131" i="28" s="1"/>
  <c r="K131" i="28"/>
  <c r="L131" i="28" s="1"/>
  <c r="S131" i="28"/>
  <c r="T131" i="28" s="1"/>
  <c r="AE131" i="28"/>
  <c r="AF131" i="28" s="1"/>
  <c r="W131" i="28"/>
  <c r="X131" i="28" s="1"/>
  <c r="O131" i="28"/>
  <c r="P131" i="28" s="1"/>
  <c r="E81" i="28"/>
  <c r="E73" i="28"/>
  <c r="E67" i="28"/>
  <c r="E59" i="28"/>
  <c r="E51" i="28"/>
  <c r="E41" i="28"/>
  <c r="E33" i="28"/>
  <c r="E25" i="28"/>
  <c r="E17" i="28"/>
  <c r="E68" i="28"/>
  <c r="E86" i="28"/>
  <c r="E80" i="28"/>
  <c r="E72" i="28"/>
  <c r="E66" i="28"/>
  <c r="E58" i="28"/>
  <c r="E50" i="28"/>
  <c r="E40" i="28"/>
  <c r="E32" i="28"/>
  <c r="E24" i="28"/>
  <c r="E16" i="28"/>
  <c r="E42" i="28"/>
  <c r="E85" i="28"/>
  <c r="E79" i="28"/>
  <c r="E71" i="28"/>
  <c r="E65" i="28"/>
  <c r="E57" i="28"/>
  <c r="E49" i="28"/>
  <c r="E39" i="28"/>
  <c r="E31" i="28"/>
  <c r="E23" i="28"/>
  <c r="E15" i="28"/>
  <c r="E60" i="28"/>
  <c r="E18" i="28"/>
  <c r="E78" i="28"/>
  <c r="E64" i="28"/>
  <c r="E56" i="28"/>
  <c r="E48" i="28"/>
  <c r="E38" i="28"/>
  <c r="E30" i="28"/>
  <c r="E22" i="28"/>
  <c r="E14" i="28"/>
  <c r="E26" i="28"/>
  <c r="E84" i="28"/>
  <c r="E77" i="28"/>
  <c r="E63" i="28"/>
  <c r="E55" i="28"/>
  <c r="E47" i="28"/>
  <c r="E37" i="28"/>
  <c r="E29" i="28"/>
  <c r="E21" i="28"/>
  <c r="E74" i="28"/>
  <c r="E76" i="28"/>
  <c r="E70" i="28"/>
  <c r="E62" i="28"/>
  <c r="E54" i="28"/>
  <c r="E44" i="28"/>
  <c r="E36" i="28"/>
  <c r="E28" i="28"/>
  <c r="E20" i="28"/>
  <c r="E52" i="28"/>
  <c r="E83" i="28"/>
  <c r="E75" i="28"/>
  <c r="E69" i="28"/>
  <c r="E61" i="28"/>
  <c r="E53" i="28"/>
  <c r="E43" i="28"/>
  <c r="E35" i="28"/>
  <c r="E27" i="28"/>
  <c r="E19" i="28"/>
  <c r="E82" i="28"/>
  <c r="E34" i="28"/>
  <c r="W73" i="28"/>
  <c r="X73" i="28" s="1"/>
  <c r="M73" i="28"/>
  <c r="N73" i="28" s="1"/>
  <c r="O73" i="28"/>
  <c r="P73" i="28" s="1"/>
  <c r="Q73" i="28"/>
  <c r="R73" i="28" s="1"/>
  <c r="S73" i="28"/>
  <c r="T73" i="28" s="1"/>
  <c r="U73" i="28"/>
  <c r="V73" i="28" s="1"/>
  <c r="Y73" i="28"/>
  <c r="Z73" i="28" s="1"/>
  <c r="AA73" i="28"/>
  <c r="AB73" i="28" s="1"/>
  <c r="AE73" i="28"/>
  <c r="AF73" i="28" s="1"/>
  <c r="K73" i="28"/>
  <c r="L73" i="28" s="1"/>
  <c r="U74" i="28"/>
  <c r="V74" i="28" s="1"/>
  <c r="M74" i="28"/>
  <c r="N74" i="28" s="1"/>
  <c r="Y74" i="28"/>
  <c r="Z74" i="28" s="1"/>
  <c r="AA74" i="28"/>
  <c r="AB74" i="28" s="1"/>
  <c r="Q74" i="28"/>
  <c r="R74" i="28" s="1"/>
  <c r="S74" i="28"/>
  <c r="T74" i="28" s="1"/>
  <c r="O74" i="28"/>
  <c r="P74" i="28" s="1"/>
  <c r="K74" i="28"/>
  <c r="L74" i="28" s="1"/>
  <c r="AE74" i="28"/>
  <c r="AF74" i="28" s="1"/>
  <c r="W74" i="28"/>
  <c r="X74" i="28" s="1"/>
  <c r="O75" i="28"/>
  <c r="P75" i="28" s="1"/>
  <c r="W75" i="28"/>
  <c r="X75" i="28" s="1"/>
  <c r="U75" i="28"/>
  <c r="V75" i="28" s="1"/>
  <c r="M75" i="28"/>
  <c r="N75" i="28" s="1"/>
  <c r="AA75" i="28"/>
  <c r="AB75" i="28" s="1"/>
  <c r="Y75" i="28"/>
  <c r="Z75" i="28" s="1"/>
  <c r="Q75" i="28"/>
  <c r="R75" i="28" s="1"/>
  <c r="S75" i="28"/>
  <c r="T75" i="28" s="1"/>
  <c r="AE75" i="28"/>
  <c r="AF75" i="28" s="1"/>
  <c r="K75" i="28"/>
  <c r="L75" i="28" s="1"/>
  <c r="U76" i="28"/>
  <c r="V76" i="28" s="1"/>
  <c r="Q76" i="28"/>
  <c r="R76" i="28" s="1"/>
  <c r="S76" i="28"/>
  <c r="T76" i="28" s="1"/>
  <c r="M76" i="28"/>
  <c r="N76" i="28" s="1"/>
  <c r="Y76" i="28"/>
  <c r="Z76" i="28" s="1"/>
  <c r="AA76" i="28"/>
  <c r="AB76" i="28" s="1"/>
  <c r="AE76" i="28"/>
  <c r="AF76" i="28" s="1"/>
  <c r="K76" i="28"/>
  <c r="L76" i="28" s="1"/>
  <c r="W76" i="28"/>
  <c r="X76" i="28" s="1"/>
  <c r="O76" i="28"/>
  <c r="P76" i="28" s="1"/>
  <c r="O78" i="28"/>
  <c r="P78" i="28" s="1"/>
  <c r="O77" i="28"/>
  <c r="P77" i="28" s="1"/>
  <c r="M78" i="28"/>
  <c r="N78" i="28" s="1"/>
  <c r="M77" i="28"/>
  <c r="N77" i="28" s="1"/>
  <c r="W77" i="28"/>
  <c r="X77" i="28" s="1"/>
  <c r="W78" i="28"/>
  <c r="X78" i="28" s="1"/>
  <c r="AA78" i="28"/>
  <c r="AB78" i="28" s="1"/>
  <c r="AA77" i="28"/>
  <c r="AB77" i="28" s="1"/>
  <c r="Y77" i="28"/>
  <c r="Z77" i="28" s="1"/>
  <c r="Y78" i="28"/>
  <c r="Z78" i="28" s="1"/>
  <c r="Q77" i="28"/>
  <c r="R77" i="28" s="1"/>
  <c r="Q78" i="28"/>
  <c r="R78" i="28" s="1"/>
  <c r="S77" i="28"/>
  <c r="T77" i="28" s="1"/>
  <c r="S78" i="28"/>
  <c r="T78" i="28" s="1"/>
  <c r="U77" i="28"/>
  <c r="V77" i="28" s="1"/>
  <c r="U78" i="28"/>
  <c r="V78" i="28" s="1"/>
  <c r="AE77" i="28"/>
  <c r="AF77" i="28" s="1"/>
  <c r="AE78" i="28"/>
  <c r="AF78" i="28" s="1"/>
  <c r="K77" i="28"/>
  <c r="L77" i="28" s="1"/>
  <c r="K78" i="28"/>
  <c r="L78" i="28" s="1"/>
  <c r="U79" i="28"/>
  <c r="V79" i="28" s="1"/>
  <c r="Q79" i="28"/>
  <c r="R79" i="28" s="1"/>
  <c r="S79" i="28"/>
  <c r="T79" i="28" s="1"/>
  <c r="W79" i="28"/>
  <c r="X79" i="28" s="1"/>
  <c r="O79" i="28"/>
  <c r="P79" i="28" s="1"/>
  <c r="M79" i="28"/>
  <c r="N79" i="28" s="1"/>
  <c r="Y79" i="28"/>
  <c r="Z79" i="28" s="1"/>
  <c r="AA79" i="28"/>
  <c r="AB79" i="28" s="1"/>
  <c r="AE79" i="28"/>
  <c r="AF79" i="28" s="1"/>
  <c r="K79" i="28"/>
  <c r="L79" i="28" s="1"/>
  <c r="U81" i="28"/>
  <c r="V81" i="28" s="1"/>
  <c r="U80" i="28"/>
  <c r="V80" i="28" s="1"/>
  <c r="O81" i="28"/>
  <c r="P81" i="28" s="1"/>
  <c r="O80" i="28"/>
  <c r="P80" i="28" s="1"/>
  <c r="Q81" i="28"/>
  <c r="R81" i="28" s="1"/>
  <c r="Q80" i="28"/>
  <c r="R80" i="28" s="1"/>
  <c r="S81" i="28"/>
  <c r="T81" i="28" s="1"/>
  <c r="S80" i="28"/>
  <c r="T80" i="28" s="1"/>
  <c r="Y81" i="28"/>
  <c r="Z81" i="28" s="1"/>
  <c r="Y80" i="28"/>
  <c r="Z80" i="28" s="1"/>
  <c r="AA81" i="28"/>
  <c r="AB81" i="28" s="1"/>
  <c r="AA80" i="28"/>
  <c r="AB80" i="28" s="1"/>
  <c r="AE81" i="28"/>
  <c r="AF81" i="28" s="1"/>
  <c r="AE80" i="28"/>
  <c r="AF80" i="28" s="1"/>
  <c r="K81" i="28"/>
  <c r="L81" i="28" s="1"/>
  <c r="K80" i="28"/>
  <c r="L80" i="28" s="1"/>
  <c r="M81" i="28"/>
  <c r="N81" i="28" s="1"/>
  <c r="M80" i="28"/>
  <c r="N80" i="28" s="1"/>
  <c r="W81" i="28"/>
  <c r="X81" i="28" s="1"/>
  <c r="W80" i="28"/>
  <c r="X80" i="28" s="1"/>
  <c r="W82" i="28"/>
  <c r="X82" i="28" s="1"/>
  <c r="O82" i="28"/>
  <c r="P82" i="28" s="1"/>
  <c r="U82" i="28"/>
  <c r="V82" i="28" s="1"/>
  <c r="Y82" i="28"/>
  <c r="Z82" i="28" s="1"/>
  <c r="AA82" i="28"/>
  <c r="AB82" i="28" s="1"/>
  <c r="M82" i="28"/>
  <c r="N82" i="28" s="1"/>
  <c r="Q82" i="28"/>
  <c r="R82" i="28" s="1"/>
  <c r="S82" i="28"/>
  <c r="T82" i="28" s="1"/>
  <c r="K82" i="28"/>
  <c r="L82" i="28" s="1"/>
  <c r="AE82" i="28"/>
  <c r="AF82" i="28" s="1"/>
  <c r="O83" i="28"/>
  <c r="P83" i="28" s="1"/>
  <c r="Y83" i="28"/>
  <c r="Z83" i="28" s="1"/>
  <c r="AA83" i="28"/>
  <c r="AB83" i="28" s="1"/>
  <c r="U83" i="28"/>
  <c r="V83" i="28" s="1"/>
  <c r="M83" i="28"/>
  <c r="N83" i="28" s="1"/>
  <c r="Q83" i="28"/>
  <c r="R83" i="28" s="1"/>
  <c r="S83" i="28"/>
  <c r="T83" i="28" s="1"/>
  <c r="W83" i="28"/>
  <c r="X83" i="28" s="1"/>
  <c r="AE83" i="28"/>
  <c r="AF83" i="28" s="1"/>
  <c r="K83" i="28"/>
  <c r="L83" i="28" s="1"/>
  <c r="Q84" i="28"/>
  <c r="R84" i="28" s="1"/>
  <c r="S84" i="28"/>
  <c r="T84" i="28" s="1"/>
  <c r="AE84" i="28"/>
  <c r="AF84" i="28" s="1"/>
  <c r="K84" i="28"/>
  <c r="L84" i="28" s="1"/>
  <c r="O84" i="28"/>
  <c r="P84" i="28" s="1"/>
  <c r="W84" i="28"/>
  <c r="X84" i="28" s="1"/>
  <c r="U84" i="28"/>
  <c r="V84" i="28" s="1"/>
  <c r="M84" i="28"/>
  <c r="N84" i="28" s="1"/>
  <c r="Y84" i="28"/>
  <c r="Z84" i="28" s="1"/>
  <c r="AA84" i="28"/>
  <c r="AB84" i="28" s="1"/>
  <c r="Y85" i="28"/>
  <c r="Z85" i="28" s="1"/>
  <c r="Y86" i="28"/>
  <c r="Z86" i="28" s="1"/>
  <c r="AA85" i="28"/>
  <c r="AB85" i="28" s="1"/>
  <c r="AA86" i="28"/>
  <c r="AB86" i="28" s="1"/>
  <c r="Q85" i="28"/>
  <c r="R85" i="28" s="1"/>
  <c r="Q86" i="28"/>
  <c r="R86" i="28" s="1"/>
  <c r="K86" i="28"/>
  <c r="L86" i="28" s="1"/>
  <c r="K85" i="28"/>
  <c r="L85" i="28" s="1"/>
  <c r="AE86" i="28"/>
  <c r="AF86" i="28" s="1"/>
  <c r="AE85" i="28"/>
  <c r="AF85" i="28" s="1"/>
  <c r="W86" i="28"/>
  <c r="X86" i="28" s="1"/>
  <c r="W85" i="28"/>
  <c r="X85" i="28" s="1"/>
  <c r="S86" i="28"/>
  <c r="T86" i="28" s="1"/>
  <c r="S85" i="28"/>
  <c r="T85" i="28" s="1"/>
  <c r="O85" i="28"/>
  <c r="P85" i="28" s="1"/>
  <c r="O86" i="28"/>
  <c r="P86" i="28" s="1"/>
  <c r="U86" i="28"/>
  <c r="V86" i="28" s="1"/>
  <c r="U85" i="28"/>
  <c r="V85" i="28" s="1"/>
  <c r="M85" i="28"/>
  <c r="N85" i="28" s="1"/>
  <c r="M86" i="28"/>
  <c r="N86" i="28" s="1"/>
  <c r="W72" i="28"/>
  <c r="X72" i="28" s="1"/>
  <c r="W71" i="28"/>
  <c r="X71" i="28" s="1"/>
  <c r="U72" i="28"/>
  <c r="V72" i="28" s="1"/>
  <c r="U71" i="28"/>
  <c r="V71" i="28" s="1"/>
  <c r="O72" i="28"/>
  <c r="P72" i="28" s="1"/>
  <c r="O71" i="28"/>
  <c r="P71" i="28" s="1"/>
  <c r="M72" i="28"/>
  <c r="N72" i="28" s="1"/>
  <c r="M71" i="28"/>
  <c r="N71" i="28" s="1"/>
  <c r="Y72" i="28"/>
  <c r="Z72" i="28" s="1"/>
  <c r="Y71" i="28"/>
  <c r="Z71" i="28" s="1"/>
  <c r="AA72" i="28"/>
  <c r="AB72" i="28" s="1"/>
  <c r="AA71" i="28"/>
  <c r="AB71" i="28" s="1"/>
  <c r="Q72" i="28"/>
  <c r="R72" i="28" s="1"/>
  <c r="Q71" i="28"/>
  <c r="R71" i="28" s="1"/>
  <c r="S72" i="28"/>
  <c r="T72" i="28" s="1"/>
  <c r="S71" i="28"/>
  <c r="T71" i="28" s="1"/>
  <c r="AE72" i="28"/>
  <c r="AF72" i="28" s="1"/>
  <c r="AE71" i="28"/>
  <c r="AF71" i="28" s="1"/>
  <c r="K72" i="28"/>
  <c r="L72" i="28" s="1"/>
  <c r="K71" i="28"/>
  <c r="L71" i="28" s="1"/>
  <c r="O33" i="28"/>
  <c r="P33" i="28" s="1"/>
  <c r="O34" i="28"/>
  <c r="P34" i="28" s="1"/>
  <c r="O27" i="28"/>
  <c r="P27" i="28" s="1"/>
  <c r="O28" i="28"/>
  <c r="P28" i="28" s="1"/>
  <c r="O29" i="28"/>
  <c r="P29" i="28" s="1"/>
  <c r="O30" i="28"/>
  <c r="P30" i="28" s="1"/>
  <c r="O31" i="28"/>
  <c r="P31" i="28" s="1"/>
  <c r="O32" i="28"/>
  <c r="P32" i="28" s="1"/>
  <c r="M31" i="28"/>
  <c r="N31" i="28" s="1"/>
  <c r="M32" i="28"/>
  <c r="N32" i="28" s="1"/>
  <c r="M30" i="28"/>
  <c r="N30" i="28" s="1"/>
  <c r="M33" i="28"/>
  <c r="N33" i="28" s="1"/>
  <c r="M34" i="28"/>
  <c r="N34" i="28" s="1"/>
  <c r="M27" i="28"/>
  <c r="N27" i="28" s="1"/>
  <c r="M28" i="28"/>
  <c r="N28" i="28" s="1"/>
  <c r="M29" i="28"/>
  <c r="N29" i="28" s="1"/>
  <c r="Y27" i="28"/>
  <c r="Z27" i="28" s="1"/>
  <c r="Y28" i="28"/>
  <c r="Z28" i="28" s="1"/>
  <c r="Y29" i="28"/>
  <c r="Z29" i="28" s="1"/>
  <c r="Y30" i="28"/>
  <c r="Z30" i="28" s="1"/>
  <c r="Y31" i="28"/>
  <c r="Z31" i="28" s="1"/>
  <c r="Y32" i="28"/>
  <c r="Z32" i="28" s="1"/>
  <c r="Y33" i="28"/>
  <c r="Z33" i="28" s="1"/>
  <c r="Y34" i="28"/>
  <c r="Z34" i="28" s="1"/>
  <c r="AA29" i="28"/>
  <c r="AB29" i="28" s="1"/>
  <c r="AA30" i="28"/>
  <c r="AB30" i="28" s="1"/>
  <c r="AA31" i="28"/>
  <c r="AB31" i="28" s="1"/>
  <c r="AA32" i="28"/>
  <c r="AB32" i="28" s="1"/>
  <c r="AA33" i="28"/>
  <c r="AB33" i="28" s="1"/>
  <c r="AA34" i="28"/>
  <c r="AB34" i="28" s="1"/>
  <c r="AA27" i="28"/>
  <c r="AB27" i="28" s="1"/>
  <c r="AA28" i="28"/>
  <c r="AB28" i="28" s="1"/>
  <c r="Q27" i="28"/>
  <c r="R27" i="28" s="1"/>
  <c r="Q28" i="28"/>
  <c r="R28" i="28" s="1"/>
  <c r="Q29" i="28"/>
  <c r="R29" i="28" s="1"/>
  <c r="Q30" i="28"/>
  <c r="R30" i="28" s="1"/>
  <c r="Q31" i="28"/>
  <c r="R31" i="28" s="1"/>
  <c r="Q32" i="28"/>
  <c r="R32" i="28" s="1"/>
  <c r="Q33" i="28"/>
  <c r="R33" i="28" s="1"/>
  <c r="Q34" i="28"/>
  <c r="R34" i="28" s="1"/>
  <c r="S29" i="28"/>
  <c r="T29" i="28" s="1"/>
  <c r="S30" i="28"/>
  <c r="T30" i="28" s="1"/>
  <c r="S31" i="28"/>
  <c r="T31" i="28" s="1"/>
  <c r="S32" i="28"/>
  <c r="T32" i="28" s="1"/>
  <c r="S33" i="28"/>
  <c r="T33" i="28" s="1"/>
  <c r="S34" i="28"/>
  <c r="T34" i="28" s="1"/>
  <c r="S27" i="28"/>
  <c r="T27" i="28" s="1"/>
  <c r="S28" i="28"/>
  <c r="T28" i="28" s="1"/>
  <c r="AE33" i="28"/>
  <c r="AF33" i="28" s="1"/>
  <c r="AE34" i="28"/>
  <c r="AF34" i="28" s="1"/>
  <c r="AE27" i="28"/>
  <c r="AF27" i="28" s="1"/>
  <c r="AE28" i="28"/>
  <c r="AF28" i="28" s="1"/>
  <c r="AE29" i="28"/>
  <c r="AF29" i="28" s="1"/>
  <c r="AE30" i="28"/>
  <c r="AF30" i="28" s="1"/>
  <c r="AE31" i="28"/>
  <c r="AF31" i="28" s="1"/>
  <c r="AE32" i="28"/>
  <c r="AF32" i="28" s="1"/>
  <c r="K29" i="28"/>
  <c r="L29" i="28" s="1"/>
  <c r="K30" i="28"/>
  <c r="L30" i="28" s="1"/>
  <c r="K31" i="28"/>
  <c r="L31" i="28" s="1"/>
  <c r="K32" i="28"/>
  <c r="L32" i="28" s="1"/>
  <c r="K33" i="28"/>
  <c r="L33" i="28" s="1"/>
  <c r="K28" i="28"/>
  <c r="L28" i="28" s="1"/>
  <c r="K34" i="28"/>
  <c r="L34" i="28" s="1"/>
  <c r="K27" i="28"/>
  <c r="L27" i="28" s="1"/>
  <c r="U31" i="28"/>
  <c r="V31" i="28" s="1"/>
  <c r="U32" i="28"/>
  <c r="V32" i="28" s="1"/>
  <c r="U33" i="28"/>
  <c r="V33" i="28" s="1"/>
  <c r="U34" i="28"/>
  <c r="V34" i="28" s="1"/>
  <c r="U27" i="28"/>
  <c r="V27" i="28" s="1"/>
  <c r="U28" i="28"/>
  <c r="V28" i="28" s="1"/>
  <c r="U29" i="28"/>
  <c r="V29" i="28" s="1"/>
  <c r="U30" i="28"/>
  <c r="V30" i="28" s="1"/>
  <c r="W33" i="28"/>
  <c r="X33" i="28" s="1"/>
  <c r="W34" i="28"/>
  <c r="X34" i="28" s="1"/>
  <c r="W27" i="28"/>
  <c r="X27" i="28" s="1"/>
  <c r="W30" i="28"/>
  <c r="X30" i="28" s="1"/>
  <c r="W28" i="28"/>
  <c r="X28" i="28" s="1"/>
  <c r="W29" i="28"/>
  <c r="X29" i="28" s="1"/>
  <c r="W31" i="28"/>
  <c r="X31" i="28" s="1"/>
  <c r="W32" i="28"/>
  <c r="X32" i="28" s="1"/>
  <c r="U40" i="28"/>
  <c r="V40" i="28" s="1"/>
  <c r="U25" i="28"/>
  <c r="V25" i="28" s="1"/>
  <c r="U26" i="28"/>
  <c r="V26" i="28" s="1"/>
  <c r="U35" i="28"/>
  <c r="V35" i="28" s="1"/>
  <c r="U24" i="28"/>
  <c r="V24" i="28" s="1"/>
  <c r="U36" i="28"/>
  <c r="V36" i="28" s="1"/>
  <c r="U39" i="28"/>
  <c r="V39" i="28" s="1"/>
  <c r="U22" i="28"/>
  <c r="V22" i="28" s="1"/>
  <c r="U23" i="28"/>
  <c r="V23" i="28" s="1"/>
  <c r="M40" i="28"/>
  <c r="N40" i="28" s="1"/>
  <c r="M25" i="28"/>
  <c r="N25" i="28" s="1"/>
  <c r="M26" i="28"/>
  <c r="N26" i="28" s="1"/>
  <c r="M35" i="28"/>
  <c r="N35" i="28" s="1"/>
  <c r="M36" i="28"/>
  <c r="N36" i="28" s="1"/>
  <c r="M39" i="28"/>
  <c r="N39" i="28" s="1"/>
  <c r="M22" i="28"/>
  <c r="N22" i="28" s="1"/>
  <c r="M23" i="28"/>
  <c r="N23" i="28" s="1"/>
  <c r="M24" i="28"/>
  <c r="N24" i="28" s="1"/>
  <c r="Q40" i="28"/>
  <c r="R40" i="28" s="1"/>
  <c r="Q39" i="28"/>
  <c r="R39" i="28" s="1"/>
  <c r="Q22" i="28"/>
  <c r="R22" i="28" s="1"/>
  <c r="Q23" i="28"/>
  <c r="R23" i="28" s="1"/>
  <c r="Q24" i="28"/>
  <c r="R24" i="28" s="1"/>
  <c r="Q25" i="28"/>
  <c r="R25" i="28" s="1"/>
  <c r="Q26" i="28"/>
  <c r="R26" i="28" s="1"/>
  <c r="Q36" i="28"/>
  <c r="R36" i="28" s="1"/>
  <c r="Q35" i="28"/>
  <c r="R35" i="28" s="1"/>
  <c r="S40" i="28"/>
  <c r="T40" i="28" s="1"/>
  <c r="S23" i="28"/>
  <c r="T23" i="28" s="1"/>
  <c r="S22" i="28"/>
  <c r="T22" i="28" s="1"/>
  <c r="S24" i="28"/>
  <c r="T24" i="28" s="1"/>
  <c r="S25" i="28"/>
  <c r="T25" i="28" s="1"/>
  <c r="S39" i="28"/>
  <c r="T39" i="28" s="1"/>
  <c r="S26" i="28"/>
  <c r="T26" i="28" s="1"/>
  <c r="S35" i="28"/>
  <c r="T35" i="28" s="1"/>
  <c r="S36" i="28"/>
  <c r="T36" i="28" s="1"/>
  <c r="W40" i="28"/>
  <c r="X40" i="28" s="1"/>
  <c r="W35" i="28"/>
  <c r="X35" i="28" s="1"/>
  <c r="W36" i="28"/>
  <c r="X36" i="28" s="1"/>
  <c r="W26" i="28"/>
  <c r="X26" i="28" s="1"/>
  <c r="W22" i="28"/>
  <c r="X22" i="28" s="1"/>
  <c r="W23" i="28"/>
  <c r="X23" i="28" s="1"/>
  <c r="W24" i="28"/>
  <c r="X24" i="28" s="1"/>
  <c r="W25" i="28"/>
  <c r="X25" i="28" s="1"/>
  <c r="W39" i="28"/>
  <c r="X39" i="28" s="1"/>
  <c r="O40" i="28"/>
  <c r="P40" i="28" s="1"/>
  <c r="O35" i="28"/>
  <c r="P35" i="28" s="1"/>
  <c r="O36" i="28"/>
  <c r="P36" i="28" s="1"/>
  <c r="O22" i="28"/>
  <c r="P22" i="28" s="1"/>
  <c r="O23" i="28"/>
  <c r="P23" i="28" s="1"/>
  <c r="O24" i="28"/>
  <c r="P24" i="28" s="1"/>
  <c r="O26" i="28"/>
  <c r="P26" i="28" s="1"/>
  <c r="O25" i="28"/>
  <c r="P25" i="28" s="1"/>
  <c r="O39" i="28"/>
  <c r="P39" i="28" s="1"/>
  <c r="Y40" i="28"/>
  <c r="Z40" i="28" s="1"/>
  <c r="Y39" i="28"/>
  <c r="Z39" i="28" s="1"/>
  <c r="Y22" i="28"/>
  <c r="Z22" i="28" s="1"/>
  <c r="Y23" i="28"/>
  <c r="Z23" i="28" s="1"/>
  <c r="Y24" i="28"/>
  <c r="Z24" i="28" s="1"/>
  <c r="Y25" i="28"/>
  <c r="Z25" i="28" s="1"/>
  <c r="Y26" i="28"/>
  <c r="Z26" i="28" s="1"/>
  <c r="Y35" i="28"/>
  <c r="Z35" i="28" s="1"/>
  <c r="Y36" i="28"/>
  <c r="Z36" i="28" s="1"/>
  <c r="AA40" i="28"/>
  <c r="AB40" i="28" s="1"/>
  <c r="AA23" i="28"/>
  <c r="AB23" i="28" s="1"/>
  <c r="AA24" i="28"/>
  <c r="AB24" i="28" s="1"/>
  <c r="AA25" i="28"/>
  <c r="AB25" i="28" s="1"/>
  <c r="AA39" i="28"/>
  <c r="AB39" i="28" s="1"/>
  <c r="AA26" i="28"/>
  <c r="AB26" i="28" s="1"/>
  <c r="AA35" i="28"/>
  <c r="AB35" i="28" s="1"/>
  <c r="AA36" i="28"/>
  <c r="AB36" i="28" s="1"/>
  <c r="AA22" i="28"/>
  <c r="AB22" i="28" s="1"/>
  <c r="AE40" i="28"/>
  <c r="AF40" i="28" s="1"/>
  <c r="AE35" i="28"/>
  <c r="AF35" i="28" s="1"/>
  <c r="AE36" i="28"/>
  <c r="AF36" i="28" s="1"/>
  <c r="AE22" i="28"/>
  <c r="AF22" i="28" s="1"/>
  <c r="AE26" i="28"/>
  <c r="AF26" i="28" s="1"/>
  <c r="AE23" i="28"/>
  <c r="AF23" i="28" s="1"/>
  <c r="AE24" i="28"/>
  <c r="AF24" i="28" s="1"/>
  <c r="AE25" i="28"/>
  <c r="AF25" i="28" s="1"/>
  <c r="AE39" i="28"/>
  <c r="AF39" i="28" s="1"/>
  <c r="K40" i="28"/>
  <c r="L40" i="28" s="1"/>
  <c r="K23" i="28"/>
  <c r="L23" i="28" s="1"/>
  <c r="K24" i="28"/>
  <c r="L24" i="28" s="1"/>
  <c r="K25" i="28"/>
  <c r="L25" i="28" s="1"/>
  <c r="K39" i="28"/>
  <c r="L39" i="28" s="1"/>
  <c r="K26" i="28"/>
  <c r="L26" i="28" s="1"/>
  <c r="K35" i="28"/>
  <c r="L35" i="28" s="1"/>
  <c r="K36" i="28"/>
  <c r="L36" i="28" s="1"/>
  <c r="K22" i="28"/>
  <c r="L22" i="28" s="1"/>
  <c r="Y42" i="28"/>
  <c r="Z42" i="28" s="1"/>
  <c r="Y41" i="28"/>
  <c r="Z41" i="28" s="1"/>
  <c r="Q42" i="28"/>
  <c r="R42" i="28" s="1"/>
  <c r="Q41" i="28"/>
  <c r="R41" i="28" s="1"/>
  <c r="S42" i="28"/>
  <c r="T42" i="28" s="1"/>
  <c r="S41" i="28"/>
  <c r="T41" i="28" s="1"/>
  <c r="K42" i="28"/>
  <c r="L42" i="28" s="1"/>
  <c r="K41" i="28"/>
  <c r="L41" i="28" s="1"/>
  <c r="AE42" i="28"/>
  <c r="AF42" i="28" s="1"/>
  <c r="AE41" i="28"/>
  <c r="AF41" i="28" s="1"/>
  <c r="W42" i="28"/>
  <c r="X42" i="28" s="1"/>
  <c r="W41" i="28"/>
  <c r="X41" i="28" s="1"/>
  <c r="U42" i="28"/>
  <c r="V42" i="28" s="1"/>
  <c r="U41" i="28"/>
  <c r="V41" i="28" s="1"/>
  <c r="AA42" i="28"/>
  <c r="AB42" i="28" s="1"/>
  <c r="AA41" i="28"/>
  <c r="AB41" i="28" s="1"/>
  <c r="O42" i="28"/>
  <c r="P42" i="28" s="1"/>
  <c r="O41" i="28"/>
  <c r="P41" i="28" s="1"/>
  <c r="M42" i="28"/>
  <c r="N42" i="28" s="1"/>
  <c r="M41" i="28"/>
  <c r="N41" i="28" s="1"/>
  <c r="U69" i="28"/>
  <c r="V69" i="28" s="1"/>
  <c r="U38" i="28"/>
  <c r="V38" i="28" s="1"/>
  <c r="U67" i="28"/>
  <c r="U44" i="28"/>
  <c r="V44" i="28" s="1"/>
  <c r="U70" i="28"/>
  <c r="V70" i="28" s="1"/>
  <c r="U65" i="28"/>
  <c r="U37" i="28"/>
  <c r="V37" i="28" s="1"/>
  <c r="U16" i="28"/>
  <c r="U43" i="28"/>
  <c r="V43" i="28" s="1"/>
  <c r="AA47" i="28"/>
  <c r="AA16" i="28"/>
  <c r="AA43" i="28"/>
  <c r="AB43" i="28" s="1"/>
  <c r="AA67" i="28"/>
  <c r="AA14" i="28"/>
  <c r="AA70" i="28"/>
  <c r="AB70" i="28" s="1"/>
  <c r="AA65" i="28"/>
  <c r="AA37" i="28"/>
  <c r="AB37" i="28" s="1"/>
  <c r="AA15" i="28"/>
  <c r="AA38" i="28"/>
  <c r="AB38" i="28" s="1"/>
  <c r="AA44" i="28"/>
  <c r="AB44" i="28" s="1"/>
  <c r="AA69" i="28"/>
  <c r="AB69" i="28" s="1"/>
  <c r="O37" i="28"/>
  <c r="P37" i="28" s="1"/>
  <c r="O16" i="28"/>
  <c r="O43" i="28"/>
  <c r="P43" i="28" s="1"/>
  <c r="O67" i="28"/>
  <c r="O44" i="28"/>
  <c r="P44" i="28" s="1"/>
  <c r="O70" i="28"/>
  <c r="P70" i="28" s="1"/>
  <c r="O65" i="28"/>
  <c r="O38" i="28"/>
  <c r="P38" i="28" s="1"/>
  <c r="O69" i="28"/>
  <c r="P69" i="28" s="1"/>
  <c r="M63" i="28"/>
  <c r="N63" i="28" s="1"/>
  <c r="M53" i="28"/>
  <c r="N53" i="28" s="1"/>
  <c r="M18" i="28"/>
  <c r="M14" i="28"/>
  <c r="M70" i="28"/>
  <c r="N70" i="28" s="1"/>
  <c r="M65" i="28"/>
  <c r="N65" i="28" s="1"/>
  <c r="M61" i="28"/>
  <c r="N61" i="28" s="1"/>
  <c r="M51" i="28"/>
  <c r="N51" i="28" s="1"/>
  <c r="M20" i="28"/>
  <c r="M56" i="28"/>
  <c r="N56" i="28" s="1"/>
  <c r="M48" i="28"/>
  <c r="N48" i="28" s="1"/>
  <c r="M21" i="28"/>
  <c r="M60" i="28"/>
  <c r="N60" i="28" s="1"/>
  <c r="M47" i="28"/>
  <c r="N47" i="28" s="1"/>
  <c r="M37" i="28"/>
  <c r="N37" i="28" s="1"/>
  <c r="M69" i="28"/>
  <c r="N69" i="28" s="1"/>
  <c r="M59" i="28"/>
  <c r="N59" i="28" s="1"/>
  <c r="M55" i="28"/>
  <c r="N55" i="28" s="1"/>
  <c r="M15" i="28"/>
  <c r="M38" i="28"/>
  <c r="N38" i="28" s="1"/>
  <c r="M68" i="28"/>
  <c r="N68" i="28" s="1"/>
  <c r="M64" i="28"/>
  <c r="N64" i="28" s="1"/>
  <c r="M54" i="28"/>
  <c r="N54" i="28" s="1"/>
  <c r="M16" i="28"/>
  <c r="M43" i="28"/>
  <c r="N43" i="28" s="1"/>
  <c r="M67" i="28"/>
  <c r="N67" i="28" s="1"/>
  <c r="M58" i="28"/>
  <c r="N58" i="28" s="1"/>
  <c r="M50" i="28"/>
  <c r="N50" i="28" s="1"/>
  <c r="M17" i="28"/>
  <c r="M44" i="28"/>
  <c r="N44" i="28" s="1"/>
  <c r="M52" i="28"/>
  <c r="N52" i="28" s="1"/>
  <c r="M49" i="28"/>
  <c r="N49" i="28" s="1"/>
  <c r="M19" i="28"/>
  <c r="M66" i="28"/>
  <c r="N66" i="28" s="1"/>
  <c r="M62" i="28"/>
  <c r="N62" i="28" s="1"/>
  <c r="M57" i="28"/>
  <c r="N57" i="28" s="1"/>
  <c r="Y47" i="28"/>
  <c r="Y15" i="28"/>
  <c r="Y38" i="28"/>
  <c r="Z38" i="28" s="1"/>
  <c r="Y67" i="28"/>
  <c r="Y16" i="28"/>
  <c r="Y43" i="28"/>
  <c r="Z43" i="28" s="1"/>
  <c r="Y44" i="28"/>
  <c r="Z44" i="28" s="1"/>
  <c r="Y14" i="28"/>
  <c r="Y70" i="28"/>
  <c r="Z70" i="28" s="1"/>
  <c r="Y65" i="28"/>
  <c r="Y69" i="28"/>
  <c r="Z69" i="28" s="1"/>
  <c r="Y37" i="28"/>
  <c r="Z37" i="28" s="1"/>
  <c r="Q67" i="28"/>
  <c r="R67" i="28" s="1"/>
  <c r="Q58" i="28"/>
  <c r="R58" i="28" s="1"/>
  <c r="Q50" i="28"/>
  <c r="R50" i="28" s="1"/>
  <c r="Q17" i="28"/>
  <c r="Q44" i="28"/>
  <c r="R44" i="28" s="1"/>
  <c r="Q14" i="28"/>
  <c r="Q66" i="28"/>
  <c r="R66" i="28" s="1"/>
  <c r="Q62" i="28"/>
  <c r="R62" i="28" s="1"/>
  <c r="Q57" i="28"/>
  <c r="R57" i="28" s="1"/>
  <c r="Q52" i="28"/>
  <c r="R52" i="28" s="1"/>
  <c r="Q49" i="28"/>
  <c r="R49" i="28" s="1"/>
  <c r="Q19" i="28"/>
  <c r="Q70" i="28"/>
  <c r="R70" i="28" s="1"/>
  <c r="Q65" i="28"/>
  <c r="R65" i="28" s="1"/>
  <c r="Q61" i="28"/>
  <c r="R61" i="28" s="1"/>
  <c r="Q51" i="28"/>
  <c r="R51" i="28" s="1"/>
  <c r="Q20" i="28"/>
  <c r="Q56" i="28"/>
  <c r="R56" i="28" s="1"/>
  <c r="Q48" i="28"/>
  <c r="R48" i="28" s="1"/>
  <c r="Q21" i="28"/>
  <c r="Q60" i="28"/>
  <c r="R60" i="28" s="1"/>
  <c r="Q47" i="28"/>
  <c r="R47" i="28" s="1"/>
  <c r="Q37" i="28"/>
  <c r="R37" i="28" s="1"/>
  <c r="Q69" i="28"/>
  <c r="R69" i="28" s="1"/>
  <c r="Q59" i="28"/>
  <c r="R59" i="28" s="1"/>
  <c r="Q55" i="28"/>
  <c r="R55" i="28" s="1"/>
  <c r="Q15" i="28"/>
  <c r="Q38" i="28"/>
  <c r="R38" i="28" s="1"/>
  <c r="Q68" i="28"/>
  <c r="R68" i="28" s="1"/>
  <c r="Q64" i="28"/>
  <c r="R64" i="28" s="1"/>
  <c r="Q54" i="28"/>
  <c r="R54" i="28" s="1"/>
  <c r="Q16" i="28"/>
  <c r="Q43" i="28"/>
  <c r="R43" i="28" s="1"/>
  <c r="Q53" i="28"/>
  <c r="R53" i="28" s="1"/>
  <c r="Q63" i="28"/>
  <c r="R63" i="28" s="1"/>
  <c r="Q18" i="28"/>
  <c r="S70" i="28"/>
  <c r="T70" i="28" s="1"/>
  <c r="S65" i="28"/>
  <c r="S37" i="28"/>
  <c r="T37" i="28" s="1"/>
  <c r="S69" i="28"/>
  <c r="T69" i="28" s="1"/>
  <c r="S38" i="28"/>
  <c r="T38" i="28" s="1"/>
  <c r="S16" i="28"/>
  <c r="S43" i="28"/>
  <c r="T43" i="28" s="1"/>
  <c r="S67" i="28"/>
  <c r="S44" i="28"/>
  <c r="T44" i="28" s="1"/>
  <c r="AE60" i="28"/>
  <c r="AF60" i="28" s="1"/>
  <c r="AE47" i="28"/>
  <c r="AF47" i="28" s="1"/>
  <c r="AE37" i="28"/>
  <c r="AF37" i="28" s="1"/>
  <c r="AE68" i="28"/>
  <c r="AF68" i="28" s="1"/>
  <c r="AE64" i="28"/>
  <c r="AF64" i="28" s="1"/>
  <c r="AE54" i="28"/>
  <c r="AF54" i="28" s="1"/>
  <c r="AE16" i="28"/>
  <c r="AF16" i="28" s="1"/>
  <c r="AE43" i="28"/>
  <c r="AF43" i="28" s="1"/>
  <c r="AE67" i="28"/>
  <c r="AF67" i="28" s="1"/>
  <c r="AE58" i="28"/>
  <c r="AF58" i="28" s="1"/>
  <c r="AE50" i="28"/>
  <c r="AF50" i="28" s="1"/>
  <c r="AE17" i="28"/>
  <c r="AF17" i="28" s="1"/>
  <c r="AE44" i="28"/>
  <c r="AF44" i="28" s="1"/>
  <c r="AE63" i="28"/>
  <c r="AF63" i="28" s="1"/>
  <c r="AE53" i="28"/>
  <c r="AF53" i="28" s="1"/>
  <c r="AE18" i="28"/>
  <c r="AF18" i="28" s="1"/>
  <c r="AE66" i="28"/>
  <c r="AF66" i="28" s="1"/>
  <c r="AE62" i="28"/>
  <c r="AF62" i="28" s="1"/>
  <c r="AE57" i="28"/>
  <c r="AF57" i="28" s="1"/>
  <c r="AE52" i="28"/>
  <c r="AF52" i="28" s="1"/>
  <c r="AE49" i="28"/>
  <c r="AF49" i="28" s="1"/>
  <c r="AE19" i="28"/>
  <c r="AF19" i="28" s="1"/>
  <c r="AE70" i="28"/>
  <c r="AF70" i="28" s="1"/>
  <c r="AE65" i="28"/>
  <c r="AF65" i="28" s="1"/>
  <c r="AE61" i="28"/>
  <c r="AF61" i="28" s="1"/>
  <c r="AE51" i="28"/>
  <c r="AF51" i="28" s="1"/>
  <c r="AE20" i="28"/>
  <c r="AF20" i="28" s="1"/>
  <c r="AE56" i="28"/>
  <c r="AF56" i="28" s="1"/>
  <c r="AE48" i="28"/>
  <c r="AF48" i="28" s="1"/>
  <c r="AE21" i="28"/>
  <c r="AF21" i="28" s="1"/>
  <c r="AE69" i="28"/>
  <c r="AF69" i="28" s="1"/>
  <c r="AE15" i="28"/>
  <c r="AF15" i="28" s="1"/>
  <c r="AE59" i="28"/>
  <c r="AF59" i="28" s="1"/>
  <c r="AE14" i="28"/>
  <c r="AE55" i="28"/>
  <c r="AF55" i="28" s="1"/>
  <c r="AE38" i="28"/>
  <c r="AF38" i="28" s="1"/>
  <c r="K16" i="28"/>
  <c r="K43" i="28"/>
  <c r="L43" i="28" s="1"/>
  <c r="K67" i="28"/>
  <c r="K44" i="28"/>
  <c r="L44" i="28" s="1"/>
  <c r="K70" i="28"/>
  <c r="L70" i="28" s="1"/>
  <c r="K65" i="28"/>
  <c r="K69" i="28"/>
  <c r="L69" i="28" s="1"/>
  <c r="K37" i="28"/>
  <c r="L37" i="28" s="1"/>
  <c r="K38" i="28"/>
  <c r="L38" i="28" s="1"/>
  <c r="W47" i="28"/>
  <c r="W67" i="28"/>
  <c r="W37" i="28"/>
  <c r="X37" i="28" s="1"/>
  <c r="W15" i="28"/>
  <c r="W38" i="28"/>
  <c r="X38" i="28" s="1"/>
  <c r="W14" i="28"/>
  <c r="W70" i="28"/>
  <c r="X70" i="28" s="1"/>
  <c r="W65" i="28"/>
  <c r="W16" i="28"/>
  <c r="W43" i="28"/>
  <c r="X43" i="28" s="1"/>
  <c r="W44" i="28"/>
  <c r="X44" i="28" s="1"/>
  <c r="W69" i="28"/>
  <c r="X69" i="28" s="1"/>
  <c r="B190" i="28" l="1"/>
  <c r="B187" i="28"/>
  <c r="B202" i="28"/>
  <c r="B186" i="28"/>
  <c r="B177" i="28"/>
  <c r="B197" i="28"/>
  <c r="B220" i="28"/>
  <c r="B213" i="28"/>
  <c r="B188" i="28"/>
  <c r="B182" i="28"/>
  <c r="B180" i="28"/>
  <c r="B198" i="28"/>
  <c r="B201" i="28"/>
  <c r="B205" i="28"/>
  <c r="B209" i="28"/>
  <c r="B216" i="28"/>
  <c r="B185" i="28"/>
  <c r="B179" i="28"/>
  <c r="B206" i="28"/>
  <c r="B210" i="28"/>
  <c r="B214" i="28"/>
  <c r="B217" i="28"/>
  <c r="B221" i="28"/>
  <c r="B191" i="28"/>
  <c r="B192" i="28"/>
  <c r="B195" i="28"/>
  <c r="B183" i="28"/>
  <c r="B189" i="28"/>
  <c r="B199" i="28"/>
  <c r="B203" i="28"/>
  <c r="B207" i="28"/>
  <c r="B211" i="28"/>
  <c r="B218" i="28"/>
  <c r="B193" i="28"/>
  <c r="B196" i="28"/>
  <c r="B200" i="28"/>
  <c r="B204" i="28"/>
  <c r="B208" i="28"/>
  <c r="B212" i="28"/>
  <c r="B215" i="28"/>
  <c r="B219" i="28"/>
  <c r="B194" i="28"/>
  <c r="B181" i="28"/>
  <c r="B184" i="28"/>
  <c r="B178" i="28"/>
  <c r="B142" i="28"/>
  <c r="B133" i="28"/>
  <c r="B137" i="28"/>
  <c r="B159" i="28"/>
  <c r="B150" i="28"/>
  <c r="B134" i="28"/>
  <c r="B162" i="28"/>
  <c r="B158" i="28"/>
  <c r="B152" i="28"/>
  <c r="B136" i="28"/>
  <c r="B145" i="28"/>
  <c r="B156" i="28"/>
  <c r="B164" i="28"/>
  <c r="B160" i="28"/>
  <c r="B172" i="28"/>
  <c r="B135" i="28"/>
  <c r="B140" i="28"/>
  <c r="B144" i="28"/>
  <c r="B138" i="28"/>
  <c r="B147" i="28"/>
  <c r="B139" i="28"/>
  <c r="B149" i="28"/>
  <c r="B146" i="28"/>
  <c r="B141" i="28"/>
  <c r="B132" i="28"/>
  <c r="B151" i="28"/>
  <c r="B143" i="28"/>
  <c r="B148" i="28"/>
  <c r="B87" i="28"/>
  <c r="B173" i="28"/>
  <c r="B171" i="28"/>
  <c r="B157" i="28"/>
  <c r="B169" i="28"/>
  <c r="B153" i="28"/>
  <c r="B167" i="28"/>
  <c r="B161" i="28"/>
  <c r="B174" i="28"/>
  <c r="B163" i="28"/>
  <c r="B155" i="28"/>
  <c r="B168" i="28"/>
  <c r="B154" i="28"/>
  <c r="B170" i="28"/>
  <c r="B165" i="28"/>
  <c r="B166" i="28"/>
  <c r="B176" i="28"/>
  <c r="B175" i="28"/>
  <c r="B91" i="28"/>
  <c r="B95" i="28"/>
  <c r="B97" i="28"/>
  <c r="B102" i="28"/>
  <c r="B99" i="28"/>
  <c r="B90" i="28"/>
  <c r="B108" i="28"/>
  <c r="B112" i="28"/>
  <c r="B93" i="28"/>
  <c r="B89" i="28"/>
  <c r="B104" i="28"/>
  <c r="B105" i="28"/>
  <c r="B109" i="28"/>
  <c r="B113" i="28"/>
  <c r="B100" i="28"/>
  <c r="B118" i="28"/>
  <c r="B88" i="28"/>
  <c r="B101" i="28"/>
  <c r="B92" i="28"/>
  <c r="B117" i="28"/>
  <c r="B106" i="28"/>
  <c r="B110" i="28"/>
  <c r="B114" i="28"/>
  <c r="B98" i="28"/>
  <c r="B94" i="28"/>
  <c r="B116" i="28"/>
  <c r="B96" i="28"/>
  <c r="B103" i="28"/>
  <c r="B107" i="28"/>
  <c r="B111" i="28"/>
  <c r="B115" i="28"/>
  <c r="B119" i="28"/>
  <c r="B124" i="28"/>
  <c r="B120" i="28"/>
  <c r="B121" i="28"/>
  <c r="B126" i="28"/>
  <c r="B122" i="28"/>
  <c r="B129" i="28"/>
  <c r="B128" i="28"/>
  <c r="B130" i="28"/>
  <c r="B123" i="28"/>
  <c r="B125" i="28"/>
  <c r="B127" i="28"/>
  <c r="B131" i="28"/>
  <c r="B41" i="28"/>
  <c r="B26" i="28"/>
  <c r="B39" i="28"/>
  <c r="B80" i="28"/>
  <c r="B44" i="28"/>
  <c r="B78" i="28"/>
  <c r="B86" i="28"/>
  <c r="B84" i="28"/>
  <c r="B83" i="28"/>
  <c r="B34" i="28"/>
  <c r="B75" i="28"/>
  <c r="B82" i="28"/>
  <c r="B77" i="28"/>
  <c r="B29" i="28"/>
  <c r="B35" i="28"/>
  <c r="B43" i="28"/>
  <c r="B76" i="28"/>
  <c r="B74" i="28"/>
  <c r="B30" i="28"/>
  <c r="B36" i="28"/>
  <c r="B28" i="28"/>
  <c r="B31" i="28"/>
  <c r="B40" i="28"/>
  <c r="B27" i="28"/>
  <c r="B38" i="28"/>
  <c r="B32" i="28"/>
  <c r="B81" i="28"/>
  <c r="B37" i="28"/>
  <c r="B85" i="28"/>
  <c r="B33" i="28"/>
  <c r="B79" i="28"/>
  <c r="B42" i="28"/>
  <c r="B73" i="28"/>
  <c r="B71" i="28"/>
  <c r="B72" i="28"/>
  <c r="B23" i="28"/>
  <c r="B69" i="28"/>
  <c r="B70" i="28"/>
  <c r="B25" i="28"/>
  <c r="B24" i="28"/>
  <c r="B22" i="28"/>
  <c r="AF14" i="28"/>
  <c r="AE10" i="28"/>
  <c r="AE9" i="28"/>
  <c r="AC10" i="28"/>
  <c r="J26" i="18" s="1"/>
  <c r="AD14" i="28"/>
  <c r="AC9" i="28"/>
  <c r="I26" i="18" s="1"/>
  <c r="B65" i="28"/>
  <c r="B16" i="28"/>
  <c r="B67" i="28"/>
  <c r="J1" i="29"/>
  <c r="B3" i="22" l="1"/>
  <c r="R1" i="29" l="1"/>
  <c r="Z1" i="29" l="1"/>
  <c r="S68" i="28" l="1"/>
  <c r="S64" i="28"/>
  <c r="S21" i="28"/>
  <c r="S63" i="28"/>
  <c r="S61" i="28"/>
  <c r="S60" i="28"/>
  <c r="S59" i="28"/>
  <c r="S20" i="28"/>
  <c r="S58" i="28"/>
  <c r="S57" i="28"/>
  <c r="S56" i="28"/>
  <c r="S19" i="28"/>
  <c r="S55" i="28"/>
  <c r="S54" i="28"/>
  <c r="S18" i="28"/>
  <c r="S52" i="28"/>
  <c r="S51" i="28"/>
  <c r="S50" i="28"/>
  <c r="S49" i="28"/>
  <c r="S48" i="28"/>
  <c r="S15" i="28"/>
  <c r="S14" i="28"/>
  <c r="S47" i="28"/>
  <c r="S53" i="28" l="1"/>
  <c r="S17" i="28"/>
  <c r="S66" i="28"/>
  <c r="S62" i="28"/>
  <c r="AA68" i="28" l="1"/>
  <c r="AA64" i="28"/>
  <c r="AA21" i="28"/>
  <c r="AA63" i="28"/>
  <c r="AA61" i="28"/>
  <c r="AA60" i="28"/>
  <c r="AA59" i="28"/>
  <c r="AA20" i="28"/>
  <c r="AA58" i="28"/>
  <c r="AA57" i="28"/>
  <c r="AA56" i="28"/>
  <c r="AA19" i="28"/>
  <c r="AA55" i="28"/>
  <c r="AA54" i="28"/>
  <c r="AA18" i="28"/>
  <c r="AA52" i="28"/>
  <c r="AA51" i="28"/>
  <c r="AA50" i="28"/>
  <c r="AA49" i="28"/>
  <c r="AA48" i="28"/>
  <c r="Y68" i="28"/>
  <c r="Y64" i="28"/>
  <c r="Y21" i="28"/>
  <c r="Y63" i="28"/>
  <c r="Y61" i="28"/>
  <c r="Y60" i="28"/>
  <c r="Y59" i="28"/>
  <c r="Y20" i="28"/>
  <c r="Y58" i="28"/>
  <c r="Y57" i="28"/>
  <c r="Y56" i="28"/>
  <c r="Y19" i="28"/>
  <c r="Y55" i="28"/>
  <c r="Y54" i="28"/>
  <c r="Y18" i="28"/>
  <c r="Y52" i="28"/>
  <c r="Y51" i="28"/>
  <c r="Y50" i="28"/>
  <c r="Y49" i="28"/>
  <c r="Y48" i="28"/>
  <c r="W68" i="28"/>
  <c r="W64" i="28"/>
  <c r="W21" i="28"/>
  <c r="W63" i="28"/>
  <c r="W61" i="28"/>
  <c r="W60" i="28"/>
  <c r="W59" i="28"/>
  <c r="W20" i="28"/>
  <c r="W58" i="28"/>
  <c r="W57" i="28"/>
  <c r="W56" i="28"/>
  <c r="W19" i="28"/>
  <c r="W55" i="28"/>
  <c r="W54" i="28"/>
  <c r="W18" i="28"/>
  <c r="W52" i="28"/>
  <c r="W51" i="28"/>
  <c r="W50" i="28"/>
  <c r="W49" i="28"/>
  <c r="W48" i="28"/>
  <c r="U68" i="28"/>
  <c r="U64" i="28"/>
  <c r="U21" i="28"/>
  <c r="U63" i="28"/>
  <c r="U61" i="28"/>
  <c r="U60" i="28"/>
  <c r="U59" i="28"/>
  <c r="U20" i="28"/>
  <c r="U58" i="28"/>
  <c r="U57" i="28"/>
  <c r="U56" i="28"/>
  <c r="U19" i="28"/>
  <c r="U55" i="28"/>
  <c r="U54" i="28"/>
  <c r="U18" i="28"/>
  <c r="U52" i="28"/>
  <c r="U51" i="28"/>
  <c r="U50" i="28"/>
  <c r="U49" i="28"/>
  <c r="U48" i="28"/>
  <c r="U15" i="28"/>
  <c r="U14" i="28"/>
  <c r="U47" i="28"/>
  <c r="O68" i="28"/>
  <c r="O64" i="28"/>
  <c r="O21" i="28"/>
  <c r="O63" i="28"/>
  <c r="O61" i="28"/>
  <c r="O60" i="28"/>
  <c r="O59" i="28"/>
  <c r="O20" i="28"/>
  <c r="O58" i="28"/>
  <c r="O57" i="28"/>
  <c r="O56" i="28"/>
  <c r="O19" i="28"/>
  <c r="O55" i="28"/>
  <c r="O54" i="28"/>
  <c r="O18" i="28"/>
  <c r="O52" i="28"/>
  <c r="O51" i="28"/>
  <c r="O50" i="28"/>
  <c r="O49" i="28"/>
  <c r="O48" i="28"/>
  <c r="O15" i="28"/>
  <c r="O14" i="28"/>
  <c r="O47" i="28"/>
  <c r="K68" i="28"/>
  <c r="K64" i="28"/>
  <c r="K21" i="28"/>
  <c r="K63" i="28"/>
  <c r="K61" i="28"/>
  <c r="K60" i="28"/>
  <c r="K59" i="28"/>
  <c r="K20" i="28"/>
  <c r="K58" i="28"/>
  <c r="K57" i="28"/>
  <c r="K56" i="28"/>
  <c r="K19" i="28"/>
  <c r="K55" i="28"/>
  <c r="K54" i="28"/>
  <c r="K18" i="28"/>
  <c r="K52" i="28"/>
  <c r="K51" i="28"/>
  <c r="K50" i="28"/>
  <c r="K49" i="28"/>
  <c r="K48" i="28"/>
  <c r="K15" i="28"/>
  <c r="K14" i="28"/>
  <c r="K47" i="28"/>
  <c r="B47" i="28" l="1"/>
  <c r="B59" i="28"/>
  <c r="B64" i="28"/>
  <c r="B56" i="28"/>
  <c r="B60" i="28"/>
  <c r="B49" i="28"/>
  <c r="B19" i="28"/>
  <c r="B52" i="28"/>
  <c r="B51" i="28"/>
  <c r="Y66" i="28"/>
  <c r="Y62" i="28"/>
  <c r="B61" i="28"/>
  <c r="B21" i="28"/>
  <c r="Y53" i="28"/>
  <c r="Y17" i="28"/>
  <c r="O66" i="28"/>
  <c r="O62" i="28"/>
  <c r="W53" i="28"/>
  <c r="W17" i="28"/>
  <c r="K53" i="28"/>
  <c r="K17" i="28"/>
  <c r="U53" i="28"/>
  <c r="U17" i="28"/>
  <c r="AA62" i="28"/>
  <c r="AA66" i="28"/>
  <c r="W66" i="28"/>
  <c r="W62" i="28"/>
  <c r="B14" i="28"/>
  <c r="B18" i="28"/>
  <c r="B68" i="28"/>
  <c r="K62" i="28"/>
  <c r="K66" i="28"/>
  <c r="U66" i="28"/>
  <c r="U62" i="28"/>
  <c r="B50" i="28"/>
  <c r="B54" i="28"/>
  <c r="B58" i="28"/>
  <c r="B63" i="28"/>
  <c r="O17" i="28"/>
  <c r="O53" i="28"/>
  <c r="B57" i="28"/>
  <c r="B15" i="28"/>
  <c r="B48" i="28"/>
  <c r="B55" i="28"/>
  <c r="B20" i="28"/>
  <c r="AA53" i="28"/>
  <c r="AA17" i="28"/>
  <c r="F13" i="18"/>
  <c r="B17" i="28" l="1"/>
  <c r="G23" i="18"/>
  <c r="B66" i="28"/>
  <c r="B53" i="28"/>
  <c r="F17" i="18"/>
  <c r="F19" i="18"/>
  <c r="B62" i="28"/>
  <c r="G17" i="18"/>
  <c r="F24" i="18"/>
  <c r="G24" i="18"/>
  <c r="G14" i="18"/>
  <c r="F21" i="18"/>
  <c r="F22" i="18"/>
  <c r="F23" i="18"/>
  <c r="F14" i="18"/>
  <c r="G15" i="18"/>
  <c r="G22" i="18"/>
  <c r="F25" i="18"/>
  <c r="F267" i="29"/>
  <c r="G16" i="18"/>
  <c r="G19" i="18"/>
  <c r="G21" i="18"/>
  <c r="F27" i="18"/>
  <c r="F16" i="18"/>
  <c r="F15" i="18"/>
  <c r="G155" i="3"/>
  <c r="G145" i="3"/>
  <c r="G135" i="3"/>
  <c r="H50" i="30" l="1"/>
  <c r="G25" i="18"/>
  <c r="O7" i="18"/>
  <c r="J7" i="18" s="1"/>
  <c r="H26" i="18" s="1"/>
  <c r="K20" i="1"/>
  <c r="L20" i="1"/>
  <c r="J20" i="1"/>
  <c r="K19" i="1"/>
  <c r="L19" i="1"/>
  <c r="J19" i="1"/>
  <c r="K18" i="1"/>
  <c r="L18" i="1"/>
  <c r="J18" i="1"/>
  <c r="H24" i="18" l="1"/>
  <c r="H25" i="18"/>
  <c r="H22" i="18"/>
  <c r="H23" i="18"/>
  <c r="H20" i="18"/>
  <c r="H21" i="18"/>
  <c r="H18" i="18"/>
  <c r="H19" i="18"/>
  <c r="H14" i="18"/>
  <c r="H17" i="18"/>
  <c r="H27" i="18"/>
  <c r="H16" i="18"/>
  <c r="H13" i="18"/>
  <c r="H15" i="18"/>
  <c r="M20" i="1"/>
  <c r="N20" i="1" s="1"/>
  <c r="M19" i="1"/>
  <c r="N19" i="1" s="1"/>
  <c r="M18" i="1"/>
  <c r="N18" i="1" s="1"/>
  <c r="F266" i="29" l="1"/>
  <c r="G136" i="3" l="1"/>
  <c r="H135" i="3" s="1"/>
  <c r="G146" i="3"/>
  <c r="H145" i="3" s="1"/>
  <c r="G156" i="3"/>
  <c r="H155" i="3" s="1"/>
  <c r="G125" i="3" l="1"/>
  <c r="G126" i="3" s="1"/>
  <c r="H125" i="3" s="1"/>
  <c r="G115" i="3"/>
  <c r="G116" i="3" s="1"/>
  <c r="H115" i="3" s="1"/>
  <c r="G105" i="3"/>
  <c r="G106" i="3" s="1"/>
  <c r="H105" i="3" s="1"/>
  <c r="G95" i="3"/>
  <c r="G96" i="3" s="1"/>
  <c r="H95" i="3" s="1"/>
  <c r="G85" i="3"/>
  <c r="G86" i="3" s="1"/>
  <c r="H85" i="3" s="1"/>
  <c r="G75" i="3"/>
  <c r="G76" i="3" s="1"/>
  <c r="H75" i="3" s="1"/>
  <c r="G65" i="3"/>
  <c r="G66" i="3" s="1"/>
  <c r="H65" i="3" s="1"/>
  <c r="G55" i="3"/>
  <c r="G56" i="3" s="1"/>
  <c r="H55" i="3" s="1"/>
  <c r="G45" i="3"/>
  <c r="G46" i="3" s="1"/>
  <c r="H45" i="3" s="1"/>
  <c r="G35" i="3"/>
  <c r="G36" i="3" s="1"/>
  <c r="H35" i="3" s="1"/>
  <c r="G25" i="3"/>
  <c r="G26" i="3" s="1"/>
  <c r="H25" i="3" s="1"/>
  <c r="J14" i="1" l="1"/>
  <c r="L6" i="1"/>
  <c r="L12" i="1"/>
  <c r="J6" i="1"/>
  <c r="K6" i="1"/>
  <c r="L14" i="1"/>
  <c r="J16" i="1"/>
  <c r="L16" i="1"/>
  <c r="K17" i="1"/>
  <c r="K16" i="1"/>
  <c r="K14" i="1"/>
  <c r="J17" i="1"/>
  <c r="J15" i="1"/>
  <c r="L17" i="1"/>
  <c r="J13" i="1"/>
  <c r="L13" i="1"/>
  <c r="K13" i="1"/>
  <c r="K12" i="1"/>
  <c r="J12" i="1"/>
  <c r="J11" i="1"/>
  <c r="L11" i="1"/>
  <c r="K11" i="1"/>
  <c r="L10" i="1"/>
  <c r="K10" i="1"/>
  <c r="M10" i="1" s="1"/>
  <c r="N10" i="1" s="1"/>
  <c r="J10" i="1"/>
  <c r="J9" i="1"/>
  <c r="L9" i="1"/>
  <c r="K9" i="1"/>
  <c r="K8" i="1"/>
  <c r="J8" i="1"/>
  <c r="L8" i="1"/>
  <c r="J7" i="1"/>
  <c r="L7" i="1"/>
  <c r="K7" i="1"/>
  <c r="M9" i="1" l="1"/>
  <c r="N9" i="1" s="1"/>
  <c r="M7" i="1"/>
  <c r="N7" i="1" s="1"/>
  <c r="M11" i="1"/>
  <c r="N11" i="1" s="1"/>
  <c r="M12" i="1"/>
  <c r="N12" i="1" s="1"/>
  <c r="M14" i="1"/>
  <c r="N14" i="1" s="1"/>
  <c r="M16" i="1"/>
  <c r="N16" i="1" s="1"/>
  <c r="M8" i="1"/>
  <c r="N8" i="1" s="1"/>
  <c r="M13" i="1"/>
  <c r="N13" i="1" s="1"/>
  <c r="M17" i="1"/>
  <c r="N17" i="1" s="1"/>
  <c r="M6" i="1"/>
  <c r="N6" i="1" s="1"/>
  <c r="O6" i="18" l="1"/>
  <c r="A3" i="18" l="1"/>
  <c r="A1" i="18"/>
  <c r="A2" i="18"/>
  <c r="B2" i="22" l="1"/>
  <c r="G15" i="3" l="1"/>
  <c r="G16" i="3" l="1"/>
  <c r="H15" i="3" s="1"/>
  <c r="B5" i="28" l="1"/>
  <c r="H213" i="28" l="1"/>
  <c r="H187" i="28"/>
  <c r="D177" i="28"/>
  <c r="H220" i="28"/>
  <c r="D182" i="28"/>
  <c r="F182" i="28"/>
  <c r="D213" i="28"/>
  <c r="J186" i="28"/>
  <c r="J177" i="28"/>
  <c r="D220" i="28"/>
  <c r="J180" i="28"/>
  <c r="F203" i="28"/>
  <c r="H177" i="28"/>
  <c r="F188" i="28"/>
  <c r="J213" i="28"/>
  <c r="H186" i="28"/>
  <c r="J197" i="28"/>
  <c r="J220" i="28"/>
  <c r="H180" i="28"/>
  <c r="F180" i="28"/>
  <c r="F194" i="28"/>
  <c r="D187" i="28"/>
  <c r="F197" i="28"/>
  <c r="H190" i="28"/>
  <c r="D186" i="28"/>
  <c r="D197" i="28"/>
  <c r="H188" i="28"/>
  <c r="D180" i="28"/>
  <c r="F220" i="28"/>
  <c r="F213" i="28"/>
  <c r="F202" i="28"/>
  <c r="F186" i="28"/>
  <c r="F184" i="28"/>
  <c r="D190" i="28"/>
  <c r="D202" i="28"/>
  <c r="H197" i="28"/>
  <c r="J188" i="28"/>
  <c r="F205" i="28"/>
  <c r="F190" i="28"/>
  <c r="F216" i="28"/>
  <c r="J182" i="28"/>
  <c r="J190" i="28"/>
  <c r="J202" i="28"/>
  <c r="D188" i="28"/>
  <c r="F198" i="28"/>
  <c r="F196" i="28"/>
  <c r="F195" i="28"/>
  <c r="F187" i="28"/>
  <c r="J187" i="28"/>
  <c r="H202" i="28"/>
  <c r="H182" i="28"/>
  <c r="F191" i="28"/>
  <c r="F201" i="28"/>
  <c r="F208" i="28"/>
  <c r="F177" i="28"/>
  <c r="F185" i="28"/>
  <c r="F192" i="28"/>
  <c r="J200" i="28"/>
  <c r="D183" i="28"/>
  <c r="D205" i="28"/>
  <c r="J211" i="28"/>
  <c r="H206" i="28"/>
  <c r="D196" i="28"/>
  <c r="D219" i="28"/>
  <c r="F207" i="28"/>
  <c r="F219" i="28"/>
  <c r="F179" i="28"/>
  <c r="H209" i="28"/>
  <c r="H208" i="28"/>
  <c r="J217" i="28"/>
  <c r="D216" i="28"/>
  <c r="J178" i="28"/>
  <c r="H217" i="28"/>
  <c r="H201" i="28"/>
  <c r="F199" i="28"/>
  <c r="F215" i="28"/>
  <c r="H200" i="28"/>
  <c r="H191" i="28"/>
  <c r="J205" i="28"/>
  <c r="H211" i="28"/>
  <c r="F206" i="28"/>
  <c r="H192" i="28"/>
  <c r="J196" i="28"/>
  <c r="F214" i="28"/>
  <c r="J193" i="28"/>
  <c r="J218" i="28"/>
  <c r="D179" i="28"/>
  <c r="F221" i="28"/>
  <c r="D208" i="28"/>
  <c r="F200" i="28"/>
  <c r="H216" i="28"/>
  <c r="F217" i="28"/>
  <c r="H214" i="28"/>
  <c r="D200" i="28"/>
  <c r="D191" i="28"/>
  <c r="J189" i="28"/>
  <c r="D211" i="28"/>
  <c r="D192" i="28"/>
  <c r="J207" i="28"/>
  <c r="J198" i="28"/>
  <c r="H193" i="28"/>
  <c r="H218" i="28"/>
  <c r="H179" i="28"/>
  <c r="F218" i="28"/>
  <c r="F193" i="28"/>
  <c r="H178" i="28"/>
  <c r="F181" i="28"/>
  <c r="D217" i="28"/>
  <c r="D185" i="28"/>
  <c r="H205" i="28"/>
  <c r="J219" i="28"/>
  <c r="D209" i="28"/>
  <c r="F209" i="28"/>
  <c r="D214" i="28"/>
  <c r="J191" i="28"/>
  <c r="H189" i="28"/>
  <c r="J192" i="28"/>
  <c r="H207" i="28"/>
  <c r="H198" i="28"/>
  <c r="D193" i="28"/>
  <c r="D218" i="28"/>
  <c r="J179" i="28"/>
  <c r="J212" i="28"/>
  <c r="J204" i="28"/>
  <c r="D178" i="28"/>
  <c r="F211" i="28"/>
  <c r="J185" i="28"/>
  <c r="H194" i="28"/>
  <c r="H185" i="28"/>
  <c r="H196" i="28"/>
  <c r="J214" i="28"/>
  <c r="J210" i="28"/>
  <c r="D189" i="28"/>
  <c r="J181" i="28"/>
  <c r="D207" i="28"/>
  <c r="D198" i="28"/>
  <c r="J203" i="28"/>
  <c r="J215" i="28"/>
  <c r="H212" i="28"/>
  <c r="H221" i="28"/>
  <c r="H204" i="28"/>
  <c r="F204" i="28"/>
  <c r="D206" i="28"/>
  <c r="H199" i="28"/>
  <c r="H195" i="28"/>
  <c r="F212" i="28"/>
  <c r="D210" i="28"/>
  <c r="J184" i="28"/>
  <c r="J201" i="28"/>
  <c r="H181" i="28"/>
  <c r="F183" i="28"/>
  <c r="F210" i="28"/>
  <c r="H203" i="28"/>
  <c r="H215" i="28"/>
  <c r="J199" i="28"/>
  <c r="D212" i="28"/>
  <c r="D221" i="28"/>
  <c r="D204" i="28"/>
  <c r="J194" i="28"/>
  <c r="D195" i="28"/>
  <c r="D184" i="28"/>
  <c r="F178" i="28"/>
  <c r="J183" i="28"/>
  <c r="H210" i="28"/>
  <c r="H184" i="28"/>
  <c r="J206" i="28"/>
  <c r="D201" i="28"/>
  <c r="D181" i="28"/>
  <c r="H219" i="28"/>
  <c r="D203" i="28"/>
  <c r="D215" i="28"/>
  <c r="D199" i="28"/>
  <c r="J221" i="28"/>
  <c r="J209" i="28"/>
  <c r="D194" i="28"/>
  <c r="J195" i="28"/>
  <c r="J216" i="28"/>
  <c r="H183" i="28"/>
  <c r="F189" i="28"/>
  <c r="J208" i="28"/>
  <c r="D150" i="28"/>
  <c r="J133" i="28"/>
  <c r="H145" i="28"/>
  <c r="F134" i="28"/>
  <c r="J150" i="28"/>
  <c r="H152" i="28"/>
  <c r="J145" i="28"/>
  <c r="F152" i="28"/>
  <c r="H150" i="28"/>
  <c r="J152" i="28"/>
  <c r="F140" i="28"/>
  <c r="F150" i="28"/>
  <c r="F136" i="28"/>
  <c r="H142" i="28"/>
  <c r="D152" i="28"/>
  <c r="F139" i="28"/>
  <c r="F138" i="28"/>
  <c r="F142" i="28"/>
  <c r="F145" i="28"/>
  <c r="H134" i="28"/>
  <c r="D142" i="28"/>
  <c r="D136" i="28"/>
  <c r="F133" i="28"/>
  <c r="H137" i="28"/>
  <c r="D145" i="28"/>
  <c r="F135" i="28"/>
  <c r="D134" i="28"/>
  <c r="J142" i="28"/>
  <c r="H136" i="28"/>
  <c r="D137" i="28"/>
  <c r="F137" i="28"/>
  <c r="D133" i="28"/>
  <c r="J134" i="28"/>
  <c r="H133" i="28"/>
  <c r="J136" i="28"/>
  <c r="J137" i="28"/>
  <c r="J132" i="28"/>
  <c r="D151" i="28"/>
  <c r="J149" i="28"/>
  <c r="D148" i="28"/>
  <c r="J140" i="28"/>
  <c r="H135" i="28"/>
  <c r="H132" i="28"/>
  <c r="J151" i="28"/>
  <c r="J144" i="28"/>
  <c r="J148" i="28"/>
  <c r="J146" i="28"/>
  <c r="H140" i="28"/>
  <c r="H146" i="28"/>
  <c r="F146" i="28"/>
  <c r="J138" i="28"/>
  <c r="H151" i="28"/>
  <c r="D144" i="28"/>
  <c r="F132" i="28"/>
  <c r="D146" i="28"/>
  <c r="F147" i="28"/>
  <c r="F144" i="28"/>
  <c r="J147" i="28"/>
  <c r="F141" i="28"/>
  <c r="H138" i="28"/>
  <c r="H144" i="28"/>
  <c r="F149" i="28"/>
  <c r="F151" i="28"/>
  <c r="J143" i="28"/>
  <c r="D138" i="28"/>
  <c r="D147" i="28"/>
  <c r="F148" i="28"/>
  <c r="H139" i="28"/>
  <c r="H143" i="28"/>
  <c r="J141" i="28"/>
  <c r="D143" i="28"/>
  <c r="J135" i="28"/>
  <c r="D149" i="28"/>
  <c r="H147" i="28"/>
  <c r="F143" i="28"/>
  <c r="D141" i="28"/>
  <c r="D139" i="28"/>
  <c r="D132" i="28"/>
  <c r="D135" i="28"/>
  <c r="H149" i="28"/>
  <c r="H148" i="28"/>
  <c r="H141" i="28"/>
  <c r="D140" i="28"/>
  <c r="J139" i="28"/>
  <c r="J156" i="28"/>
  <c r="J160" i="28"/>
  <c r="H162" i="28"/>
  <c r="F164" i="28"/>
  <c r="D156" i="28"/>
  <c r="D159" i="28"/>
  <c r="J162" i="28"/>
  <c r="F160" i="28"/>
  <c r="F172" i="28"/>
  <c r="F155" i="28"/>
  <c r="H156" i="28"/>
  <c r="H159" i="28"/>
  <c r="D158" i="28"/>
  <c r="F156" i="28"/>
  <c r="F162" i="28"/>
  <c r="D164" i="28"/>
  <c r="J159" i="28"/>
  <c r="H158" i="28"/>
  <c r="F169" i="28"/>
  <c r="F165" i="28"/>
  <c r="F158" i="28"/>
  <c r="H164" i="28"/>
  <c r="H172" i="28"/>
  <c r="J158" i="28"/>
  <c r="D162" i="28"/>
  <c r="F154" i="28"/>
  <c r="J164" i="28"/>
  <c r="D172" i="28"/>
  <c r="F159" i="28"/>
  <c r="H160" i="28"/>
  <c r="F167" i="28"/>
  <c r="D160" i="28"/>
  <c r="J172" i="28"/>
  <c r="F170" i="28"/>
  <c r="F168" i="28"/>
  <c r="H163" i="28"/>
  <c r="D153" i="28"/>
  <c r="F163" i="28"/>
  <c r="F166" i="28"/>
  <c r="F171" i="28"/>
  <c r="D167" i="28"/>
  <c r="H153" i="28"/>
  <c r="J165" i="28"/>
  <c r="J170" i="28"/>
  <c r="F157" i="28"/>
  <c r="J157" i="28"/>
  <c r="F161" i="28"/>
  <c r="H167" i="28"/>
  <c r="H171" i="28"/>
  <c r="H161" i="28"/>
  <c r="D165" i="28"/>
  <c r="D170" i="28"/>
  <c r="D155" i="28"/>
  <c r="J169" i="28"/>
  <c r="H170" i="28"/>
  <c r="H154" i="28"/>
  <c r="J167" i="28"/>
  <c r="D171" i="28"/>
  <c r="D161" i="28"/>
  <c r="H165" i="28"/>
  <c r="H155" i="28"/>
  <c r="J154" i="28"/>
  <c r="J168" i="28"/>
  <c r="J171" i="28"/>
  <c r="J161" i="28"/>
  <c r="H157" i="28"/>
  <c r="D154" i="28"/>
  <c r="H168" i="28"/>
  <c r="H166" i="28"/>
  <c r="D169" i="28"/>
  <c r="J155" i="28"/>
  <c r="D163" i="28"/>
  <c r="D168" i="28"/>
  <c r="J166" i="28"/>
  <c r="H169" i="28"/>
  <c r="D157" i="28"/>
  <c r="J163" i="28"/>
  <c r="J153" i="28"/>
  <c r="D166" i="28"/>
  <c r="F153" i="28"/>
  <c r="D173" i="28"/>
  <c r="H173" i="28"/>
  <c r="J173" i="28"/>
  <c r="F173" i="28"/>
  <c r="H174" i="28"/>
  <c r="D174" i="28"/>
  <c r="J174" i="28"/>
  <c r="F174" i="28"/>
  <c r="J175" i="28"/>
  <c r="F175" i="28"/>
  <c r="H175" i="28"/>
  <c r="D175" i="28"/>
  <c r="J176" i="28"/>
  <c r="H176" i="28"/>
  <c r="F176" i="28"/>
  <c r="D176" i="28"/>
  <c r="H87" i="28"/>
  <c r="F87" i="28"/>
  <c r="D87" i="28"/>
  <c r="J87" i="28"/>
  <c r="H91" i="28"/>
  <c r="J95" i="28"/>
  <c r="D91" i="28"/>
  <c r="F109" i="28"/>
  <c r="F112" i="28"/>
  <c r="F97" i="28"/>
  <c r="J91" i="28"/>
  <c r="H90" i="28"/>
  <c r="F90" i="28"/>
  <c r="F102" i="28"/>
  <c r="F108" i="28"/>
  <c r="J97" i="28"/>
  <c r="D90" i="28"/>
  <c r="F104" i="28"/>
  <c r="F95" i="28"/>
  <c r="H95" i="28"/>
  <c r="F99" i="28"/>
  <c r="J102" i="28"/>
  <c r="J90" i="28"/>
  <c r="H97" i="28"/>
  <c r="F100" i="28"/>
  <c r="F98" i="28"/>
  <c r="D102" i="28"/>
  <c r="H99" i="28"/>
  <c r="D97" i="28"/>
  <c r="H102" i="28"/>
  <c r="J99" i="28"/>
  <c r="D99" i="28"/>
  <c r="D95" i="28"/>
  <c r="F92" i="28"/>
  <c r="F96" i="28"/>
  <c r="F94" i="28"/>
  <c r="F89" i="28"/>
  <c r="F91" i="28"/>
  <c r="F113" i="28"/>
  <c r="F88" i="28"/>
  <c r="D107" i="28"/>
  <c r="H100" i="28"/>
  <c r="J110" i="28"/>
  <c r="J93" i="28"/>
  <c r="D104" i="28"/>
  <c r="F107" i="28"/>
  <c r="J108" i="28"/>
  <c r="J98" i="28"/>
  <c r="J89" i="28"/>
  <c r="H92" i="28"/>
  <c r="D106" i="28"/>
  <c r="F101" i="28"/>
  <c r="F93" i="28"/>
  <c r="H98" i="28"/>
  <c r="H101" i="28"/>
  <c r="H107" i="28"/>
  <c r="D110" i="28"/>
  <c r="D105" i="28"/>
  <c r="F105" i="28"/>
  <c r="D108" i="28"/>
  <c r="D89" i="28"/>
  <c r="D92" i="28"/>
  <c r="H94" i="28"/>
  <c r="H108" i="28"/>
  <c r="F114" i="28"/>
  <c r="D101" i="28"/>
  <c r="H110" i="28"/>
  <c r="J105" i="28"/>
  <c r="H112" i="28"/>
  <c r="D100" i="28"/>
  <c r="F110" i="28"/>
  <c r="J101" i="28"/>
  <c r="J111" i="28"/>
  <c r="D88" i="28"/>
  <c r="H105" i="28"/>
  <c r="J106" i="28"/>
  <c r="D112" i="28"/>
  <c r="D96" i="28"/>
  <c r="J92" i="28"/>
  <c r="F115" i="28"/>
  <c r="H113" i="28"/>
  <c r="J113" i="28"/>
  <c r="J107" i="28"/>
  <c r="H114" i="28"/>
  <c r="F106" i="28"/>
  <c r="J115" i="28"/>
  <c r="H111" i="28"/>
  <c r="H88" i="28"/>
  <c r="J103" i="28"/>
  <c r="H106" i="28"/>
  <c r="J112" i="28"/>
  <c r="J96" i="28"/>
  <c r="H96" i="28"/>
  <c r="D93" i="28"/>
  <c r="H89" i="28"/>
  <c r="H115" i="28"/>
  <c r="H109" i="28"/>
  <c r="D111" i="28"/>
  <c r="J94" i="28"/>
  <c r="J88" i="28"/>
  <c r="D103" i="28"/>
  <c r="F111" i="28"/>
  <c r="J114" i="28"/>
  <c r="D113" i="28"/>
  <c r="H104" i="28"/>
  <c r="F103" i="28"/>
  <c r="D115" i="28"/>
  <c r="D109" i="28"/>
  <c r="D94" i="28"/>
  <c r="J100" i="28"/>
  <c r="H93" i="28"/>
  <c r="H103" i="28"/>
  <c r="J104" i="28"/>
  <c r="D114" i="28"/>
  <c r="D98" i="28"/>
  <c r="J109" i="28"/>
  <c r="H118" i="28"/>
  <c r="D116" i="28"/>
  <c r="H116" i="28"/>
  <c r="J118" i="28"/>
  <c r="F116" i="28"/>
  <c r="D118" i="28"/>
  <c r="H117" i="28"/>
  <c r="F118" i="28"/>
  <c r="D117" i="28"/>
  <c r="F117" i="28"/>
  <c r="J117" i="28"/>
  <c r="J116" i="28"/>
  <c r="J119" i="28"/>
  <c r="H119" i="28"/>
  <c r="D119" i="28"/>
  <c r="F119" i="28"/>
  <c r="F120" i="28"/>
  <c r="H120" i="28"/>
  <c r="D120" i="28"/>
  <c r="J120" i="28"/>
  <c r="F121" i="28"/>
  <c r="D122" i="28"/>
  <c r="H121" i="28"/>
  <c r="H122" i="28"/>
  <c r="J121" i="28"/>
  <c r="J122" i="28"/>
  <c r="F122" i="28"/>
  <c r="D121" i="28"/>
  <c r="H124" i="28"/>
  <c r="D124" i="28"/>
  <c r="J124" i="28"/>
  <c r="F124" i="28"/>
  <c r="F125" i="28"/>
  <c r="D125" i="28"/>
  <c r="J123" i="28"/>
  <c r="F123" i="28"/>
  <c r="D123" i="28"/>
  <c r="J125" i="28"/>
  <c r="H125" i="28"/>
  <c r="H123" i="28"/>
  <c r="J126" i="28"/>
  <c r="H126" i="28"/>
  <c r="F126" i="28"/>
  <c r="D126" i="28"/>
  <c r="J129" i="28"/>
  <c r="H129" i="28"/>
  <c r="D129" i="28"/>
  <c r="D128" i="28"/>
  <c r="H128" i="28"/>
  <c r="J128" i="28"/>
  <c r="F129" i="28"/>
  <c r="F128" i="28"/>
  <c r="H127" i="28"/>
  <c r="D127" i="28"/>
  <c r="F127" i="28"/>
  <c r="J127" i="28"/>
  <c r="D130" i="28"/>
  <c r="J130" i="28"/>
  <c r="H130" i="28"/>
  <c r="F130" i="28"/>
  <c r="H131" i="28"/>
  <c r="J131" i="28"/>
  <c r="D131" i="28"/>
  <c r="F131" i="28"/>
  <c r="J82" i="28"/>
  <c r="J81" i="28"/>
  <c r="J79" i="28"/>
  <c r="J83" i="28"/>
  <c r="J80" i="28"/>
  <c r="J86" i="28"/>
  <c r="J78" i="28"/>
  <c r="J85" i="28"/>
  <c r="J76" i="28"/>
  <c r="J77" i="28"/>
  <c r="J73" i="28"/>
  <c r="J84" i="28"/>
  <c r="J74" i="28"/>
  <c r="J75" i="28"/>
  <c r="H82" i="28"/>
  <c r="H81" i="28"/>
  <c r="H85" i="28"/>
  <c r="H83" i="28"/>
  <c r="H76" i="28"/>
  <c r="H84" i="28"/>
  <c r="H73" i="28"/>
  <c r="H79" i="28"/>
  <c r="H86" i="28"/>
  <c r="H74" i="28"/>
  <c r="H75" i="28"/>
  <c r="H78" i="28"/>
  <c r="H80" i="28"/>
  <c r="H77" i="28"/>
  <c r="F81" i="28"/>
  <c r="F82" i="28"/>
  <c r="F83" i="28"/>
  <c r="F75" i="28"/>
  <c r="F78" i="28"/>
  <c r="F84" i="28"/>
  <c r="F85" i="28"/>
  <c r="F74" i="28"/>
  <c r="F77" i="28"/>
  <c r="F86" i="28"/>
  <c r="F79" i="28"/>
  <c r="F80" i="28"/>
  <c r="F73" i="28"/>
  <c r="F76" i="28"/>
  <c r="D81" i="28"/>
  <c r="D83" i="28"/>
  <c r="D82" i="28"/>
  <c r="D76" i="28"/>
  <c r="D79" i="28"/>
  <c r="D85" i="28"/>
  <c r="D80" i="28"/>
  <c r="D84" i="28"/>
  <c r="D74" i="28"/>
  <c r="D77" i="28"/>
  <c r="D78" i="28"/>
  <c r="D75" i="28"/>
  <c r="D86" i="28"/>
  <c r="D73" i="28"/>
  <c r="J71" i="28"/>
  <c r="H71" i="28"/>
  <c r="F71" i="28"/>
  <c r="D71" i="28"/>
  <c r="F72" i="28"/>
  <c r="H72" i="28"/>
  <c r="D72" i="28"/>
  <c r="J72" i="28"/>
  <c r="F70" i="28"/>
  <c r="J69" i="28"/>
  <c r="H69" i="28"/>
  <c r="F69" i="28"/>
  <c r="D69" i="28"/>
  <c r="D70" i="28"/>
  <c r="J70" i="28"/>
  <c r="H70" i="28"/>
  <c r="Z56" i="28"/>
  <c r="D56" i="28"/>
  <c r="J67" i="28"/>
  <c r="V48" i="28"/>
  <c r="AB48" i="28"/>
  <c r="H54" i="28"/>
  <c r="D54" i="28"/>
  <c r="J49" i="28"/>
  <c r="H49" i="28"/>
  <c r="H62" i="28"/>
  <c r="D65" i="28"/>
  <c r="D66" i="28"/>
  <c r="X66" i="28"/>
  <c r="L57" i="28"/>
  <c r="D57" i="28"/>
  <c r="J57" i="28"/>
  <c r="T47" i="28"/>
  <c r="Z47" i="28"/>
  <c r="X55" i="28"/>
  <c r="L55" i="28"/>
  <c r="F55" i="28"/>
  <c r="Z58" i="28"/>
  <c r="T63" i="28"/>
  <c r="P63" i="28"/>
  <c r="Z61" i="28"/>
  <c r="D61" i="28"/>
  <c r="P61" i="28"/>
  <c r="V59" i="28"/>
  <c r="J59" i="28"/>
  <c r="V53" i="28"/>
  <c r="Z51" i="28"/>
  <c r="AB51" i="28"/>
  <c r="Z52" i="28"/>
  <c r="D52" i="28"/>
  <c r="X64" i="28"/>
  <c r="D64" i="28"/>
  <c r="H50" i="28"/>
  <c r="V68" i="28"/>
  <c r="H68" i="28"/>
  <c r="Z65" i="28"/>
  <c r="F66" i="28"/>
  <c r="J47" i="28"/>
  <c r="X56" i="28"/>
  <c r="AB56" i="28"/>
  <c r="D67" i="28"/>
  <c r="J48" i="28"/>
  <c r="T48" i="28"/>
  <c r="AB54" i="28"/>
  <c r="Z54" i="28"/>
  <c r="L49" i="28"/>
  <c r="D49" i="28"/>
  <c r="X49" i="28"/>
  <c r="D62" i="28"/>
  <c r="J65" i="28"/>
  <c r="H66" i="28"/>
  <c r="V57" i="28"/>
  <c r="X57" i="28"/>
  <c r="H57" i="28"/>
  <c r="AB47" i="28"/>
  <c r="V47" i="28"/>
  <c r="V55" i="28"/>
  <c r="H55" i="28"/>
  <c r="F58" i="28"/>
  <c r="D63" i="28"/>
  <c r="J63" i="28"/>
  <c r="V61" i="28"/>
  <c r="AB61" i="28"/>
  <c r="L61" i="28"/>
  <c r="H59" i="28"/>
  <c r="H53" i="28"/>
  <c r="L53" i="28"/>
  <c r="V51" i="28"/>
  <c r="J51" i="28"/>
  <c r="AB52" i="28"/>
  <c r="V64" i="28"/>
  <c r="Z64" i="28"/>
  <c r="J50" i="28"/>
  <c r="F68" i="28"/>
  <c r="H56" i="28"/>
  <c r="X67" i="28"/>
  <c r="Z67" i="28"/>
  <c r="F48" i="28"/>
  <c r="X48" i="28"/>
  <c r="T54" i="28"/>
  <c r="J54" i="28"/>
  <c r="AB49" i="28"/>
  <c r="F49" i="28"/>
  <c r="P49" i="28"/>
  <c r="F62" i="28"/>
  <c r="X65" i="28"/>
  <c r="AB57" i="28"/>
  <c r="P57" i="28"/>
  <c r="F56" i="28"/>
  <c r="L48" i="28"/>
  <c r="Z49" i="28"/>
  <c r="H65" i="28"/>
  <c r="L47" i="28"/>
  <c r="Z60" i="28"/>
  <c r="D55" i="28"/>
  <c r="H58" i="28"/>
  <c r="X63" i="28"/>
  <c r="F61" i="28"/>
  <c r="L59" i="28"/>
  <c r="D53" i="28"/>
  <c r="H51" i="28"/>
  <c r="H52" i="28"/>
  <c r="AB50" i="28"/>
  <c r="J68" i="28"/>
  <c r="L64" i="28"/>
  <c r="D50" i="28"/>
  <c r="D48" i="28"/>
  <c r="T49" i="28"/>
  <c r="F57" i="28"/>
  <c r="L58" i="28"/>
  <c r="J61" i="28"/>
  <c r="D51" i="28"/>
  <c r="AB68" i="28"/>
  <c r="H67" i="28"/>
  <c r="P54" i="28"/>
  <c r="X62" i="28"/>
  <c r="F47" i="28"/>
  <c r="Z55" i="28"/>
  <c r="D58" i="28"/>
  <c r="AB63" i="28"/>
  <c r="T61" i="28"/>
  <c r="D59" i="28"/>
  <c r="Z53" i="28"/>
  <c r="H64" i="28"/>
  <c r="Z50" i="28"/>
  <c r="D68" i="28"/>
  <c r="Z48" i="28"/>
  <c r="L54" i="28"/>
  <c r="J62" i="28"/>
  <c r="T57" i="28"/>
  <c r="H47" i="28"/>
  <c r="J55" i="28"/>
  <c r="V58" i="28"/>
  <c r="H63" i="28"/>
  <c r="H61" i="28"/>
  <c r="F59" i="28"/>
  <c r="J53" i="28"/>
  <c r="J52" i="28"/>
  <c r="Z68" i="28"/>
  <c r="J66" i="28"/>
  <c r="L60" i="28"/>
  <c r="AB55" i="28"/>
  <c r="Z63" i="28"/>
  <c r="Z59" i="28"/>
  <c r="X53" i="28"/>
  <c r="V52" i="28"/>
  <c r="J64" i="28"/>
  <c r="V67" i="28"/>
  <c r="P48" i="28"/>
  <c r="X54" i="28"/>
  <c r="V54" i="28"/>
  <c r="L62" i="28"/>
  <c r="V62" i="28"/>
  <c r="F65" i="28"/>
  <c r="D47" i="28"/>
  <c r="P60" i="28"/>
  <c r="D60" i="28"/>
  <c r="T58" i="28"/>
  <c r="P58" i="28"/>
  <c r="J58" i="28"/>
  <c r="L63" i="28"/>
  <c r="V63" i="28"/>
  <c r="X61" i="28"/>
  <c r="T59" i="28"/>
  <c r="AB53" i="28"/>
  <c r="T53" i="28"/>
  <c r="P51" i="28"/>
  <c r="T52" i="28"/>
  <c r="P50" i="28"/>
  <c r="P68" i="28"/>
  <c r="L68" i="28"/>
  <c r="AB65" i="28"/>
  <c r="T66" i="28"/>
  <c r="X47" i="28"/>
  <c r="X60" i="28"/>
  <c r="AB59" i="28"/>
  <c r="F53" i="28"/>
  <c r="F51" i="28"/>
  <c r="L50" i="28"/>
  <c r="V56" i="28"/>
  <c r="L56" i="28"/>
  <c r="T67" i="28"/>
  <c r="P67" i="28"/>
  <c r="F54" i="28"/>
  <c r="Z62" i="28"/>
  <c r="T62" i="28"/>
  <c r="T65" i="28"/>
  <c r="V65" i="28"/>
  <c r="V66" i="28"/>
  <c r="L66" i="28"/>
  <c r="T60" i="28"/>
  <c r="F60" i="28"/>
  <c r="P55" i="28"/>
  <c r="F63" i="28"/>
  <c r="X51" i="28"/>
  <c r="P52" i="28"/>
  <c r="F52" i="28"/>
  <c r="AB64" i="28"/>
  <c r="F64" i="28"/>
  <c r="X50" i="28"/>
  <c r="V50" i="28"/>
  <c r="F50" i="28"/>
  <c r="X68" i="28"/>
  <c r="J56" i="28"/>
  <c r="AB67" i="28"/>
  <c r="V49" i="28"/>
  <c r="P65" i="28"/>
  <c r="J60" i="28"/>
  <c r="T55" i="28"/>
  <c r="X59" i="28"/>
  <c r="L52" i="28"/>
  <c r="P56" i="28"/>
  <c r="T56" i="28"/>
  <c r="L67" i="28"/>
  <c r="F67" i="28"/>
  <c r="H48" i="28"/>
  <c r="P62" i="28"/>
  <c r="AB62" i="28"/>
  <c r="AB66" i="28"/>
  <c r="P66" i="28"/>
  <c r="V60" i="28"/>
  <c r="AB60" i="28"/>
  <c r="AB58" i="28"/>
  <c r="P59" i="28"/>
  <c r="P53" i="28"/>
  <c r="L51" i="28"/>
  <c r="X52" i="28"/>
  <c r="P64" i="28"/>
  <c r="T50" i="28"/>
  <c r="L65" i="28"/>
  <c r="Z66" i="28"/>
  <c r="Z57" i="28"/>
  <c r="P47" i="28"/>
  <c r="H60" i="28"/>
  <c r="X58" i="28"/>
  <c r="T51" i="28"/>
  <c r="T64" i="28"/>
  <c r="T68" i="28"/>
  <c r="J27" i="18"/>
  <c r="AA10" i="28" l="1"/>
  <c r="Y10" i="28"/>
  <c r="U10" i="28"/>
  <c r="J22" i="18" s="1"/>
  <c r="W10" i="28"/>
  <c r="J23" i="18" s="1"/>
  <c r="S10" i="28"/>
  <c r="J21" i="18" s="1"/>
  <c r="Q10" i="28"/>
  <c r="J20" i="18" s="1"/>
  <c r="O10" i="28"/>
  <c r="J19" i="18" s="1"/>
  <c r="M10" i="28"/>
  <c r="J18" i="18" s="1"/>
  <c r="K10" i="28"/>
  <c r="J17" i="18" s="1"/>
  <c r="I10" i="28"/>
  <c r="J16" i="18" s="1"/>
  <c r="G10" i="28"/>
  <c r="J15" i="18" s="1"/>
  <c r="C10" i="28"/>
  <c r="J13" i="18" s="1"/>
  <c r="E10" i="28"/>
  <c r="J14" i="18" s="1"/>
  <c r="AC11" i="28"/>
  <c r="AE11" i="28"/>
  <c r="J24" i="18" l="1"/>
  <c r="J25" i="18"/>
  <c r="B4" i="28"/>
  <c r="I27" i="18"/>
  <c r="J29" i="28" l="1"/>
  <c r="J44" i="28"/>
  <c r="J42" i="28"/>
  <c r="J31" i="28"/>
  <c r="J39" i="28"/>
  <c r="J35" i="28"/>
  <c r="J28" i="28"/>
  <c r="J40" i="28"/>
  <c r="J43" i="28"/>
  <c r="J26" i="28"/>
  <c r="J38" i="28"/>
  <c r="J34" i="28"/>
  <c r="J27" i="28"/>
  <c r="J32" i="28"/>
  <c r="J37" i="28"/>
  <c r="J41" i="28"/>
  <c r="J36" i="28"/>
  <c r="J33" i="28"/>
  <c r="J30" i="28"/>
  <c r="H26" i="28"/>
  <c r="H40" i="28"/>
  <c r="H42" i="28"/>
  <c r="H29" i="28"/>
  <c r="H32" i="28"/>
  <c r="H28" i="28"/>
  <c r="H38" i="28"/>
  <c r="H34" i="28"/>
  <c r="H35" i="28"/>
  <c r="H27" i="28"/>
  <c r="H39" i="28"/>
  <c r="H31" i="28"/>
  <c r="H43" i="28"/>
  <c r="H41" i="28"/>
  <c r="H30" i="28"/>
  <c r="H44" i="28"/>
  <c r="H33" i="28"/>
  <c r="H36" i="28"/>
  <c r="H37" i="28"/>
  <c r="F31" i="28"/>
  <c r="F35" i="28"/>
  <c r="F32" i="28"/>
  <c r="F36" i="28"/>
  <c r="F43" i="28"/>
  <c r="F33" i="28"/>
  <c r="F39" i="28"/>
  <c r="F44" i="28"/>
  <c r="F26" i="28"/>
  <c r="F38" i="28"/>
  <c r="F27" i="28"/>
  <c r="F41" i="28"/>
  <c r="F37" i="28"/>
  <c r="F28" i="28"/>
  <c r="F30" i="28"/>
  <c r="F40" i="28"/>
  <c r="F29" i="28"/>
  <c r="F34" i="28"/>
  <c r="F42" i="28"/>
  <c r="D43" i="28"/>
  <c r="D35" i="28"/>
  <c r="D36" i="28"/>
  <c r="D30" i="28"/>
  <c r="D42" i="28"/>
  <c r="D38" i="28"/>
  <c r="D26" i="28"/>
  <c r="D44" i="28"/>
  <c r="D27" i="28"/>
  <c r="D37" i="28"/>
  <c r="D41" i="28"/>
  <c r="D28" i="28"/>
  <c r="D33" i="28"/>
  <c r="D31" i="28"/>
  <c r="D39" i="28"/>
  <c r="D40" i="28"/>
  <c r="D34" i="28"/>
  <c r="D29" i="28"/>
  <c r="D32" i="28"/>
  <c r="J25" i="28"/>
  <c r="D25" i="28"/>
  <c r="H25" i="28"/>
  <c r="F25" i="28"/>
  <c r="J24" i="28"/>
  <c r="H24" i="28"/>
  <c r="D24" i="28"/>
  <c r="F24" i="28"/>
  <c r="H23" i="28"/>
  <c r="D23" i="28"/>
  <c r="J23" i="28"/>
  <c r="F23" i="28"/>
  <c r="D22" i="28"/>
  <c r="H22" i="28"/>
  <c r="J22" i="28"/>
  <c r="F22" i="28"/>
  <c r="AB18" i="28"/>
  <c r="AB16" i="28"/>
  <c r="AB20" i="28"/>
  <c r="AB14" i="28"/>
  <c r="AB21" i="28"/>
  <c r="AB17" i="28"/>
  <c r="AB19" i="28"/>
  <c r="AB15" i="28"/>
  <c r="Z19" i="28"/>
  <c r="Z20" i="28"/>
  <c r="Z15" i="28"/>
  <c r="Z16" i="28"/>
  <c r="Z21" i="28"/>
  <c r="Z18" i="28"/>
  <c r="Z14" i="28"/>
  <c r="Z17" i="28"/>
  <c r="X20" i="28"/>
  <c r="X19" i="28"/>
  <c r="X14" i="28"/>
  <c r="X18" i="28"/>
  <c r="X17" i="28"/>
  <c r="X21" i="28"/>
  <c r="X16" i="28"/>
  <c r="X15" i="28"/>
  <c r="V20" i="28"/>
  <c r="V21" i="28"/>
  <c r="V14" i="28"/>
  <c r="V15" i="28"/>
  <c r="V17" i="28"/>
  <c r="V19" i="28"/>
  <c r="V18" i="28"/>
  <c r="V16" i="28"/>
  <c r="T17" i="28"/>
  <c r="T16" i="28"/>
  <c r="T18" i="28"/>
  <c r="T19" i="28"/>
  <c r="T15" i="28"/>
  <c r="T14" i="28"/>
  <c r="T20" i="28"/>
  <c r="T21" i="28"/>
  <c r="R17" i="28"/>
  <c r="R21" i="28"/>
  <c r="R19" i="28"/>
  <c r="R16" i="28"/>
  <c r="R15" i="28"/>
  <c r="R14" i="28"/>
  <c r="R18" i="28"/>
  <c r="R20" i="28"/>
  <c r="H21" i="28"/>
  <c r="L19" i="28"/>
  <c r="J14" i="28"/>
  <c r="F16" i="28"/>
  <c r="F18" i="28"/>
  <c r="L16" i="28"/>
  <c r="L14" i="28"/>
  <c r="N19" i="28"/>
  <c r="N14" i="28"/>
  <c r="L18" i="28"/>
  <c r="F14" i="28"/>
  <c r="F15" i="28"/>
  <c r="D17" i="28"/>
  <c r="J21" i="28"/>
  <c r="N17" i="28"/>
  <c r="D20" i="28"/>
  <c r="H17" i="28"/>
  <c r="N15" i="28"/>
  <c r="L20" i="28"/>
  <c r="J18" i="28"/>
  <c r="D21" i="28"/>
  <c r="D19" i="28"/>
  <c r="J19" i="28"/>
  <c r="N20" i="28"/>
  <c r="N18" i="28"/>
  <c r="P16" i="28"/>
  <c r="L17" i="28"/>
  <c r="N16" i="28"/>
  <c r="P18" i="28"/>
  <c r="P17" i="28"/>
  <c r="P15" i="28"/>
  <c r="P21" i="28"/>
  <c r="P20" i="28"/>
  <c r="P19" i="28"/>
  <c r="P14" i="28"/>
  <c r="F17" i="28"/>
  <c r="H18" i="28"/>
  <c r="H14" i="28"/>
  <c r="F19" i="28"/>
  <c r="H15" i="28"/>
  <c r="N21" i="28"/>
  <c r="L21" i="28"/>
  <c r="L15" i="28"/>
  <c r="F20" i="28"/>
  <c r="H16" i="28"/>
  <c r="D18" i="28"/>
  <c r="D16" i="28"/>
  <c r="F21" i="28"/>
  <c r="J17" i="28"/>
  <c r="H20" i="28"/>
  <c r="J15" i="28"/>
  <c r="D14" i="28"/>
  <c r="D15" i="28"/>
  <c r="J16" i="28"/>
  <c r="J20" i="28"/>
  <c r="H19" i="28"/>
  <c r="AA9" i="28" l="1"/>
  <c r="AA11" i="28" s="1"/>
  <c r="I25" i="18" s="1"/>
  <c r="Y9" i="28"/>
  <c r="Y11" i="28" s="1"/>
  <c r="W9" i="28"/>
  <c r="W11" i="28" s="1"/>
  <c r="U9" i="28"/>
  <c r="U11" i="28" s="1"/>
  <c r="S9" i="28"/>
  <c r="S11" i="28" s="1"/>
  <c r="Q9" i="28"/>
  <c r="Q11" i="28" s="1"/>
  <c r="I20" i="18" s="1"/>
  <c r="O9" i="28"/>
  <c r="O11" i="28" s="1"/>
  <c r="M9" i="28"/>
  <c r="M11" i="28" s="1"/>
  <c r="I18" i="18" s="1"/>
  <c r="E9" i="28"/>
  <c r="E11" i="28" s="1"/>
  <c r="I14" i="18" s="1"/>
  <c r="G9" i="28"/>
  <c r="G11" i="28" s="1"/>
  <c r="I15" i="18" s="1"/>
  <c r="C9" i="28"/>
  <c r="C11" i="28" s="1"/>
  <c r="I13" i="18" s="1"/>
  <c r="I9" i="28"/>
  <c r="I11" i="28" s="1"/>
  <c r="I16" i="18" s="1"/>
  <c r="K9" i="28"/>
  <c r="G13" i="18"/>
  <c r="I19" i="18" l="1"/>
  <c r="I21" i="18"/>
  <c r="I22" i="18"/>
  <c r="I23" i="18"/>
  <c r="I24" i="18"/>
  <c r="K25" i="18"/>
  <c r="L25" i="18" s="1"/>
  <c r="K23" i="18"/>
  <c r="L23" i="18" s="1"/>
  <c r="K18" i="18"/>
  <c r="L18" i="18" s="1"/>
  <c r="K22" i="18"/>
  <c r="K20" i="18"/>
  <c r="L20" i="18" s="1"/>
  <c r="K26" i="18"/>
  <c r="L26" i="18" s="1"/>
  <c r="K21" i="18"/>
  <c r="L21" i="18" s="1"/>
  <c r="K24" i="18"/>
  <c r="K19" i="18"/>
  <c r="L19" i="18" s="1"/>
  <c r="K11" i="28"/>
  <c r="I17" i="18"/>
  <c r="K16" i="18"/>
  <c r="L16" i="18" s="1"/>
  <c r="K14" i="18"/>
  <c r="L14" i="18" s="1"/>
  <c r="K15" i="18"/>
  <c r="L15" i="18" s="1"/>
  <c r="K17" i="18"/>
  <c r="K13" i="18"/>
  <c r="L13" i="18" s="1"/>
  <c r="K27" i="18"/>
  <c r="L27" i="18" s="1"/>
  <c r="K7" i="18"/>
  <c r="L24" i="18" l="1"/>
  <c r="L22" i="18"/>
  <c r="L17" i="18"/>
  <c r="Q27" i="18" l="1"/>
  <c r="Q24" i="18"/>
  <c r="Q18" i="18"/>
  <c r="Q26" i="18"/>
  <c r="Q21" i="18"/>
  <c r="Q25" i="18"/>
  <c r="Q20" i="18"/>
  <c r="Q15" i="18"/>
  <c r="Q17" i="18"/>
  <c r="Q22" i="18"/>
  <c r="Q14" i="18"/>
  <c r="Q16" i="18"/>
  <c r="Q23" i="18"/>
  <c r="Q19" i="18"/>
  <c r="Q13" i="18"/>
  <c r="R17" i="18" l="1"/>
  <c r="R14" i="18"/>
  <c r="R24" i="18"/>
  <c r="R23" i="18"/>
  <c r="R21" i="18"/>
  <c r="R16" i="18"/>
  <c r="R13" i="18"/>
  <c r="R22" i="18"/>
  <c r="R19" i="18"/>
  <c r="R20" i="18"/>
  <c r="R27" i="18"/>
  <c r="R25" i="18"/>
  <c r="R15" i="18"/>
  <c r="R18" i="18"/>
  <c r="R26" i="18"/>
  <c r="S17" i="18" l="1"/>
  <c r="S21" i="18"/>
  <c r="S27" i="18"/>
  <c r="S26" i="18"/>
  <c r="S13" i="18"/>
  <c r="S14" i="18"/>
  <c r="S19" i="18"/>
  <c r="S24" i="18"/>
  <c r="S18" i="18"/>
  <c r="S22" i="18"/>
  <c r="S25" i="18"/>
  <c r="S16" i="18"/>
  <c r="S15" i="18"/>
  <c r="S23" i="18"/>
  <c r="S20" i="18"/>
  <c r="T19" i="18" l="1"/>
  <c r="T25" i="18"/>
  <c r="T20" i="18"/>
  <c r="T27" i="18"/>
  <c r="T22" i="18"/>
  <c r="T15" i="18"/>
  <c r="T23" i="18"/>
  <c r="T14" i="18"/>
  <c r="T16" i="18"/>
  <c r="T17" i="18"/>
  <c r="T13" i="18"/>
  <c r="T18" i="18"/>
  <c r="T24" i="18"/>
  <c r="T21" i="18"/>
  <c r="T26" i="18"/>
  <c r="U13" i="18" l="1"/>
  <c r="U18" i="18"/>
  <c r="U24" i="18"/>
  <c r="U22" i="18"/>
  <c r="U21" i="18"/>
  <c r="U20" i="18"/>
  <c r="U15" i="18"/>
  <c r="U26" i="18"/>
  <c r="U14" i="18"/>
  <c r="U17" i="18"/>
  <c r="U27" i="18"/>
  <c r="U25" i="18"/>
  <c r="U16" i="18"/>
  <c r="U19" i="18"/>
  <c r="U23" i="18"/>
  <c r="V15" i="18" l="1"/>
  <c r="V26" i="18"/>
  <c r="V25" i="18"/>
  <c r="V21" i="18"/>
  <c r="V27" i="18"/>
  <c r="V24" i="18"/>
  <c r="V19" i="18"/>
  <c r="V16" i="18"/>
  <c r="V20" i="18"/>
  <c r="V17" i="18"/>
  <c r="V13" i="18"/>
  <c r="V22" i="18"/>
  <c r="V14" i="18"/>
  <c r="V23" i="18"/>
  <c r="V18" i="18"/>
  <c r="W18" i="18" l="1"/>
  <c r="W17" i="18"/>
  <c r="W16" i="18"/>
  <c r="W20" i="18"/>
  <c r="W26" i="18"/>
  <c r="W23" i="18"/>
  <c r="W21" i="18"/>
  <c r="W24" i="18"/>
  <c r="W13" i="18"/>
  <c r="W22" i="18"/>
  <c r="W19" i="18"/>
  <c r="W25" i="18"/>
  <c r="W27" i="18"/>
  <c r="W14" i="18"/>
  <c r="W15" i="18"/>
  <c r="X21" i="18" l="1"/>
  <c r="X16" i="18"/>
  <c r="X27" i="18"/>
  <c r="X20" i="18"/>
  <c r="X18" i="18"/>
  <c r="X22" i="18"/>
  <c r="X14" i="18"/>
  <c r="X26" i="18"/>
  <c r="X24" i="18"/>
  <c r="X15" i="18"/>
  <c r="X23" i="18"/>
  <c r="X25" i="18"/>
  <c r="X13" i="18"/>
  <c r="X19" i="18"/>
  <c r="X17" i="18"/>
  <c r="Y14" i="18" l="1"/>
  <c r="Y27" i="18"/>
  <c r="Y26" i="18"/>
  <c r="Y19" i="18"/>
  <c r="Y15" i="18"/>
  <c r="Y16" i="18"/>
  <c r="Y23" i="18"/>
  <c r="Y17" i="18"/>
  <c r="Y24" i="18"/>
  <c r="Y22" i="18"/>
  <c r="Y25" i="18"/>
  <c r="Y21" i="18"/>
  <c r="Y20" i="18"/>
  <c r="Y13" i="18"/>
  <c r="Y18" i="18"/>
  <c r="Z25" i="18" l="1"/>
  <c r="Z19" i="18"/>
  <c r="Z22" i="18"/>
  <c r="Z23" i="18"/>
  <c r="Z24" i="18"/>
  <c r="Z13" i="18"/>
  <c r="Z18" i="18"/>
  <c r="Z15" i="18"/>
  <c r="Z17" i="18"/>
  <c r="Z27" i="18"/>
  <c r="Z26" i="18"/>
  <c r="Z16" i="18"/>
  <c r="Z21" i="18"/>
  <c r="Z14" i="18"/>
  <c r="Z20" i="18"/>
  <c r="AA16" i="18" l="1"/>
  <c r="AA25" i="18"/>
  <c r="AA24" i="18"/>
  <c r="AA26" i="18"/>
  <c r="AA21" i="18"/>
  <c r="AA17" i="18"/>
  <c r="AA27" i="18"/>
  <c r="AA19" i="18"/>
  <c r="AA18" i="18"/>
  <c r="AA15" i="18"/>
  <c r="AA22" i="18"/>
  <c r="AA14" i="18"/>
  <c r="AA13" i="18"/>
  <c r="AA20" i="18"/>
  <c r="AA23" i="18"/>
  <c r="AB13" i="18" l="1"/>
  <c r="AB25" i="18"/>
  <c r="AB23" i="18"/>
  <c r="AB22" i="18"/>
  <c r="AB16" i="18"/>
  <c r="AB17" i="18"/>
  <c r="AB15" i="18"/>
  <c r="AB26" i="18"/>
  <c r="AB20" i="18"/>
  <c r="AB19" i="18"/>
  <c r="AB24" i="18"/>
  <c r="AB14" i="18"/>
  <c r="AB21" i="18"/>
  <c r="AB27" i="18"/>
  <c r="AB18" i="18"/>
  <c r="AC24" i="18" l="1"/>
  <c r="AC26" i="18"/>
  <c r="AC18" i="18"/>
  <c r="AC13" i="18"/>
  <c r="AC16" i="18"/>
  <c r="AC20" i="18"/>
  <c r="AC21" i="18"/>
  <c r="AC27" i="18"/>
  <c r="AC15" i="18"/>
  <c r="AC22" i="18"/>
  <c r="AC17" i="18"/>
  <c r="AC14" i="18"/>
  <c r="AC23" i="18"/>
  <c r="AC25" i="18"/>
  <c r="AC19" i="18"/>
  <c r="AD14" i="18" l="1"/>
  <c r="AD13" i="18"/>
  <c r="AD15" i="18"/>
  <c r="AD17" i="18"/>
  <c r="AD19" i="18"/>
  <c r="AD20" i="18"/>
  <c r="AD25" i="18"/>
  <c r="AD24" i="18"/>
  <c r="AD18" i="18"/>
  <c r="M27" i="18" s="1"/>
  <c r="AD23" i="18"/>
  <c r="AD16" i="18"/>
  <c r="AD22" i="18"/>
  <c r="AD21" i="18"/>
  <c r="AD27" i="18"/>
  <c r="AD26" i="18"/>
  <c r="M13" i="18" l="1"/>
  <c r="M17" i="18"/>
  <c r="M23" i="18"/>
  <c r="M19" i="18"/>
  <c r="M20" i="18"/>
  <c r="M22" i="18"/>
  <c r="M16" i="18"/>
  <c r="M18" i="18"/>
  <c r="M24" i="18"/>
  <c r="M26" i="18"/>
  <c r="M21" i="18"/>
  <c r="M25" i="18"/>
  <c r="M15" i="18"/>
  <c r="M14" i="18"/>
</calcChain>
</file>

<file path=xl/sharedStrings.xml><?xml version="1.0" encoding="utf-8"?>
<sst xmlns="http://schemas.openxmlformats.org/spreadsheetml/2006/main" count="3711" uniqueCount="853">
  <si>
    <t>EN PESOS</t>
  </si>
  <si>
    <t>EN SMMLV</t>
  </si>
  <si>
    <t>TOTAL</t>
  </si>
  <si>
    <t>OFERENTE</t>
  </si>
  <si>
    <t>2</t>
  </si>
  <si>
    <t>3</t>
  </si>
  <si>
    <t>4</t>
  </si>
  <si>
    <t>UNIVERSIDAD DE ANTIOQUIA</t>
  </si>
  <si>
    <t>5</t>
  </si>
  <si>
    <t>ACTIVO CORRIENTE</t>
  </si>
  <si>
    <t>PASIVO CORRIENTE</t>
  </si>
  <si>
    <t>INDICADOR 1</t>
  </si>
  <si>
    <t>INDICADOR 2</t>
  </si>
  <si>
    <t>PASIVO TOTAL</t>
  </si>
  <si>
    <t>ACTIVO TOTAL</t>
  </si>
  <si>
    <t>LIQUIDEZ</t>
  </si>
  <si>
    <t>INDICADOR 3</t>
  </si>
  <si>
    <t>PROPONENTE</t>
  </si>
  <si>
    <t>Numeral</t>
  </si>
  <si>
    <t>OBSERVACIONES</t>
  </si>
  <si>
    <t xml:space="preserve">No tener antecedentes judiciales en la Policía Nacional de Colombia. </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</si>
  <si>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</si>
  <si>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</si>
  <si>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</si>
  <si>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</si>
  <si>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</si>
  <si>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</si>
  <si>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</si>
  <si>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</si>
  <si>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</si>
  <si>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6</t>
  </si>
  <si>
    <t>7</t>
  </si>
  <si>
    <t>LISTADO DE OFERENTES</t>
  </si>
  <si>
    <t>INDICE SUMATORIA CONTRATOS/PRESUPUESTO OFICIAL</t>
  </si>
  <si>
    <t>NRO</t>
  </si>
  <si>
    <t>Presupuesto Total</t>
  </si>
  <si>
    <t>TRM día siguiente</t>
  </si>
  <si>
    <t>ORDEN</t>
  </si>
  <si>
    <t>Nro</t>
  </si>
  <si>
    <t>VALOR TOTAL</t>
  </si>
  <si>
    <t>NOMBRE OFERENTE</t>
  </si>
  <si>
    <t>PROPONENTES</t>
  </si>
  <si>
    <t>PRESUPUESTO OFICIAL</t>
  </si>
  <si>
    <t>EXPERIENCIA GENERAL</t>
  </si>
  <si>
    <t>OBSERVACIONES CON RESPECTO A PROPUESTA ECONÓMICA</t>
  </si>
  <si>
    <t>N°</t>
  </si>
  <si>
    <t>RADICADO</t>
  </si>
  <si>
    <t>HORA DE RECIBIDO</t>
  </si>
  <si>
    <t>NIT/CC</t>
  </si>
  <si>
    <t>REPRESENTANTE LEGAL</t>
  </si>
  <si>
    <t>NUMERO DE FOLIOS DE LA PROPUESTA</t>
  </si>
  <si>
    <t>COSTO TOTAL CON IVA</t>
  </si>
  <si>
    <t>Compañía aseguradora</t>
  </si>
  <si>
    <t>Número de póliza</t>
  </si>
  <si>
    <t>Valor asegurado</t>
  </si>
  <si>
    <t>ENDEUDAMIENTO</t>
  </si>
  <si>
    <t>Vigencia desde- hasta</t>
  </si>
  <si>
    <t>NIT O CÉDULA</t>
  </si>
  <si>
    <t>Precio Unitario</t>
  </si>
  <si>
    <t>Valor Total</t>
  </si>
  <si>
    <t>3.1</t>
  </si>
  <si>
    <t>4.1</t>
  </si>
  <si>
    <t>4.2</t>
  </si>
  <si>
    <t>3.1.1</t>
  </si>
  <si>
    <t>4.0</t>
  </si>
  <si>
    <t>5.0</t>
  </si>
  <si>
    <t xml:space="preserve">POLIZAS </t>
  </si>
  <si>
    <t>PORCENTAJE ADMINISTRACIÒN. [A]</t>
  </si>
  <si>
    <t>UTILIDAD. [U]</t>
  </si>
  <si>
    <t>EVALUACIÓN EXPERIENCIA - INDICADORES FINANCIEROS</t>
  </si>
  <si>
    <t>APERTURA DE SOBRES</t>
  </si>
  <si>
    <t>Fecha</t>
  </si>
  <si>
    <r>
      <t>PUNTAJE (Pt</t>
    </r>
    <r>
      <rPr>
        <b/>
        <vertAlign val="subscript"/>
        <sz val="12"/>
        <rFont val="Calibri"/>
        <family val="2"/>
        <scheme val="minor"/>
      </rPr>
      <t>1</t>
    </r>
    <r>
      <rPr>
        <b/>
        <sz val="12"/>
        <rFont val="Calibri"/>
        <family val="2"/>
        <scheme val="minor"/>
      </rPr>
      <t>)</t>
    </r>
  </si>
  <si>
    <t>MÉTODO DE EVALUACIÓN DE ACUERDO A TRM</t>
  </si>
  <si>
    <t>CAPITAL DE TRABAJO</t>
  </si>
  <si>
    <t>GASTOS FIJOS OFICINA</t>
  </si>
  <si>
    <t>Auxiliar contable</t>
  </si>
  <si>
    <t>Valor de la prima</t>
  </si>
  <si>
    <t>ITEM</t>
  </si>
  <si>
    <t>DESCRIPCCIÓN</t>
  </si>
  <si>
    <t>VALOR/MES/BASE</t>
  </si>
  <si>
    <t>FACTOR PRESTACIONAL</t>
  </si>
  <si>
    <t>%DEDICACIÒN MENSUAL</t>
  </si>
  <si>
    <t xml:space="preserve">DURACION (meses) </t>
  </si>
  <si>
    <t>CANTIDAD</t>
  </si>
  <si>
    <t>Garantía de seriedad de la oferta</t>
  </si>
  <si>
    <t xml:space="preserve">Número de póliza </t>
  </si>
  <si>
    <t>PUNTAJE TOTAL</t>
  </si>
  <si>
    <r>
      <t>PUNTAJE (Pt</t>
    </r>
    <r>
      <rPr>
        <b/>
        <vertAlign val="subscript"/>
        <sz val="12"/>
        <rFont val="Calibri"/>
        <family val="2"/>
        <scheme val="minor"/>
      </rPr>
      <t>3</t>
    </r>
    <r>
      <rPr>
        <b/>
        <sz val="12"/>
        <rFont val="Calibri"/>
        <family val="2"/>
        <scheme val="minor"/>
      </rPr>
      <t>)</t>
    </r>
  </si>
  <si>
    <t>Número total de ítems</t>
  </si>
  <si>
    <t>Proponente</t>
  </si>
  <si>
    <t>*H=Habilitado  NH=No habilitado</t>
  </si>
  <si>
    <t>ESTADO*</t>
  </si>
  <si>
    <r>
      <rPr>
        <b/>
        <sz val="10"/>
        <rFont val="Arial"/>
        <family val="2"/>
      </rPr>
      <t>OBSERVACIÓN:</t>
    </r>
    <r>
      <rPr>
        <sz val="10"/>
        <rFont val="Arial"/>
        <family val="2"/>
      </rPr>
      <t xml:space="preserve">
</t>
    </r>
  </si>
  <si>
    <t>m2</t>
  </si>
  <si>
    <t>SUBTOTAL GASTOS ADMINISTRATIVOS</t>
  </si>
  <si>
    <t>VALOR TOTAL COSTOS DIRECTOS DE LA OBRA</t>
  </si>
  <si>
    <t>(A)</t>
  </si>
  <si>
    <t>(U)</t>
  </si>
  <si>
    <t>CLASIFICACIÓN DEL OBJETO DEL CONTRATO (8)</t>
  </si>
  <si>
    <t>m</t>
  </si>
  <si>
    <t xml:space="preserve">Papeleria, fotocopias, </t>
  </si>
  <si>
    <t>Computadores  y sofware</t>
  </si>
  <si>
    <t>Kit Equipo o alquiler de equipo oficina (incluye 1 escritorio en madera con cajón medidas promedio de 0,72 *1,20  , 2 sillas tipo plásticas o similar)</t>
  </si>
  <si>
    <t>ml</t>
  </si>
  <si>
    <t>und</t>
  </si>
  <si>
    <t>CHEQUEO POR VALORES UNITARIOS EN CERO</t>
  </si>
  <si>
    <t>4.3</t>
  </si>
  <si>
    <t>5.1</t>
  </si>
  <si>
    <t>Resúmen: se recibieron 15 propuestas. EQUIPO TÉCNICO DE EVALUACIÓN
DIVISIÓN DE INFRAESTRUCTURA FÍSICA</t>
  </si>
  <si>
    <t>Media aritmética</t>
  </si>
  <si>
    <t># propuestas (n)</t>
  </si>
  <si>
    <t>Max Sum. Vres. Unit.</t>
  </si>
  <si>
    <t>Asignar de acuerdo al proceso</t>
  </si>
  <si>
    <t>CHEQUEO DEL VALOR DEL CONTRATO INCLUIDO IVA</t>
  </si>
  <si>
    <t>CHEQUEO DEL % DE ADMINISTRACIÓN</t>
  </si>
  <si>
    <t>ASIGNACIÓN DE PUNTAJE PARA Pt3:</t>
  </si>
  <si>
    <t>IR</t>
  </si>
  <si>
    <t>(IR) Ítems representativos</t>
  </si>
  <si>
    <t>(IRES) Ítems restantes</t>
  </si>
  <si>
    <t>IRES</t>
  </si>
  <si>
    <t>(IR) ITEMS REPRESENTATIVOS</t>
  </si>
  <si>
    <t>(IRES) ITEMS RESTANTES</t>
  </si>
  <si>
    <t>Estado</t>
  </si>
  <si>
    <t>EVALUACIÓN DE REQUISITOS JURÍDICOS</t>
  </si>
  <si>
    <t>EVALUACIÓN DE EXPERIENCIA GENERAL</t>
  </si>
  <si>
    <t>EVALUACIÓN DE REQUISITOS COMERCIALES</t>
  </si>
  <si>
    <t>SALARIO MÍNIMO</t>
  </si>
  <si>
    <t>COCIENTE EVALUACIÓN</t>
  </si>
  <si>
    <t>LIQ = AC/PC &gt;
Siendo AC = activo corriente 
PC = pasivo corriente</t>
  </si>
  <si>
    <t>ESTADO</t>
  </si>
  <si>
    <t>NE = PT/AT &lt;=
Siendo PT = pasivo total 
AT = activo total</t>
  </si>
  <si>
    <t>CT = AC-PC &gt; X*PO
Siendo PO = Presupuesto Oficial</t>
  </si>
  <si>
    <t>CHEQUEO POR VALORES EN CERO DENTRO DEL FORMULARIO</t>
  </si>
  <si>
    <t>MÁXIMO PUNTAJE A ASIGNAR PARA Pti</t>
  </si>
  <si>
    <t>Max. % AU</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</si>
  <si>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</si>
  <si>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</si>
  <si>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Pt2A</t>
  </si>
  <si>
    <t>Pt2 TOTAL</t>
  </si>
  <si>
    <t>Pt2B</t>
  </si>
  <si>
    <t>Desviación estándar</t>
  </si>
  <si>
    <t>% AU</t>
  </si>
  <si>
    <t>Método de evaluación</t>
  </si>
  <si>
    <t>CALCULO DE Pt2</t>
  </si>
  <si>
    <r>
      <t xml:space="preserve">Se aceptarán solo aquellas propuestas que certifiquen experiencia GENERAL acreditada en hasta cinco (5) certificados de contratos terminados y liquidados, que dentro de su objeto o alcance incluyan construcción o mantenimiento de edificaciones nuevas o existentes, y que mínimo uno de los cinco contratos sea de mantenimiento en edificaciones en los últimos CINCO (5) años anteriores al cierre de la INVITACIÓN.
</t>
    </r>
    <r>
      <rPr>
        <u/>
        <sz val="12"/>
        <rFont val="Arial"/>
        <family val="2"/>
      </rPr>
      <t xml:space="preserve">Sumatoria (Del valor total de cinco (5) contratos que certifiquen clasificación en alguno de los códigos requeridos en SMMLV) </t>
    </r>
    <r>
      <rPr>
        <sz val="12"/>
        <rFont val="Arial"/>
        <family val="2"/>
      </rPr>
      <t xml:space="preserve">   &gt;2,0
                                         Valor del presupuesto total oficial en SMLMV 2019</t>
    </r>
  </si>
  <si>
    <t>Invitación Pública N° SIU-20230015-01-2019</t>
  </si>
  <si>
    <t>OBJETO: “Ejecutar las obras civiles de mantenimiento, adecuaciones, reparaciones, y obras complementarias para la infraestructura de la Biofábrica, por la modalidad de precios unitarios fijos no reajustables, conforme las especificaciones técnicas de construcción del proyecto” proyecto (ver anexo 1)”</t>
  </si>
  <si>
    <t>5.4.1 Ser en PESOS COLOMBIANOS.</t>
  </si>
  <si>
    <t>5.4.2 Incluir todos los costos, gastos impuestos, tasas y contribuciones en los que deba incurrir el Proponente para cumplir el objeto de la INVITACIÓN</t>
  </si>
  <si>
    <t>5.4.4 No modificar los formatos del Proceso de Contratación, salvo autorización expresa.</t>
  </si>
  <si>
    <t>EVALUACIÓN ECONÓMICA - DEFINICIÓN DE MÉTODO DE EVALUACIÓN Y CÁLCULO DE PUNTAJE</t>
  </si>
  <si>
    <t>COSTO DIRECTO</t>
  </si>
  <si>
    <t>LOGO DEL OFERENTE</t>
  </si>
  <si>
    <t xml:space="preserve">OBJETO: </t>
  </si>
  <si>
    <t>“Ejecutar las obras civiles de mantenimiento, adecuaciones, reparaciones, y obras complementarias, para la infraestructura de la Biofábrica, por la modalidad de precios unitarios fijos no reajustables, conforme con las especificaciones técnicas de construcción del proyecto (ver anexo 1)”.</t>
  </si>
  <si>
    <t xml:space="preserve">                                                                   </t>
  </si>
  <si>
    <t>Descripcion de la Actividad</t>
  </si>
  <si>
    <t>Unidad</t>
  </si>
  <si>
    <t>Cantidad</t>
  </si>
  <si>
    <t>Valor y Porcentaje por Capitulo</t>
  </si>
  <si>
    <t>OBRA CIVIL</t>
  </si>
  <si>
    <t>1,0</t>
  </si>
  <si>
    <t>RETIROS Y DEMOLICIONES</t>
  </si>
  <si>
    <t>CHEQUEO POR COSTO DIRECTO</t>
  </si>
  <si>
    <t>1.1</t>
  </si>
  <si>
    <r>
      <rPr>
        <b/>
        <i/>
        <sz val="11"/>
        <rFont val="Swis721 LtCn BT"/>
        <family val="2"/>
      </rPr>
      <t>Desmonte y retiro de peliculas polzarizadas en vidrios de fachada</t>
    </r>
    <r>
      <rPr>
        <sz val="11"/>
        <rFont val="Swis721 LtCn BT"/>
        <family val="2"/>
      </rPr>
      <t>, incluye su  su transporte interno tanto vertical como horizontal. El metro lineal se pagará a mitad de precio.</t>
    </r>
  </si>
  <si>
    <t>1.2</t>
  </si>
  <si>
    <r>
      <t>Cargue y botada de escombros, en sitios debidamente certificados por la autoridad ambiental competente,</t>
    </r>
    <r>
      <rPr>
        <sz val="11"/>
        <rFont val="Swis721 LtCn BT"/>
        <family val="2"/>
      </rPr>
      <t xml:space="preserve"> incluye: Transporte tanto vertical como horizontal, aseo general, señalizacion con balizas reflectivas, cinta de seguridad y ayudantes que cuenten con el pago de prestaciones sociales al día .Las demoliciones necesarias para su posible cargue.</t>
    </r>
  </si>
  <si>
    <t>m3</t>
  </si>
  <si>
    <t>REVOQUE, ESTUCOS Y PINTURAS</t>
  </si>
  <si>
    <t>2.1</t>
  </si>
  <si>
    <r>
      <t>RESANE Y REPINTE de PINTURA A BASE DE AGUA EN MUROS Y CIELO, CON VINILO TIPO 1</t>
    </r>
    <r>
      <rPr>
        <sz val="11"/>
        <rFont val="Swis721 LtCn BT"/>
        <family val="2"/>
      </rPr>
      <t xml:space="preserve"> ( Viniltex o equivalente),de primera calidad sobre muros y cielos, revocados y/o estucados, tres manos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Herramienta, andamios, equipo y todos los elementos necesarios para su corecta aplicación.</t>
    </r>
  </si>
  <si>
    <r>
      <t>m</t>
    </r>
    <r>
      <rPr>
        <sz val="11"/>
        <rFont val="Swis721 LtCn BT"/>
        <family val="2"/>
      </rPr>
      <t>2</t>
    </r>
  </si>
  <si>
    <t>2.2</t>
  </si>
  <si>
    <r>
      <t>RESANE Y REPINTE de PINTURA EPÓXI POLAMIDA, EN MUROS Y CIELOS,</t>
    </r>
    <r>
      <rPr>
        <sz val="11"/>
        <rFont val="Swis721 LtCn BT"/>
        <family val="2"/>
      </rPr>
      <t>Tipo Pintuco,  o equivalente, de primera calidad sobre muros revocados, estucados, y/o pintados, tres manos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garantizando un buen puente de adherencia, color a definir según aprobación de la interventoría.Incluye: herramienta, andamios, equipo y todos los elementos necesarios para su corecta aplicación.</t>
    </r>
  </si>
  <si>
    <t>2.3</t>
  </si>
  <si>
    <r>
      <t xml:space="preserve">RESANE Y REPINTE de ESMALTE A BASE DE ACEITE,Tipo Pintulux o equivalentes, color gris 0980 con pistola. </t>
    </r>
    <r>
      <rPr>
        <i/>
        <sz val="11"/>
        <rFont val="Swis721 LtCn BT"/>
        <family val="2"/>
      </rPr>
      <t>sobre elementos metálicos,puertas, y los que indique la interventoría. Dos manos  hasta obtener una superficie pareja y homogénea. Incluye suministro y transporte de los materiales, disolvente para pinturas a base de aceite, adecuación de la superficie a intervenir hasta obtener una superficie pareja y homogénea, herramienta, andamios, equipo y todos los elementos necesarios para su corecta aplicación.color existente o definir según aprobación de la interventoría.</t>
    </r>
  </si>
  <si>
    <t>LAVADA E HIDROFUGADA DE FACHADAS</t>
  </si>
  <si>
    <r>
      <rPr>
        <b/>
        <i/>
        <sz val="11"/>
        <rFont val="Swis721 LtCn BT"/>
        <family val="2"/>
      </rPr>
      <t>Suministro, transporte y aplicación de ácido nítrico e hidrosolve proporción 1:1:5 para lavada de muros exteriores,</t>
    </r>
    <r>
      <rPr>
        <sz val="11"/>
        <rFont val="Swis721 LtCn BT"/>
        <family val="2"/>
      </rPr>
      <t xml:space="preserve"> Incluye: andamio multidireccional certificados (para un cuerpo de 2m de altura, incluye: Armada, desarmada, escalera, acarreos, plataforma metálica para desplazarse), elementos de trabajo en alturas, transportes verticales y horizontales, y todo lo necesario para su correcta aplicación y funcionamiento.</t>
    </r>
  </si>
  <si>
    <t>3.2</t>
  </si>
  <si>
    <r>
      <rPr>
        <b/>
        <i/>
        <sz val="11"/>
        <rFont val="Swis721 LtCn BT"/>
        <family val="2"/>
      </rPr>
      <t xml:space="preserve">Suministro, transporte y aplicación de hidrófugo impermeabilizante del tipo siliconite (Sika transparente o equivalente) </t>
    </r>
    <r>
      <rPr>
        <sz val="11"/>
        <rFont val="Swis721 LtCn BT"/>
        <family val="2"/>
      </rPr>
      <t xml:space="preserve">o equivalente para muros de fachadas,Incluye: andamio multidireccional certificados (para un cuerpo de 2m de altura, incluye: Armada, desarmada, escalera, acarreos, plataforma metálica para desplazarse), elementos de trabajo en alturas, transportes verticales y horizontales, y todo lo necesario para su correcta aplicación y funcionamiento. </t>
    </r>
  </si>
  <si>
    <t>CUBIERTA</t>
  </si>
  <si>
    <r>
      <rPr>
        <b/>
        <sz val="11"/>
        <rFont val="Swis721 LtCn BT"/>
        <family val="2"/>
      </rPr>
      <t>Suministro, transporte e instalación de cubierta traslúcida en P.R.F.V. Tipo SSR, en poliéster reforzado con Fibra de Vidrio (P.R.F.V), clase 7 (1.3 mm</t>
    </r>
    <r>
      <rPr>
        <sz val="11"/>
        <rFont val="Swis721 LtCn BT"/>
        <family val="2"/>
      </rPr>
      <t>), ancho 0.50 m, color Opal, o Cristal. o(como lo indique la interventoría), acabado liso, altura 3", fijado por medio de tornillos autoperforantes con empaque de neopreno y sello longitudinal con Butilo 3M. Incluye desmonte de las existentes, y transporte hasta el acopio donde lo indique la interventoría</t>
    </r>
  </si>
  <si>
    <r>
      <t>Suministro, transporte e Instalación de impermeabilizante en losas de concreto y vigas canoas, con Manto de impermeabilización de 3mm. Tipo metal FL 100 de FIBERGLASS, con foild de aluminio, incluye emulsión asfaltica y pintura bituminosa para juntas y emboquillado de bajantes.</t>
    </r>
    <r>
      <rPr>
        <sz val="11"/>
        <rFont val="Swis721 LtCn BT"/>
        <family val="2"/>
      </rPr>
      <t>Incluye el transporte vertical y horizontal, cargue y botada del material, elementos de trabajos en alturas, herramienta, equipo y todos los elementos necesarios para la ejecución de los trabajos. Incluye Retiro del manto Existente.</t>
    </r>
  </si>
  <si>
    <r>
      <t>Resane y repinte en esmalte de  poliuretano sobre estructura metalica de borde de cubierta,</t>
    </r>
    <r>
      <rPr>
        <sz val="11"/>
        <rFont val="Swis721 LtCn BT"/>
        <family val="2"/>
      </rPr>
      <t xml:space="preserve"> formal rectangular, incluye platinas. Tipo Pintuco, o equivalente.Desarrollo del elemento mayor a 20 cms, o menor, igual 50 cms. Incluye lijada, limpieza de la superficie, acondicionador de la superficie, minimo dos manos, o las necesarias para un acabado y recubrimiento parejo, elementos de trabajo en alturas,herramientas, equipo y todos los equipos necesarios para su correcta aplicación. Nota. La pintura se debe entonar hasta alcanzar el color existente o el color indicado por la interventoria</t>
    </r>
  </si>
  <si>
    <t>CARPINTERIA EN MADERA Y METÁLICA</t>
  </si>
  <si>
    <r>
      <rPr>
        <b/>
        <sz val="11"/>
        <rFont val="Swis721 LtCn BT"/>
        <family val="2"/>
      </rPr>
      <t xml:space="preserve"> Suministro y aplicación  de Barniz poliuretano para madera en exteriores.</t>
    </r>
    <r>
      <rPr>
        <sz val="11"/>
        <rFont val="Swis721 LtCn BT"/>
        <family val="2"/>
      </rPr>
      <t xml:space="preserve"> e interiores, muros, cielos puertas. Tipo Uretano Alifático Algreco o equivalente, incluye Catalizador, masillado,lijado, tintilla color que indique la interventoría, sellado de poros y todo lo necesario para su correcto acabado, que indique la interventoría.                               </t>
    </r>
  </si>
  <si>
    <t>5.2</t>
  </si>
  <si>
    <r>
      <rPr>
        <b/>
        <i/>
        <sz val="11"/>
        <rFont val="Swis721 LtCn BT"/>
        <family val="2"/>
      </rPr>
      <t>Suministro y aplicación de: Pintura vitriflex tráfico Alto, dos componentes, incluye cambio de piezas en mal estado en piso en madera</t>
    </r>
    <r>
      <rPr>
        <sz val="11"/>
        <rFont val="Swis721 LtCn BT"/>
        <family val="2"/>
      </rPr>
      <t>, incluye todos los elementos necesarios para su correcta ejecucion y acabado, a satisfacción de la interventoría</t>
    </r>
  </si>
  <si>
    <t>5.3</t>
  </si>
  <si>
    <r>
      <rPr>
        <b/>
        <i/>
        <sz val="11"/>
        <rFont val="Swis721 LtCn BT"/>
        <family val="2"/>
      </rPr>
      <t xml:space="preserve">Suministro, transporte y Adición de elementos metálicos, a la estructura  existente de la  fachada, bajo la norma NSR-10 </t>
    </r>
    <r>
      <rPr>
        <i/>
        <sz val="11"/>
        <rFont val="Swis721 LtCn BT"/>
        <family val="2"/>
      </rPr>
      <t>en cuarto de equipos de aire acondicionado, incluye desmonte y reinstalación de persiana, pintura.Andamios certificado, herramienta, equipos y todo lo necesario para su correcto posición y funcionamiento e instalación</t>
    </r>
  </si>
  <si>
    <t>5.4</t>
  </si>
  <si>
    <r>
      <rPr>
        <b/>
        <i/>
        <sz val="11"/>
        <rFont val="Swis721 LtCn BT"/>
        <family val="2"/>
      </rPr>
      <t xml:space="preserve">Suministro, transporte e instalación de Mesón Tipo M2 </t>
    </r>
    <r>
      <rPr>
        <i/>
        <sz val="11"/>
        <rFont val="Swis721 LtCn BT"/>
        <family val="2"/>
      </rPr>
      <t>de ancho 0 75m , 2 Pozuelos,superficie en acero inoxidable con bordillo perimetral 304/2B calibre 16 área bajo nivel a 1", almacenamiento en acero inoxidable  304/2B calibre 20,con estructura en acero inoxidable de 11/2. incluye todos los elementos necesarios para su correcta instalación. (ver anexo de la Tipología)</t>
    </r>
  </si>
  <si>
    <t>TRATAMIENTO DE JUNTAS</t>
  </si>
  <si>
    <t>6.1</t>
  </si>
  <si>
    <r>
      <rPr>
        <b/>
        <sz val="11"/>
        <rFont val="Swis721 LtCn BT"/>
        <family val="2"/>
      </rPr>
      <t>Construcción de Junta de Dilatación entre muros interiores en Super board y elementos estructurales (columnas).</t>
    </r>
    <r>
      <rPr>
        <sz val="11"/>
        <rFont val="Swis721 LtCn BT"/>
        <family val="2"/>
      </rPr>
      <t xml:space="preserve">  ancho max. de 8 mm.,Incluye, realizar corte con pulidora, resane con estuco acrílico induciendo la junta, instalación de varilla de espuma de polietileno tipo sellalón, sikarod ó equivalente de Ø= 1/2". INcluye limpieza y adecuación de la superficie, aplicación de masilla elástica sellante y adhesiva con base en poliuretano tipo Sikaflex-1a ó equivalente, junta máxima de ancho= 8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r>
  </si>
  <si>
    <t>6.2</t>
  </si>
  <si>
    <r>
      <rPr>
        <b/>
        <i/>
        <sz val="11"/>
        <rFont val="Swis721 LtCn BT"/>
        <family val="2"/>
      </rPr>
      <t>Ranuras plantilladas y, filetes en estuco plastico, en dilataciones de muros en seco contra elementos estructurales como vigas , columnas y muros vaciados en concreto,</t>
    </r>
    <r>
      <rPr>
        <sz val="11"/>
        <rFont val="Swis721 LtCn BT"/>
        <family val="2"/>
      </rPr>
      <t xml:space="preserve"> Incluye: andamio multidireccional certificados (para un cuerpo de 2m de altura, incluye: Armada, desarmada, escalera, acarreos, plataforma metálica para desplazarse),  transportes verticales y horizontales, y todo lo necesario para su correcta aplicación y funcionamiento.</t>
    </r>
  </si>
  <si>
    <t>6.3</t>
  </si>
  <si>
    <r>
      <rPr>
        <b/>
        <sz val="11"/>
        <rFont val="Swis721 LtCn BT"/>
        <family val="2"/>
      </rPr>
      <t>Construcción de JUNTA DE DILATACIÓN ENTRE PISOS Y ELEMENTOS ESTRUCTURALES EN CONCRETO</t>
    </r>
    <r>
      <rPr>
        <sz val="11"/>
        <rFont val="Swis721 LtCn BT"/>
        <family val="2"/>
      </rPr>
      <t xml:space="preserve"> (una sola cara),  ancho de 2 cm., instalación de varilla de espuma de polietileno tipo sellalón, sikarod ó equivalente de Ø= 1", aplicación de masilla elástica sellante y adhesiva con base en poliuretano tipo Sikaflex-1a ó equivalente, junta máxima de ancho= 20 mm. prof.= 8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r>
  </si>
  <si>
    <t>SELLOS DE JUNTAS EN VENTANAS DE FACHADA</t>
  </si>
  <si>
    <t>7.1</t>
  </si>
  <si>
    <r>
      <rPr>
        <b/>
        <i/>
        <sz val="11"/>
        <rFont val="Swis721 LtCn BT"/>
        <family val="2"/>
      </rPr>
      <t>Suministro, transporte e Instalación de sellante de poliuretano de alta tecnologia tipo sikaflex AT-Connection o su equivalente</t>
    </r>
    <r>
      <rPr>
        <sz val="11"/>
        <rFont val="Swis721 LtCn BT"/>
        <family val="2"/>
      </rPr>
      <t>, para uniones o juntas en exteriores en remates de Vidrios de fachada con elementos estructurales, incluye:,  transportes verticales y horizontales, y todo lo necesario para su correcta aplicación y funcionamiento.</t>
    </r>
  </si>
  <si>
    <t>7.2</t>
  </si>
  <si>
    <r>
      <rPr>
        <b/>
        <i/>
        <sz val="11"/>
        <rFont val="Swis721 LtCn BT"/>
        <family val="2"/>
      </rPr>
      <t>Suministro, transporte e Instalación de sellante de poliuretano tipo sikaflex 1A o su equivalente</t>
    </r>
    <r>
      <rPr>
        <sz val="11"/>
        <rFont val="Swis721 LtCn BT"/>
        <family val="2"/>
      </rPr>
      <t>, para uniones o juntas entre Vidrios de fachada y lucernarios en zona de laboratorios, incluye: transportes verticales y horizontales, y todo lo necesario para su correcta aplicación y funcionamiento.</t>
    </r>
  </si>
  <si>
    <t>8</t>
  </si>
  <si>
    <t>DRAY-WALL Y/O SUPERBOARD</t>
  </si>
  <si>
    <t>8.1</t>
  </si>
  <si>
    <r>
      <rPr>
        <b/>
        <sz val="11"/>
        <rFont val="Swis721 LtCn BT"/>
        <family val="2"/>
      </rPr>
      <t>Desmonte y retiro de cielo falso en DryWall y/o Superboard</t>
    </r>
    <r>
      <rPr>
        <sz val="11"/>
        <rFont val="Swis721 LtCn BT"/>
        <family val="2"/>
      </rPr>
      <t xml:space="preserve"> en zona de circulación y/o espacios interiores. Incluye desmonte de placa existente y su estructura cuando se requiera, el transporte vertical y horizontal, cargue del material hasta el lugar de acopio, aandamios, herramienta, equipo y todos los elementos necesarios para la ejecución de los trabajos.</t>
    </r>
  </si>
  <si>
    <t>8.2</t>
  </si>
  <si>
    <r>
      <t xml:space="preserve">Suministro, transporte y colocación de cielo falso en Superboard 8mm. </t>
    </r>
    <r>
      <rPr>
        <i/>
        <sz val="11"/>
        <rFont val="Swis721 LtCn BT"/>
        <family val="2"/>
      </rPr>
      <t>Incluye, masillado, pintura 3 manos, perfilería de lámina galvanizada para soporte con distancia de 61 cm, chazos, cintas, ángulos, cortes, andamios multidireccionales certificados, canes y todo los demás elementos  necesario para su correcta instalación y funcionamiento.</t>
    </r>
  </si>
  <si>
    <t>8.3</t>
  </si>
  <si>
    <r>
      <rPr>
        <b/>
        <i/>
        <sz val="11"/>
        <rFont val="Swis721 LtCn BT"/>
        <family val="2"/>
      </rPr>
      <t>Suministro, transporte e instalación, de Tapa de Inspeccción para cielo falso en dry wall y/o Superboard, 40 x 40 cms, tipo Gyplac</t>
    </r>
    <r>
      <rPr>
        <i/>
        <sz val="11"/>
        <rFont val="Swis721 LtCn BT"/>
        <family val="2"/>
      </rPr>
      <t>, fabricada con perfiles de aluminioy placas de yeso carton. Incluye,corte de placa drywall,  masillado, pintura 3 manos,refuerzo de la estructura de acuerdo a indicaciones del fabricante, perfilería de acero galvanizado para soporte , chazos, tornillos, cintas, ángulos, cortes, andamios, canes y todo los demás elementos  necesario para su correcta instalación, funcionamiento y, recibo a satisfacción.</t>
    </r>
  </si>
  <si>
    <t>8.4</t>
  </si>
  <si>
    <t>IMPERMEABILIZACION ESPEJO DE AGUA</t>
  </si>
  <si>
    <t>8.4.1</t>
  </si>
  <si>
    <r>
      <rPr>
        <b/>
        <i/>
        <sz val="11"/>
        <rFont val="Swis721 LtCn BT"/>
        <family val="2"/>
      </rPr>
      <t>Suministro, transporte e impermeabilización de Espejo de Agua, con membrana de PVC tipo Sikaplan 12 NTR</t>
    </r>
    <r>
      <rPr>
        <i/>
        <sz val="11"/>
        <rFont val="Swis721 LtCn BT"/>
        <family val="2"/>
      </rPr>
      <t xml:space="preserve"> o equivalente de espesor de 1,2mm. Incluye membrana a base de PVC plastificado y reforzado con armadura de poliéster para la impermeabilización de tanques de agua, debe de cumplir con las normas: UNE 104303, DIN 16938, ASTM 1003, DIN 53370, DIN 4062, ICONTEC 1500 para agua potable. Las uniones entre láminas deberán realizarse mediante soldadura termoplástica con aire caliente. Cuando se proceda a soldar 2 láminas, deberán disponerse de tal manera que el ancho del traslapo sea igual o mayor de 5 cm, por lo que la soldadura deberá tener en cualquier punto 4 cm como mínimo. Una vez que las superficies de las láminas que vayan a estar en contacto estén limpias y secas, se procederá a la unión (soldadura). Los traslapos, inmediatamente después de la soldadura, se presionan uniformemente con un rodillo para obtener así una unión homogénea. Incluye Sikaplan 12 NT o equivalente, Geotextil Sika PP 1800 o equivalente, perfil de fondo, perfil de borde, Sika Primer 215 o equivalente, Sikaflex Construction o equivalente, anclajes , reparación de gietas y fisuras y todos los elementos necesarios para su correcta instalación y funcionamiento.Incluye prueba de estanqueidad.LA INSTALACIÓN, DEBE SER REALIZADA, POR PERSONAL QUE POSEA, CERTIFICADO DE INSTALADOR DE LA EMPRESA FABRICANTE DEL PRODUCTO A INSTALAR.</t>
    </r>
  </si>
  <si>
    <t>9</t>
  </si>
  <si>
    <t>INSTALACIONES HIDROSANITARIAS</t>
  </si>
  <si>
    <t>9.1</t>
  </si>
  <si>
    <t>ADECUACION Y ARRANQUE DE SISTEMA DE TRATAMIENTO BIOFÁBRICA</t>
  </si>
  <si>
    <t>9.1.1</t>
  </si>
  <si>
    <r>
      <t xml:space="preserve">Arranque, Capacitación del Personal, Manual de operaciones. Incluye diagnóstico y analisis fisico quimico y Bacteriologico . </t>
    </r>
    <r>
      <rPr>
        <b/>
        <sz val="10"/>
        <rFont val="Euphemia"/>
        <family val="2"/>
      </rPr>
      <t>(Ver especificaciones tecnicas para su correcta instalación)</t>
    </r>
  </si>
  <si>
    <t>un</t>
  </si>
  <si>
    <t>9.1.2</t>
  </si>
  <si>
    <r>
      <t>Reposición total de material de antracita, zeolita y carbón activado, requeridos para el adecuado funcionamiento de los filtros existentes.</t>
    </r>
    <r>
      <rPr>
        <b/>
        <sz val="10"/>
        <rFont val="Euphemia"/>
        <family val="2"/>
      </rPr>
      <t xml:space="preserve"> (Ver especificaciones tecnicas para su correcta instalación)</t>
    </r>
  </si>
  <si>
    <t>9.1.3</t>
  </si>
  <si>
    <r>
      <t>Construcción de dos tramos de tubería para la separación tubería de aguas lluvias de cárcamos que transportan las aguas de invernadero . Incluye la Construcción de tres cajas de inspección y/o empalme de 0,8mx0,8m, H&gt;1,80m. m, en concreto de 21 Mpa,</t>
    </r>
    <r>
      <rPr>
        <sz val="10"/>
        <rFont val="Euphemia"/>
        <family val="2"/>
      </rPr>
      <t xml:space="preserve"> y el suministro, transporte e instalación de 40m de tubería de 200mm Novafort. </t>
    </r>
    <r>
      <rPr>
        <b/>
        <sz val="10"/>
        <rFont val="Euphemia"/>
        <family val="2"/>
      </rPr>
      <t>(Ver especificaciones técnicas para su correcta instalación)</t>
    </r>
  </si>
  <si>
    <t>9.1.4</t>
  </si>
  <si>
    <r>
      <t xml:space="preserve">Suministro, transporte e instalación de Tapas e y colocación de Tapas  en  polipropileno reciclado marca ingepol o similar  y pasamanos, para la zona de floculación y sedimentación y tapas para las otras estructuras en la zona de piscinas (tanques) . </t>
    </r>
    <r>
      <rPr>
        <b/>
        <sz val="10"/>
        <rFont val="Euphemia"/>
        <family val="2"/>
      </rPr>
      <t>(Ver especificaciones tecnicas para su correcta instalación)</t>
    </r>
  </si>
  <si>
    <t>9.1.5</t>
  </si>
  <si>
    <r>
      <t xml:space="preserve">Suministro, transporte e instalación tanque hidroacumulador (hidroflow) 100 Litros para red de acueducto. Incluye accesorios de conexión tanque, bomba y red. Deberá quedar correctamente instalado y se entregará funcionando en conjunto con el sistema de bombeo. Se deberá garantizar su hermeticidad y resistencia a las presiones requeridas. </t>
    </r>
    <r>
      <rPr>
        <b/>
        <sz val="10"/>
        <rFont val="Euphemia"/>
        <family val="2"/>
      </rPr>
      <t>(Ver especificaciones tecnicas para su correcta instalación)</t>
    </r>
  </si>
  <si>
    <t>9.1.6</t>
  </si>
  <si>
    <r>
      <t xml:space="preserve">Suministro, transporte e instalación de sistema de bombeo para agua potable con DOS ARRANCADORES TERMOMAGNETICOS de 80-100 GPM 90 PSI potencia 3HP monofásica de 220v diámetro de succión y descarga 2". No incluye tanque hidroflow pues se tendrá en cuenta en ítem aparte. Incluye también suiche presión, manómetro, instalación y mano de obra, flotador eléctrico para tanque bajo y demás accesorios que se requieran para su correcto funcionamiento. </t>
    </r>
    <r>
      <rPr>
        <b/>
        <sz val="10"/>
        <rFont val="Euphemia"/>
        <family val="2"/>
      </rPr>
      <t>(Ver especificaciones tecnicas para su correcta instalación)</t>
    </r>
  </si>
  <si>
    <t>global</t>
  </si>
  <si>
    <t>9.1.7</t>
  </si>
  <si>
    <r>
      <t xml:space="preserve">Suministro, transporte e instalación de Tubería PE 100 - PN 10 de Ø63 mm, unión termofusión,  incluye accesorios y uniones para cambio de material. Estos deberán estar correctamente instalados mediante termofusión, sin presentar fugas o cualquier otra clase de anomalía. Se debe garantizar la correcta instalación y funcionamiento. </t>
    </r>
    <r>
      <rPr>
        <b/>
        <sz val="10"/>
        <rFont val="Euphemia"/>
        <family val="2"/>
      </rPr>
      <t>(Ver especificaciones tecnicas para su correcta instalación)</t>
    </r>
  </si>
  <si>
    <t>9.1.8</t>
  </si>
  <si>
    <r>
      <t xml:space="preserve">Suministro e instalación de equipo para estabilización de la calidad de agua previo al desinozador. </t>
    </r>
    <r>
      <rPr>
        <b/>
        <sz val="10"/>
        <rFont val="Euphemia"/>
        <family val="2"/>
      </rPr>
      <t>(Ver especificaciones tecnicas para su correcta instalación)</t>
    </r>
  </si>
  <si>
    <t>9.1.9</t>
  </si>
  <si>
    <r>
      <t xml:space="preserve">Mantenimiento de Sistemas Sépticos. </t>
    </r>
    <r>
      <rPr>
        <b/>
        <sz val="10"/>
        <rFont val="Euphemia"/>
        <family val="2"/>
      </rPr>
      <t>(Ver especificaciones tecnicas para su correcta instalación)</t>
    </r>
  </si>
  <si>
    <t>9.1.10</t>
  </si>
  <si>
    <r>
      <t xml:space="preserve">Mantenimiento del sistemas de bombeo existente (mantenimiento de dos bombas). </t>
    </r>
    <r>
      <rPr>
        <b/>
        <sz val="10"/>
        <rFont val="Euphemia"/>
        <family val="2"/>
      </rPr>
      <t>(Ver especificaciones tecnicas para su correcta instalación)</t>
    </r>
  </si>
  <si>
    <t>10</t>
  </si>
  <si>
    <t>INVERNADEROS</t>
  </si>
  <si>
    <t>10.1</t>
  </si>
  <si>
    <r>
      <t xml:space="preserve">Suministro, transporte, mantenimiento,reparaciones y adecuaciones de  Invernadero C8 Automatizado </t>
    </r>
    <r>
      <rPr>
        <b/>
        <sz val="12"/>
        <rFont val="Swis721 LtCn BT"/>
        <family val="2"/>
      </rPr>
      <t>(Ver Especificaciones)</t>
    </r>
  </si>
  <si>
    <t>10.2</t>
  </si>
  <si>
    <r>
      <t xml:space="preserve">Suministro, transporte, mantenimiento,reparaciones y adecuaciones de Invernadero Metalico 4 naves de 6.80x 40.00 mts </t>
    </r>
    <r>
      <rPr>
        <b/>
        <sz val="12"/>
        <rFont val="Swis721 LtCn BT"/>
        <family val="2"/>
      </rPr>
      <t>(Ver Especificaciones).</t>
    </r>
  </si>
  <si>
    <t>11</t>
  </si>
  <si>
    <t>AIRE ACONDICIONADO</t>
  </si>
  <si>
    <t>11.1</t>
  </si>
  <si>
    <t>DESINTALACIÓN DE EQUIPOS EXISTENTES</t>
  </si>
  <si>
    <t>11.1.1</t>
  </si>
  <si>
    <t>Equipo tipo paquete bomba de calor marca Dunham Bush con intercambiador de calor tipo carcaza tubo de hasta 15 T.R. Incluye: desmonte, desensamble y disposición final</t>
  </si>
  <si>
    <t>11.1.2</t>
  </si>
  <si>
    <t>Torre de enfriamiento, tubería de condensación en PVC y sistema de bombeo Incluye: desmonte de tuberías, desmonte, desensamble y disposición final</t>
  </si>
  <si>
    <t>Gl</t>
  </si>
  <si>
    <t>11.2</t>
  </si>
  <si>
    <t>EQUIPOS DE AIRE ACONDICIONADO</t>
  </si>
  <si>
    <t xml:space="preserve">Suministro de equipos de aire acondicionado tipo paquete condensado por aire con bomba de calor de ciclo reverso (a temperatura ambiente mayor que la interior funciona en tipo enfriamiento y en temperatura ambiente menor que la interior funciona en tipo calefacción) Incluye: Acople a sistema existente (unión flexible con red de contuctos), plenum de retorno metálico aislado termicamente, cableado de control, conexión, bases anti vibración tipo resorte con tornillo de nivelación, tablero de control (gabinete, contactores, térmicos, pulsadores), arranque y demás accesorios necesarios para su correcta instalación y funcionamiento.  </t>
  </si>
  <si>
    <t>11.2.1</t>
  </si>
  <si>
    <t xml:space="preserve">Paquete condensado por aire No.1 de 1470 CFM (bomba de calor) </t>
  </si>
  <si>
    <t>11.2.2</t>
  </si>
  <si>
    <t>Paquete condensado por aire No.2 de 4500 CFM (bomba de calor) Incluye: variador de velocidad, estación medidora de caudal y tablero de control y todo lo necesario para su correcta intalación y funcionamiento</t>
  </si>
  <si>
    <t>11.2.3</t>
  </si>
  <si>
    <t>Paquete condensado por aire No.3 y 4 de 4800 CFM (bomba de calor)  Incluye: variador de velocidad, estación medidora de caudal y tablero de control y todo lo necesario para su correcta intalación y funcionamiento</t>
  </si>
  <si>
    <t>11.2.4</t>
  </si>
  <si>
    <t>Paquete condensado por aire No.5 de 470 CFM (bomba de calor)</t>
  </si>
  <si>
    <t>11.2.5</t>
  </si>
  <si>
    <t>Paquete condensado por aire No.6 y8 de 2800 CFM (bomba de calor)</t>
  </si>
  <si>
    <t>11.2.6</t>
  </si>
  <si>
    <t xml:space="preserve">Paquete condensado por aire No.7 de 360 CFM (bomba de calor)  </t>
  </si>
  <si>
    <t>11.2.7</t>
  </si>
  <si>
    <t>Suministro, fabricacion, transporte, izaje e instalación de base en perfiles metálicos tipo PTS de 60 x 60 x 3 mm para equipos. Incluye: Anclajes, elementos de  fijación y demás accesorios para su correcta instalación  y funcionamiento</t>
  </si>
  <si>
    <t>11.3</t>
  </si>
  <si>
    <t>MINI SPLIT INVERTER</t>
  </si>
  <si>
    <t>11.3.1</t>
  </si>
  <si>
    <t>Suministro e instalación de equipo Mini-Split  tipo Pared de 9000 BTU/h compresor inverter eficiencia mínima SEER 16, refrigerante Ecológico R410A;  220V/2 Fases/60 Hz. Incluye: soportes, anclajes, elementos de sujeción, y demás accesorios necesarios para su correcta instalación y funcionamiento.</t>
  </si>
  <si>
    <t>11.3.2</t>
  </si>
  <si>
    <t>Base metálica para condensadora de descarga horizontal  tipo mini split de 9 a 24 KBTU/h.  Incluye: anclajes, soportes y todos los  accesorios y elementos necesarios para su correcta instalación y funcionamiento.</t>
  </si>
  <si>
    <t>11.4</t>
  </si>
  <si>
    <t>TUBERÍA DE REFRIGERACIÓN</t>
  </si>
  <si>
    <t>11.4.1</t>
  </si>
  <si>
    <t xml:space="preserve">Suministro e instalación de tubería de cobre tipo "L" de diametro 1/4" para líquido y 3/8" para gas aislada con rubatex de 3/4" de 1/2" de espesor. Incluye: Soportes (tipo mensula, cuelga, correa o cualquier otro necesaio), anclajes, elementos de sujeción, codos, uniones  y demás accesorios necesarios para su correcta instalacion y funcionamiento. </t>
  </si>
  <si>
    <t>11.5</t>
  </si>
  <si>
    <t>DRENAJES</t>
  </si>
  <si>
    <t>11.5.1</t>
  </si>
  <si>
    <t>Tubería de PVC de diametro 3/4" para drenaje ailada termicamente con rubatex de 1/2" de espesor. Incluye: codos, tees, elementos de fijación, soportes, anclajes y todo lo necesario para su correcta instalación y funcionamiento</t>
  </si>
  <si>
    <t>11.5.2</t>
  </si>
  <si>
    <t>Suministro, transporte, instalación y puesta en servicio de Tubería de PVC de diámetro1" para drenaje. Incluye: uniones, codos, tees, universales, elementos de fijación, soportes, anclajes y demás accesorios necesarios para su correcta instalación y funcionamiento</t>
  </si>
  <si>
    <t>11.5.3</t>
  </si>
  <si>
    <t>Bomba de condensado para mini-split tipo pared a 220V con accionamiento por flotador caudal mínimo de 12 L/h@0m, de bajo nivel de ruido (max. 21 dBA) Incluye conexión, manguera cristal y todos los accesorios neceasrios para su correcta instalación y funcionamiento</t>
  </si>
  <si>
    <t>11.6</t>
  </si>
  <si>
    <t>FILTRO DE AIRE</t>
  </si>
  <si>
    <t>11.6.1</t>
  </si>
  <si>
    <t>Suministro, transporte, instalación y puesta en servicio de filtros absoltutos de 24" x 24" x 12" especiales de aire</t>
  </si>
  <si>
    <t>11.7</t>
  </si>
  <si>
    <t>TERMOSTATO</t>
  </si>
  <si>
    <t>11.7.1</t>
  </si>
  <si>
    <t>Suministro, transporte, instalación y puesta en servicio de termostato digital de ambiente para equipo tipo bomba de calor. Incluye: Conexión, guarda termostato transparente,  y demás accesorios necesrios para su correcta instalación y funcionamiento.</t>
  </si>
  <si>
    <t>11.8</t>
  </si>
  <si>
    <t>ESTACIÓN DE MONITOREO DE DIFERENCIALES DE PRESIÓN</t>
  </si>
  <si>
    <t>11.8.1</t>
  </si>
  <si>
    <t xml:space="preserve">Suministro, transporte, ensamble,  instalación y puesta en servicio de estación central de monitoreo de diferenciales de presión para filtros de alta eficiencia. Incluye: Gabinete metálico de 50 x30 x20 cm cal. 18 color gris con doble fondo para equipos eléctricos con puerta removible, empaque, chapa y techo con protección IP4, medidor diferencial de presión  0 - 2 in c.a. digital con pantalla LCD,Manguera neumática en poliuretano, anclajes, elementos de sujeción, codos, fuente de alimentación 24V DC 10A, conectores tipo acople rápido, cableado de alimentación y conexión de componentes  y demás accesorios necesarios para su correcta instalacion y funcionamiento. </t>
  </si>
  <si>
    <t>11.8.2</t>
  </si>
  <si>
    <t xml:space="preserve">Suministro, transporte,  instalación y puesta en servicio de Manguera neumática en poliuretano, anclajes, elementos de sujeción, Acople para el ducto  y demás accesorios necesarios para su correcta instalacion y funcionamiento. </t>
  </si>
  <si>
    <t>11.9</t>
  </si>
  <si>
    <t xml:space="preserve">CONDUCTOS </t>
  </si>
  <si>
    <t>11.9.1</t>
  </si>
  <si>
    <t>Suministro, transporte, instalación, fabricación y pueta en servicio de conductos en lámina rígida de poliisocianurato o similar de 30 mm de espesor con recubrimiento en manto asfaltIco o para la conexión de los equipos a los ductos de lámina existentes.  Incluye: Soporteria  (tipo ménsula, cuelga, correa, o cualquier otro requerido), elementos de sujeción, anclajes, y demás accesorios necesarios para su correcta instalación y funcionamiento.</t>
  </si>
  <si>
    <t>11.9.2</t>
  </si>
  <si>
    <t>Suministro, transporte, instalación y puesta en servicio de ductos en lámina galvanizada tipo cuello de ganzo para descarga de aire de condensación: Incluye elementios de sujeción, Soporteria  (tipo ménsula, cuelga, correa, o cualquier otro requerido) anclajes, y demás accesorios necesarios para su correcta instalación y funcionamiento.</t>
  </si>
  <si>
    <t>Kg</t>
  </si>
  <si>
    <t>11.10</t>
  </si>
  <si>
    <t>IDENTIFICACIÓN DE EQUIPOS Y SISTEMAS</t>
  </si>
  <si>
    <t>11.10.1</t>
  </si>
  <si>
    <t>Identificación de equipos y sistemas</t>
  </si>
  <si>
    <t>gbl</t>
  </si>
  <si>
    <t>11.11</t>
  </si>
  <si>
    <t xml:space="preserve">INGENIERÍA, TRANSPORTE, IZAJE, INSTALACIÓN Y PUESTA EN SERVICIO. </t>
  </si>
  <si>
    <t>11.11.1</t>
  </si>
  <si>
    <t xml:space="preserve">Paquete condensado por aire No.1 de 1470 CFM </t>
  </si>
  <si>
    <t>11.11.2</t>
  </si>
  <si>
    <t xml:space="preserve">Paquete condensado por aire No.2 de 4500 CFM </t>
  </si>
  <si>
    <t>11.11.3</t>
  </si>
  <si>
    <t xml:space="preserve">Paquete condensado por aire No.3 y 4 de 4800 CFM </t>
  </si>
  <si>
    <t>11.11.4</t>
  </si>
  <si>
    <t xml:space="preserve">Paquete condensado por aire No.5 de 470 CFM </t>
  </si>
  <si>
    <t>11.11.5</t>
  </si>
  <si>
    <t xml:space="preserve">Paquete condensado por aire No.6 y 8 de 2800 CFM </t>
  </si>
  <si>
    <t>11.11.6</t>
  </si>
  <si>
    <t xml:space="preserve">Paquete condensado por aire No.7 de 360 CFM </t>
  </si>
  <si>
    <t>12</t>
  </si>
  <si>
    <t>INSTALACIONES ELÉCTRICAS E ILUMINACIÓN</t>
  </si>
  <si>
    <t>12.1</t>
  </si>
  <si>
    <t>DISPOSITIVOS DE PROTECCIÓN CONTRA SOBRETENSIONES TRANSITORIAS - DPS</t>
  </si>
  <si>
    <t>Suministro e instalación de DPS: Incluye: Alambrada, empalme, encintada y accesorios para su correcta instalación, pruebas y chequeos; conexión de puesta a tierra según sección 250 NTC 2050, marcación y señalización según RETIE.</t>
  </si>
  <si>
    <t>12.1.1</t>
  </si>
  <si>
    <t>Suministro, transporte e instalación de gabinete eléctrico que incluye: DPS TIPO 1 Marca Fatech FV30B+C/3-150S, protección termo magnética de 3x25A, ductos y accesorios para su adecuada conexión</t>
  </si>
  <si>
    <t>12.1.2</t>
  </si>
  <si>
    <t>Suministro, transporte e instalación de gabinete eléctrico
que incluye: DPS TIPO 2 Marca Fatech FV20C/3-150S, protección termo magnética de 3x25A, ductos y accesorios para su adecuada conexión</t>
  </si>
  <si>
    <t>12.2</t>
  </si>
  <si>
    <t xml:space="preserve">MANTENIMIENTO PREVENTIVO Y CORRECTIVO A LA SUBESTACIÓN ELECTRICA </t>
  </si>
  <si>
    <t>12.2.1</t>
  </si>
  <si>
    <t>Mantenimiento eléctrico a subestación eléctrica de 225kVA, incluye: limpieza de equipos internos, requinte de terminales y pruebas de aislamiento, relación de transformación y AFQ del aceite dieléctrico, programación con el operador de red, se entrega informe con resultados, análisis y recomendaciones.</t>
  </si>
  <si>
    <t>12.3</t>
  </si>
  <si>
    <t>REDES ELECTRICAS DE POTENCIA E ILUMINACION</t>
  </si>
  <si>
    <t>Suministro e instalación de salidas eléctricas: Incluye: Alambrada, empalme, encintada y accesorios para su correcta instalación, pruebas y chequeos; conexión de puesta a tierra según sección 250 NTC 2050, marcación y señalización según RETIE.</t>
  </si>
  <si>
    <t>12.3.1</t>
  </si>
  <si>
    <t>Suministro, transporte e Instalación de Contactor de potencia HYUNDAI de
400A a 220V incluye accesorios para su correcta instalación y
funcionamiento.</t>
  </si>
  <si>
    <t>12.3.2</t>
  </si>
  <si>
    <t>Suministro, transporte e Instalación de salida para tomacorriente con polo a
tierra 15A, 120 V, color blanco. Incluye tubería EMT 3/4", cables 3Nº12 AWG
THHN-TC, cajas de paso o conexión, aparato certificado y en general todos
los accesorios para su correcta instalación y funcionamiento.</t>
  </si>
  <si>
    <t>12.3.3</t>
  </si>
  <si>
    <t>Suministro, transporte e Instalación de salida para tomacorriente GFCI con
polo a tierra 15A, 120 V, en caja existente, incluye los accesorios para su
correcta instalación y funcionamiento.</t>
  </si>
  <si>
    <t>12.3.4</t>
  </si>
  <si>
    <t>Suministro, transporte e instalación de salida eléctrica de tomacorriente
220V-20A con puesta a tierra en caja existente, incluye los accesorios para su
correcta instalación y funcionamiento.</t>
  </si>
  <si>
    <t>12.3.5</t>
  </si>
  <si>
    <t>Suministro, transporte e instalación de luminaria de alumbrado publico
STREET LIGTH PHILIPS de 90W, Temperatura del color 6500K LED para poste de
9m, incluye los accesorios para su correcta instalación y funcionamiento. (no
incluye poste)</t>
  </si>
  <si>
    <t>12.3.6</t>
  </si>
  <si>
    <t>Suministro, transporte e instalación de luminaria de alumbrado publico tipo
STREET LIGTH PHILIPS de 60W, temperatura del color 6500K LED para poste de
9m, incluye los accesorios para su correcta instalación y funcionamiento. (no
incluye poste)</t>
  </si>
  <si>
    <t>12.3.7</t>
  </si>
  <si>
    <t>Suministro, transporte e instalación de tubo CRISTALED T8 9W de 60cm,
incluye los accesorios para su correcta instalación y funcionamiento.</t>
  </si>
  <si>
    <t>12.3.8</t>
  </si>
  <si>
    <t>Suministro, transporte e instalación de bombilla CRISTALED 9W para
luminaria tipo tortuga, incluye los accesorios para su correcta instalación y
funcionamiento.</t>
  </si>
  <si>
    <t>12.3.9</t>
  </si>
  <si>
    <t>Suministro, transporte e instalación de reflector LED 60W, incluye los
accesorios para su correcta instalación y funcionamiento.</t>
  </si>
  <si>
    <t>12.3.10</t>
  </si>
  <si>
    <t>Suministro, transporte e instalación de luminaria hermética 2X28W LED
dimerizable, incluye alimentador en encauchetado 3N°14, clavija y todos los
accesorios para su correcta instalación y funcionamiento.</t>
  </si>
  <si>
    <t>12.3.11</t>
  </si>
  <si>
    <t>Suministro, transporte e instalación de acometida eléctrica subterránea para
instalación de luminarias en sendero peatonal, Incluye zanja de 20cm de
ancho x 40 cm de profundidad, tubería 3/4" con cables 3N°12 AWG THHN.</t>
  </si>
  <si>
    <t>12.3.12</t>
  </si>
  <si>
    <t>Suministro, transporte e instalación de salida para tomacorriente con polo a
tierra 15A, 120 V, color blanco, incluye desarrollo de 4 metros de canaleta
PVC tipo piso de 60mm x 17mm con cables 3Nº12 AWG THHN-TC, cajas de
paso o conexión, aparato certificado y en general todos los accesorios para
su correcta instalación y funcionamiento.</t>
  </si>
  <si>
    <t>12.3.13</t>
  </si>
  <si>
    <t>Suministro, transporte e instalación de luminaria Led de 9W con chasis marca
CRISTALED, incluye cable de conexión encauchetado 3N°14 con clavija de
caucho p para instalar en estanterías de cámara de crecimiento</t>
  </si>
  <si>
    <t>12.3.14</t>
  </si>
  <si>
    <t>Suministro, transporte e instalación de pedestal en concreto 30cm de lado
por 40cm de alto para fijación de luminarias en sendero peatonal, incluye
reflector LED de 50W, incluye cable de conexión encauchetado 3N°14,
adecuación de parales existentes y todos los accesorios para su correcta
instalación y funcionamiento. no incluye parales</t>
  </si>
  <si>
    <t>12.3.15</t>
  </si>
  <si>
    <t>Suministro, transporte e instalación de luminaria LED de empotrar tipo ojo
de buey 4W, incluye todos los accesorios para su correcta instalación y
funcionamiento.</t>
  </si>
  <si>
    <t>12.3.16</t>
  </si>
  <si>
    <t>Suministro, transporte e instalación tablero monofásico de 4 cicuitos,incluye
4 protecciones enchufables de 20A y todos los accesorios para su
correcta instalación y funcionamiento.</t>
  </si>
  <si>
    <t>12.3.17</t>
  </si>
  <si>
    <t>Suministro, transporte e instalación de bombillo LED 9w 6500K marca
CRISTALED</t>
  </si>
  <si>
    <t>12.3.18</t>
  </si>
  <si>
    <t>Suministro, transporte e instalación tablero de control automatizado de
bombeo alternante ,incluye todos los accesorios para su correcta instalación
y funcionamiento.</t>
  </si>
  <si>
    <t>12.3.19</t>
  </si>
  <si>
    <t>Suministro, transporte e instalación de alimentador a bombas 3N°10+1N10T
por coraza metálica 3/4", incluye todos los accesorios para su correcta
instalación y funcionamiento.</t>
  </si>
  <si>
    <t>12.3.20</t>
  </si>
  <si>
    <t>Suministro e instalación de Planta de emergencia GECOLSA 200kW (250KVA)
efectivos, 220/127V, en STAND BY con sistema de control de arranque y de
velocidad, exhosto y toma de aire, y demás elementos necesarios para su
correcto funcionamiento. (sin cabina). (ver especificaciones detalladas en especificaciones tecnicas)</t>
  </si>
  <si>
    <t>12.3.21</t>
  </si>
  <si>
    <t>Suministro e instalación de cabina de insonorizacion para Planta de emergencia GECOLSA 200kW (250KVA) fabricada en lamina cold rolled; protegida con pintura poliester; bisagras en acero inoxidable; visor en vidrio templado; especial para ambientes exteriores. y demás elementos necesarios para su correcto funcionamiento. (ver especificaciones detalladas en especificaciones tecnicas)</t>
  </si>
  <si>
    <t>12.3.22</t>
  </si>
  <si>
    <t>Suministro e instalación de transferencia automatica de carga (ATS) de 800A. Tension de operación: 220V. Suiche doble tiro. Tablero autosoportado en lamina cold rolled, cal 16. protegida con pintura electroestatica. Especial para ambientes interiores. Control de transferencia digital micro controlado. llaves selectoras 2, 3 posiciones. Minibreaker y bornera de control. y demas elementos necesarios para su correcto funcionamiento. 
Incluye: adecuaciones en gabinetes de distribucion existentes en subestacion para conexion de transferencia con red de distribucion electrica existente (ver especificaciones detalladas en especificaciones tecnicas)</t>
  </si>
  <si>
    <t>12.3.23</t>
  </si>
  <si>
    <t>Suministro e instalación de Alimentador trifásico en cable de cobre 4xNo.4/0AWG THHN/THWN 600V 90°C xFase + 4xNo.2/0AWG THHN/THWN 600V 90°C para el Neutro + 1xNo.2/0AWG THHN/THWN 600V 90°C para la Tierra. Incluye: terminales, cintas, marcaciones, elementos de fijación y demás elementos necesarios para su correcta instalación y funcionamiento. (conexion entre gabiente de distribucion - gabinete de transferencia y gabinete de transferencia - planta de emergencia).</t>
  </si>
  <si>
    <t>12.3.24</t>
  </si>
  <si>
    <t xml:space="preserve">Adecuaciones eléctricas en gabinetes de distribución y medida existentes para acople de sistema de respaldo en la red eléctrica (con cumplimiento de distancias de seguridad y demás exigencias establecidas en el RETIE y NTC 2050 para este tipo de instalaciones).
Las labores incluidas en este ítem son las siguientes:
- Retiro de interruptor de 400A del tablero de medida y distribucion existente y montaje en el nuevo tablero de transferencia.
- Retiro de interruptor de 400A del tablero de transferencia existente y montaje en el nuevo tablero de transferencia.
- Retiro de los elementos que componen la transferencia existente (contactores, control, barrajes, bandejas).
- Suministro e instalacion de tapas para el sellado de las perforaciones que queden al momento de retirar el rele de control.
- Retiro de acometida de interconexion entre el interruptor de 400A en el tablero de transferencia y el barraje principal del tablero de medida existente.
- Reubicacion de interruptor de 100A en tablero de medida existente. Incluye: cableado de conexion al barraje. 
- Puesta en marcha del sistema.
y todas aquellas actividades requeridas para su correcta operación y funcionamiento.
</t>
  </si>
  <si>
    <t>12.3.25</t>
  </si>
  <si>
    <t xml:space="preserve">Suministro e instalación de Bandeja portacable tipo escalera semipesada de 20cmx8cm galvanizada con separación entre peldaños de 10cm. Incluye: Elementos de fijación mediante esparrago galvanizado de 3/8", soporte peldaño, accesorios (curvas, derivaciones, correas de amarre, etc.), puente eléctrico en cable de cobre N° 12 AWG, terminales de ojo en todas las uniones y demas accesorios necesarios para su correcta instalacion. </t>
  </si>
  <si>
    <t>ML</t>
  </si>
  <si>
    <t>12.3.26</t>
  </si>
  <si>
    <t xml:space="preserve">Suministro e instalación de Bandeja portacable tipo escalera semipesada de 40cmx8cm galvanizada con separación entre peldaños de 10cm. Incluye: Elementos de fijación mediante esparrago galvanizado de 3/8", soporte peldaño, accesorios (curvas, derivaciones, correas de amarre, etc.), puente eléctrico en cable de cobre N° 12 AWG, terminales de ojo en todas las uniones y demas accesorios necesarios para su correcta instalacion. </t>
  </si>
  <si>
    <t>12.3.27</t>
  </si>
  <si>
    <t>Suministro e instalacion de tubería EMT de 3/4". Incluye: Uniones, entradas a caja, curvas, elementos de fijación, marcación y demas accesorios necesarios para su correcta instalación.</t>
  </si>
  <si>
    <t>12.3.28</t>
  </si>
  <si>
    <t>Suministro e instalacion de tubería EMT de 1". Incluye: Uniones, entradas a caja, curvas, elementos de fijación, marcación y demas accesorios necesarios para su correcta instalación.</t>
  </si>
  <si>
    <t>12.3.29</t>
  </si>
  <si>
    <t>Suministro e instalación de tubería IMC de 3/4". Incluye: Uniones, entradas a caja, curvas, elementos de fijación, marcación y demas accesorios necesarios para su correcta instalación.</t>
  </si>
  <si>
    <t>12.3.30</t>
  </si>
  <si>
    <t>Suministro, transporte e instalación de alimentador para repetidoras cable cobre 1N°10 THHN/THWN AWG, incluye cable, conectores, cinta y demas accesorios para su correcta
instalación y funcionamiento.</t>
  </si>
  <si>
    <t>12.3.31</t>
  </si>
  <si>
    <t>Suministro e instalacion de Caja metálica 12x12x5 con tapa troquelada universal y/o lisa color gris texturizado. Incluye: Elementos de fijación y marcación.</t>
  </si>
  <si>
    <t>UN</t>
  </si>
  <si>
    <t>12.3.32</t>
  </si>
  <si>
    <t>Suministro e instalacion de Caja termoplastica 11x11x8 para intemperie. Incluye: Elementos de fijación y marcación.</t>
  </si>
  <si>
    <t>12.3.33</t>
  </si>
  <si>
    <t>Suministro e instalacion de Caja RAWELT 2"X4" perforacion de 1" con tapa lisa. Incluye: Elementos de fijación y marcación.</t>
  </si>
  <si>
    <t>12.3.34</t>
  </si>
  <si>
    <t>Suministro e instalacion de Canaleta metálica de 12x5cm con división central,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</si>
  <si>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12.3.35</t>
  </si>
  <si>
    <t xml:space="preserve">Suministro e instalacion de Troquel para canaleta metalica 12x5cm con division interna. Incluye elementos de fijación para su correcta instalación </t>
  </si>
  <si>
    <t>12.3.36</t>
  </si>
  <si>
    <t xml:space="preserve">Suministro e instalacion de UPS monofasica de mínimo 6 KVA de potencia, con factor de potencia a la salida de 0,8 o superior , que garantice  una autonomía a plena carga (6KVA) de 1 hora, para lo cual deberá incluir todos los elementos que sean necesarios  (gabinete, banco de baterías selladas y libres de mantenimiento, etc). Deberá incluir puerto para administración por consola y puerto RJ-45 para administración por la red Ethernet, via SNMP;  transformador de aislamiento externo a la entrada, protecciones para corto circuito y sobrecarga, alarma audible y visual para eventos de falla de línea, baterías bajas y condiciones de falla del sistema; deberá disponer de un sistema interno de ventilación y recirculación de aire, y deberá poder conectarse a plantas eléctricas de emergencia, ser de tecnología on-line de doble conversión y ser de onda sinusoidal.  La Ups deberá soportar temperatura ambiente de operación entre 0º y 25º Centígrados.  Se debe garantizar que si la UPS se descarga completamente debido a una falla prolongada de energía, cuando el fluido regrese, la UPS se encenderá y alimentará la carga automáticamente. Se debe incluir el costo de la garantía de 3 años </t>
  </si>
  <si>
    <t>12.3.37</t>
  </si>
  <si>
    <t>Suministro e instalacion de Alimentador para UPS monofasica de 6KVA cable cobre 1N°2 (F)+1N°2 (N) + 1N°6 (T) desde TM-1 hasta UPS y desde UPS hasta TRSEG, incluye todos los accesorios para su correcta instalación y funcionamiento.</t>
  </si>
  <si>
    <t>12.3.38</t>
  </si>
  <si>
    <t>Suministro e instalación de Interruptor automático (breaker) monopolar enchufable 1x50, A, Icc&gt;10 kA, 220 V. Incluye: cintas y anillos de marcación. Suministro e instalación de breakers en tablero de distribución eléctrica, conexión de puesta a tierra según sección 250 NTC 2050, marcación y señalización según RETIE, anclajes, fijaciones, conexiones, pruebas y ensayos.</t>
  </si>
  <si>
    <t>12.3.39</t>
  </si>
  <si>
    <t xml:space="preserve">Suministro e instalacion de Conduleta recta de 1'' metálica color gris texturizado. Incluye marcación y elementos de fijación para su correcta instalación </t>
  </si>
  <si>
    <t>12.3.40</t>
  </si>
  <si>
    <t>Suministro e instalacion de Salida eléctrica para toma corriente doble con polo a tierra color blanco, 125V, 15A en tubería EMT. Incluye: 3m de cable de cobre de 1xN° 12 THHN/THWN -CT AWG, caja metálica 12x12x5cm, aparato con tapa, conectores tipo resorte y accesorios. NO Incluye tubería. Suministro e instalación de salidas eléctricas: Incluye: cableada, empalme, encintada, marcacion del circuito con anillos al interior, marcacion con cinta rotuladora plastica blanca con el circuito y accesorios para su correcta instalación, pruebas y chequeos; conexión de puesta a tierra según sección 250 NTC 2050, marcación y señalización según RETIE.</t>
  </si>
  <si>
    <t>12.3.41</t>
  </si>
  <si>
    <t>Suministro e instalacion de Salida eléctrica para toma corriente doble con polo a tierra color naranja, 125V, 15A en tubería EMT. Incluye: 3m de cable de cobre de 1xN° 12 THHN/THWN -CT AWG, caja metálica 12x12x5cm, aparato con tapa, conectores tipo resorte y accesorios. NO Incluye tubería. Suministro e instalación de salidas eléctricas: Incluye: cableada, empalme, encintada, marcacion del circuito con anillos al interior, marcacion con cinta rotuladora plastica blanca con el circuito y accesorios para su correcta instalación, pruebas y chequeos; conexión de puesta a tierra según sección 250 NTC 2050, marcación y señalización según RETIE.</t>
  </si>
  <si>
    <t>12.3.42</t>
  </si>
  <si>
    <t>Suministro e Instalacion de Salida eléctrica para toma corriente doble con polo a tierra color blanco, 125V, 15A en canaleta metálica. Incluye: 3m de cable de cobre 1xN° 12 THHN/THWN -CT AWG, tapa troquelada para canaleta 12cmx5cm con troquel universal, aparato con tapa, conectores tipo resorte y accesorios.  NO Incluye canaleta. Suministro e instalación de salidas eléctricas: Incluye: cableada, empalme, encintada, marcacion del circuito con anillos al interior, marcacion con cinta rotuladora plastica blanca con el circuito y accesorios para su correcta instalación, pruebas y chequeos; conexión de puesta a tierra según sección 250 NTC 2050, marcación y señalización según RETIE.</t>
  </si>
  <si>
    <t>12.3.43</t>
  </si>
  <si>
    <t>Suministro e instalacion de Salida eléctrica para toma corriente doble con polo a tierra color naranja, 125V, 15A en canaleta metálica. Incluye: 3m de cable de cobre 1xN° 12 THHN/THWN -CT AWG, tapa troquelada para canaleta 12cmx5cm con troquel universal, aparato con tapa, conectores tipo resorte y accesorios.  NO Incluye canaleta. Suministro e instalación de salidas eléctricas: Incluye: Alambrada, empalme, encintada y accesorios para su correcta instalación, pruebas y chequeos; conexión de puesta a tierra según sección 250 NTC 2050, marcación y señalización según RETIE.</t>
  </si>
  <si>
    <t>SEGURIDAD ELECTRÓNICA Y RED DE DATOS</t>
  </si>
  <si>
    <t>12.4</t>
  </si>
  <si>
    <t>CIRCUITO CERRADO DE TELEVISIÓN</t>
  </si>
  <si>
    <t>12.4.1</t>
  </si>
  <si>
    <t>Suministro, transporte e instalación de servidor de video NVR, marca ExacqVision de 12 TB, plataforma Windows, con todos los elementos de montaje sobre rack. Incluye rieles.</t>
  </si>
  <si>
    <t>12.4.2</t>
  </si>
  <si>
    <t>Suministro, transporte e instalación de cámara IP minidomo, PoE, 2 Mpx, Antivandálica, día/noche, WDR, con soporte. Uso exterior</t>
  </si>
  <si>
    <t>12.4.3</t>
  </si>
  <si>
    <t>Suministro, transporte e instalación de cámara IP PTZ, PoE, 2 Mpx, Antivandálica, día/noche, WDR. Incluye soporte de pared. Uso exterior</t>
  </si>
  <si>
    <t>12.4.4</t>
  </si>
  <si>
    <t>Rack de piso, cerrado, de 1.80 mts que permita la inserción de equipos de hasta 19”, de 42 Unidades. Color negro, pintura electrostática, rendijas de ventilación, con puertas laterales y traseras removibles. Debe tener al menos 2 bandejas metálicas. Concerradura, iluminación interna y regleta eléctrica interna (multitoma).</t>
  </si>
  <si>
    <t>12.4.5</t>
  </si>
  <si>
    <t xml:space="preserve">Suministro e instalación de licencia Enterprise para cámara IP. </t>
  </si>
  <si>
    <t>12.4.6</t>
  </si>
  <si>
    <t xml:space="preserve"> Suministro e instalación de Estación de trabajo  - Intel Core i7-4770s @ 3,10 GHz, 1TB de almacenamiento, 8GB. Incluye Monitor de 23 pulgadas.</t>
  </si>
  <si>
    <t>12.4.7</t>
  </si>
  <si>
    <t>Suministro e instalación de Monitor Industrial, incluye soporte.</t>
  </si>
  <si>
    <t>12.4.8</t>
  </si>
  <si>
    <t>Configuración del sistema de CCTV</t>
  </si>
  <si>
    <t>CONTROL DE ACCESO</t>
  </si>
  <si>
    <t>12.4.9</t>
  </si>
  <si>
    <t>Suministro, transporte e instalación de panel Istar ULTRA, con capacidad para 8 lectores. Montaje de pared. Incluye  Baterías, Fuente . Marca: Tyco Software House</t>
  </si>
  <si>
    <t>12.4.10</t>
  </si>
  <si>
    <t>Suministro, transporte e instalación de panel fuente externa de 10 amperios para alimentación de electroimanes. Incluye gabinete, batería, transformador y accesorios para montaje en pared.</t>
  </si>
  <si>
    <t>12.4.11</t>
  </si>
  <si>
    <t>Suministro, transporte e instalación de lectoras de tarjeta de proximidad. Puerto weigand. Marca HID referencia Iclass SE</t>
  </si>
  <si>
    <t>12.4.12</t>
  </si>
  <si>
    <t>Suministro, transporte e instalación de electroiman de 600 lbs, con sensore de retención ( magnético), soporte LZ o el que aplique dependiendo del tipo de puerta. Marca sugerida: Enforcer</t>
  </si>
  <si>
    <t>12.4.13</t>
  </si>
  <si>
    <t>Suministro, transporte e instalación de botones de salida tipo NO Touch, ilumindados, en idioma español. Marca sugerida: Enforcer</t>
  </si>
  <si>
    <t>12.4.14</t>
  </si>
  <si>
    <t>Suministro, transporte e instalación de botón de apertura de emergencia, tipo hongo, con urna protectora trasparente.</t>
  </si>
  <si>
    <t>12.4.15</t>
  </si>
  <si>
    <t>Suministro, transporte e instalación de cable UTP, categoría 5e</t>
  </si>
  <si>
    <t>12.4.16</t>
  </si>
  <si>
    <t>Suministro, transporte e instalación de Cierrapuerta metálico, color gris, para cierre de puertas de hasta de 150 kg de peso. Fuerza ajustable. Marca sugerida: Yale</t>
  </si>
  <si>
    <t>12.4.17</t>
  </si>
  <si>
    <t xml:space="preserve">Configuración  elementos del sistema de Control de acceso </t>
  </si>
  <si>
    <t>ALARMA DE INTRUSIÓN Y DETECCIÓN DE INCENDIO</t>
  </si>
  <si>
    <t>12.4.18</t>
  </si>
  <si>
    <t>Suministro, transporte e instalación de panel DSC NEO de 128 ZONAS, con gabinete metálico blanco 40x40 cm fondo madera, con cerradura, tamper, batería 12V 7A, transformador y demás elementos necesarios para su instalación y funcionamiento. Marca: DSC</t>
  </si>
  <si>
    <t>12.4.19</t>
  </si>
  <si>
    <t>Suministro, transporte e instalación de comunicador IP TL-280</t>
  </si>
  <si>
    <t>12.4.20</t>
  </si>
  <si>
    <t>Suministro, transporte e instalación de Kit fuente</t>
  </si>
  <si>
    <t>12.4.21</t>
  </si>
  <si>
    <t>Suministro, transporte e instalación de teclado  cableado LCD alfanumérico, con transceptor y elementos necesarios para su instalación. Marca DSC, referencia: HS2LCDRF. compatible con panel DSC NEO</t>
  </si>
  <si>
    <t>12.4.22</t>
  </si>
  <si>
    <t>Suministro, transporte e instalación de detector de movimiento  inalámbrico.  Incluye baterías y elementos necesarios para su instalación y correcto funcionamiento. Marca:DSC</t>
  </si>
  <si>
    <t>12.4.23</t>
  </si>
  <si>
    <t>Suministro, transporte e instalación de detector de movimeinto  inalámbrico de uso exterior.  Incluye baterías y elementos necesarios para su instalación y correcto funcionamiento. Marca:DSC</t>
  </si>
  <si>
    <t>12.4.24</t>
  </si>
  <si>
    <t xml:space="preserve">Suministro, transporte e instalación de detector de humo  inalámbrico,  Incluye baterías y elementos necesarios para su instalación y correcto funcionamiento. Marca:DSC referencia: </t>
  </si>
  <si>
    <t>12.4.25</t>
  </si>
  <si>
    <t>Suministro, transporte e instalación de Contacto estándar inalámbrico de puerta/ventana  y elementos necesarios para su instalación. Incluye batería. Marca Seco Larm</t>
  </si>
  <si>
    <t>12.4.26</t>
  </si>
  <si>
    <t>Suministro, transporte e instalación de repetidor inalámbrico  y elementos necesarios para su instalación. Marca: DSC</t>
  </si>
  <si>
    <t>12.4.27</t>
  </si>
  <si>
    <t>12.4.28</t>
  </si>
  <si>
    <t>Suministro, transporte e instalación de Cable dúplex 2x18</t>
  </si>
  <si>
    <t>12.4.29</t>
  </si>
  <si>
    <t>Suministro, transporte e instalación de canaleta plástica ranurada 25x25 mm</t>
  </si>
  <si>
    <t>12.4.30</t>
  </si>
  <si>
    <t>Suministro, transporte e instalación de Toma aéreo</t>
  </si>
  <si>
    <t>12.4.31</t>
  </si>
  <si>
    <t>Configuración elementos del sistema de alarma de intrusión y detección de incendio</t>
  </si>
  <si>
    <t>12.5</t>
  </si>
  <si>
    <t>RED DE DATOS</t>
  </si>
  <si>
    <t>12.5.1</t>
  </si>
  <si>
    <t>Suministro de toma RJ45 sencillo, categoría 6 A, linea 360</t>
  </si>
  <si>
    <t>12.5.2</t>
  </si>
  <si>
    <t>Suministro de dust cover</t>
  </si>
  <si>
    <t>12.5.3</t>
  </si>
  <si>
    <t>Suministro de face plate para dos tomas RJ 45</t>
  </si>
  <si>
    <t>12.5.4</t>
  </si>
  <si>
    <t>Suministro cable UTP, categoría 6 A (1091B), línea 360</t>
  </si>
  <si>
    <t>mts</t>
  </si>
  <si>
    <t>12.5.5</t>
  </si>
  <si>
    <t>Suministro patch cord de 3 ft, categoría 6 A, línea 360</t>
  </si>
  <si>
    <t>12.5.6</t>
  </si>
  <si>
    <t>Suministro patch cord de 10 ft, categoría 6 A, línea 360</t>
  </si>
  <si>
    <t>12.5.7</t>
  </si>
  <si>
    <t>Suministro cable UTP para exterior, categoría 6</t>
  </si>
  <si>
    <t>12.5.8</t>
  </si>
  <si>
    <t>Suministro de patch panel modular de 24 puertos UTP 1U, categoría 6A, línea 360 (M1100).   No incluye los jacks RJ45</t>
  </si>
  <si>
    <t>12.5.9</t>
  </si>
  <si>
    <t>Marcación del cable UTP en 2 extremos con cinta etiqueta para cable</t>
  </si>
  <si>
    <t>12.5.10</t>
  </si>
  <si>
    <t>Marcación adhesiva para caja del toma o face plate de datos, o para elementos eléctricos</t>
  </si>
  <si>
    <t>12.5.11</t>
  </si>
  <si>
    <t>Marcación de patch cord UTP en 2 extremos con cinta etiqueta para cable</t>
  </si>
  <si>
    <t>12.5.12</t>
  </si>
  <si>
    <t>Instalación cable UTP para exterior, todas las categorias</t>
  </si>
  <si>
    <t>12.5.13</t>
  </si>
  <si>
    <t>Marcación adhesiva de patch panel UTP (incluye los consecutivos de puerto y el identificador para el patch panel)</t>
  </si>
  <si>
    <t>12.5.14</t>
  </si>
  <si>
    <t xml:space="preserve">Certificación de puntos de red (categoría 5E, 6 y 6A), entregar resultados impresos y en formato visible en computador. </t>
  </si>
  <si>
    <t>12.5.15</t>
  </si>
  <si>
    <t>Suministro de rack sencillo cerrado de 170x80x80 cms, fabricado en lámina calibre 16, con acabado en pintura electrostática en polvo y que cumpla con las siguientes características: 
Debe permitir el alojamiento de equipos de 19”, según la norma IEC297 – IEC297.2.  
Puertas de doble ala,  fabricadas en lámina punzonada con marco metálico para dar rigidez.
Cada puerta debe tener cerradura de seguridad tipo Bombín con varilla cierre y guía de Poliamida que brinda tres puntos de cierre.  Esta cerradura debe tener llave maestra con clave igual a la de los rack del edificio de Extensión.
El rack debe tener tiraderas en todas las puertas.
Tapas laterales totalmente punzonadas.
Tapas y puertas desmontables únicamente desde el interior del rack por medio de bisagras tipo falleba ubicada en la parte superior de cada tapa o puerta.
Organizadores de cables en los costados verticales y en la parte superior.
La tapa superior debe tener dos perforaciones para ubicar extractores,  y perforaciones adicionales para el ingreso de la fibra óptica y el cableado UTP con tapa abatible de forma que solo se utilice el área requerida para el cableado.
Debe tener instalados dos extractores en la parte superior. 
Debe tener instaladas dos lámparas accionadas cada una por un switch con luz piloto ubicados sobre cada acceso.
Debe tener barraje de tierra.
Debe tener un multitoma horizontal marca Leviton ref. 5500-192, tipo rack de 19", 20A, 120Vac, el cual contiene 6 salidas dobles cada uno, 5 traseras, 1 delantera, switch on/off, cable de conexión, breaker reset de protección, Nema 5 - 20R, que cumple con la protección contra sobretensión tipo A.
Debe tener dos tomas eléctricos, uno regulado que permita conectar el multitoma mencionado en el item anterior y otro normal para conectar los extractores y lámparas (Ver modelo edificio de extensión).
4 Bastidores tuerca canastilla,
4 tuercas canastilla por cada U.
Debe tener cuatro  tornillos niveladores que se puedan ajustar a las irregularidades del piso, para garantizar la correcta instalación en sitio.
Debe permitir la adición lateral de un rack de iguales características
Debe incluir una bandeja para rack de 19 pulgadas, de 40 centímetros de profundidad, pintada electrostáticamente al polvo. Ver Figura Anexa.</t>
  </si>
  <si>
    <t>12.5.16</t>
  </si>
  <si>
    <t>Suministro de bandeja para rack de 19 pulgadas, de 40 cm de profundidad, pintada electrostáticamente al polvo. Ver figura</t>
  </si>
  <si>
    <t>12.5.17</t>
  </si>
  <si>
    <t>Suministro organizador de cable UTP de fabricación nacional, 2U, pintado electrostáticamente al polvo de acuerdo con el modelo utilizado en la Universidad. (ver fotos anexas)</t>
  </si>
  <si>
    <t>12.5.18</t>
  </si>
  <si>
    <t>Suministro de flexiconduit de 3/4" diámetro</t>
  </si>
  <si>
    <t>12.5.19</t>
  </si>
  <si>
    <t>Suministro de conectores rectos de 3/4" diámetro</t>
  </si>
  <si>
    <t>12.5.20</t>
  </si>
  <si>
    <t>Suministro de conectores curvos de 3/4" diámetro</t>
  </si>
  <si>
    <t>12.5.21</t>
  </si>
  <si>
    <t>Suministro de tubería EMT de 3/4" expuesta incluidos accesorios (uniones, curvas, etc) y elementos de fijación (grapas, tornillos, etc)</t>
  </si>
  <si>
    <t>12.5.22</t>
  </si>
  <si>
    <t>Suministro de caja de paso 12*12 tipo metalandes</t>
  </si>
  <si>
    <t>12.5.23</t>
  </si>
  <si>
    <t>Suministro de tapón para sellado de tubería en cajas de canalización</t>
  </si>
  <si>
    <t>12.5.24</t>
  </si>
  <si>
    <t>Suiche Alcatel de 48 puertos</t>
  </si>
  <si>
    <t>13</t>
  </si>
  <si>
    <t>BODEGA INVERNADERO</t>
  </si>
  <si>
    <t>13.1</t>
  </si>
  <si>
    <t>PRELIMINARES</t>
  </si>
  <si>
    <t>13.1.1</t>
  </si>
  <si>
    <t>Instalación de CERRAMIENTO PROVISIONAL en tela verde con una altura de 2,1 m. y estructura en larguero común. Incluye suministro, transporte, instalación y desmonte de la tela , excavación manual en cualquier material y todos los demás elementos necesarios para su correcta instalación.</t>
  </si>
  <si>
    <t>13.1.2</t>
  </si>
  <si>
    <t>DESCAPOTE A MANO. Incluye el desenraice si es necesario, cargue transporte y botada de material sobrante en botaderos oficiales. Medido en sitio.</t>
  </si>
  <si>
    <t>13.1.3</t>
  </si>
  <si>
    <t>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t>
  </si>
  <si>
    <t>13.2</t>
  </si>
  <si>
    <t xml:space="preserve">EXCAVACIONES Y LLENOS </t>
  </si>
  <si>
    <t>13.2.1</t>
  </si>
  <si>
    <t>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t>
  </si>
  <si>
    <t>13.2.2</t>
  </si>
  <si>
    <t>EXCAVACIÓN MANUAL PARA PILOTES Ø= 0.40m. En material heterogéneo (HASTA 2.0 m.). Incluye la extracción del material de los pilotes y acarreo interno de materiales, el cargue, transporte y botada del material proveniente de la excavación en botaderos oficiales o donde lo indique la interventoría Y SU MEDIDA SERA EN SITIO.</t>
  </si>
  <si>
    <t>13.2.3</t>
  </si>
  <si>
    <t>LLENOS EN MATERIAL PROVENIENTES DE LA EXCAVACIÓN, compactados mecánicamente hasta obtener una densidad del 95% de la máxima obtenida en el ensayo del próctor modificado. Incluye transporte interno. Su medida será en sitio ya compactado.</t>
  </si>
  <si>
    <t>13.2.4</t>
  </si>
  <si>
    <t>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t>
  </si>
  <si>
    <t>13.3</t>
  </si>
  <si>
    <t>FUNDACIONES</t>
  </si>
  <si>
    <t>13.3.1</t>
  </si>
  <si>
    <t>Colocación de concreto de 14 Mpa para SOLADO, con un espesor DE 0.05 m. Incluye el suministro y el transporte del concreto y todos los demás elementos necesarios para su correcta construcción, incluye acarreo interno.</t>
  </si>
  <si>
    <t>13.3.2</t>
  </si>
  <si>
    <t>Colocación de concreto de 21 Mpa para PILOTES Ø= 40cm. HASTA 3.0 m. de profundidad. Incluye suministro y el transporte del concreto, mano de obra, vibrado, protección y curado, para estructuras de acuerdo con las diferentes dimensiones establecidas en los planos y diseños. No incluye refuerzo.</t>
  </si>
  <si>
    <t>13.3.3</t>
  </si>
  <si>
    <t>Viga fundación en concreto de 21 Mpa. de 0.30 x 0.30 m. Incluye suministro, transporte y colocación del concreto, mano de obra, formaleta completa, vibrado, protección, curado y todos los demás elementos necesario para su correcta construcción. No incluye acero de refuerzo.</t>
  </si>
  <si>
    <t>13.3.4</t>
  </si>
  <si>
    <t>Construcción de LOSA PISO EN CONCRETO DE 21 Mpa., con un ESPESOR DE 0.10 m. PENDIENTADO Y ACABADO PULIDO A MÁQUINA, vaciado alternado (en cuadros no superiores de 2.0 x 2.0 m). Incluye formaleta para junta fría en pino cepillado de 2"x4", o el que sea necesario, vibrado, curado, pulida, protección hasta la entrega final de la obra y todo lo necesario para su correcta construcción y funcionamiento. Según diseño y dimensiones establecidas en planos.</t>
  </si>
  <si>
    <t>13.4</t>
  </si>
  <si>
    <t>MUROS EN CONCRETO</t>
  </si>
  <si>
    <t>13.4.1</t>
  </si>
  <si>
    <t>Suministro, transporte y colocación de concreto de 21 Mpa(3000 psi), para muro espesor 15 cm, para una altura de 2.50 m, incluye formaleta SÚPER T para acabado a la vista ambas caras, vibrado, doble malla D-188,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t>
  </si>
  <si>
    <t>13.5</t>
  </si>
  <si>
    <t>13.5.1</t>
  </si>
  <si>
    <t>Construcción de LOSA MACIZA en concreto de 21 MPa., con un ESPESOR DE 10 cm. impermeabilizada con Plastocrete DM de Sika o equivalente. Incluye suministro, transporte hasta una altura de 3.0m y colocación del concreto, malla electrosoldada D-188 para parte superior, malla electrosoldada  D-188 para parte inferior, formaleta en Súper "T" de 19 mm o equivalente para acabado a la vista en la parte inferior y paredes laterales (la súper T se coloca sobre el tendido de teleras de la obra falsa). , biseles para corta gotera, molduras para bordes de losa y todos los demás elementos necesarios para su correcto vaciado. Incluye el suministro, armado y desarmado de toda la obra falsa necesaria para la correcta construcción de la losa según diseño. En el vaciado se deben dejar los hierros (pelos) para el amarre de la mampostería no estructural,  por ningún motivo se pagaran anclajes.  El acero de refuerzo y la malla electrosoldada se pagará en su respectivo ítem, según diseño.</t>
  </si>
  <si>
    <t>13.5.2</t>
  </si>
  <si>
    <t>Construcción de VIGA DE REMATE de 0.15 x 0.20 m. en concreto de 21 Mpa. para MURO . Incluye suministro, transporte y colocación del concreto, formaleta para concreto a la vista y todos los demás elementos necesarios para su correcta construcción, según diseño. No incluye acero de refuerzo.</t>
  </si>
  <si>
    <t>13.5.3</t>
  </si>
  <si>
    <t>Suministro, transporte e impermeabilización de losa en concreto con sistema monolítico en Poliuretano tipo Vulken o equivalente. Incluye preparación de la superficie y todos los demás elementos necesarios para su correcta aplicación.</t>
  </si>
  <si>
    <t>13.6</t>
  </si>
  <si>
    <t>OTROS</t>
  </si>
  <si>
    <t>13.6.1</t>
  </si>
  <si>
    <t xml:space="preserve">Suministro, transporte y colocación de puerta batiente , persiana, sistema VP-3831 de alúmina o equivalente. Marco y estructura en aluminio anodizado color natural. Compuesta por montante con persiana celosía fija (ref. 315) cada 5 cm. con sistema VP-3831. Alas, marco y contramarco con tubería T-103 en aluminio anodizado natural y cristal templado claro e= 6 mm.  Incluye pisavidrios a presión (ref. 177), empaques, Cerradura de Embutir 3 Bulones 50mm, llave Mariposa calidad yale o equivalente, cuatro (4) manijas en acero inoxidable doble fin de Ø= 3/4", L= 316,4 bisagras, sellado del marco (interior y exterior) fondo de junta con espuma  tipo sikarod o equivalente de Ø= 6 mm. y acabado de junta con masilla elástica de poliuretano tipo sikaflex-1a o equivalente, tope puerta Media Luna Satinado 3/16 " y todos los elementos necesarios para su correcta fabricación, instalación y funcionamiento. </t>
  </si>
  <si>
    <t>13.6.2</t>
  </si>
  <si>
    <t>Suministro, transporte y colocación de unidad mixta combinada integrada por lavaojos y ducha torrencial en acero inoxidable, altura de 2.1m, tubería de presión 1 1/4" de flujo, ducha de 30 galones por minuto y flujo lavaojos de 1.8 galones por minuto, accionamiento manual y de pedal. Incluye sifón, rejilla de piso combinada en aluminio y bronce, tuberías, accesorios, mano de obra y todos los demás elementos requeridos para su correcta instalación.</t>
  </si>
  <si>
    <t>13.7</t>
  </si>
  <si>
    <t>ACERO DE REFUERZO</t>
  </si>
  <si>
    <t>13.7.1</t>
  </si>
  <si>
    <t>Suministro, transporte, figurado,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</si>
  <si>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</si>
  <si>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13.7.2</t>
  </si>
  <si>
    <t>Colocación de MALLA ELECTROSOLDADA TIPO D 188. Colocada en MURO.  Incluye el suministro y el transporte del material y todos los elementos necesarios para su correcta colocación.</t>
  </si>
  <si>
    <t>13.8</t>
  </si>
  <si>
    <t>13.8.1</t>
  </si>
  <si>
    <t>Suministro, transporte e instalación de tubería PVC-P, RDE 21, 200 PSI, diámetro 1 1/2 ", incluye todos los accesorios en PVC de diámetro 1 1/2 "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 Incluye además las perforaciones (canchas) de paredes, andenes y/o pisos que lo requieran incluyendo cargue, transporte y botada de escombros en botaderos oficiales o donde indique la interventoría.</t>
  </si>
  <si>
    <t>13.8.2</t>
  </si>
  <si>
    <t>Suministro, transporte e instalación de tubería PVC-P, RDE 13.5, 315 PSI, diámetro 1 ", incluye todos los accesorios en PVC de diámetro 1 "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</si>
  <si>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13.8.3</t>
  </si>
  <si>
    <t>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</si>
  <si>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13.8.4</t>
  </si>
  <si>
    <t>Colocación de terminal con L = 0.15m y con camara de aire h = 0.30m, en tuberia de cobre tipo M, con un DIÁMETRO DE 1". Incluye suministro y transporte de los materiales, canche, accesorios de cobre y PVC, sellante, soldadura, teflón, y todo lo necesario para su correcta instalación y funcionamiento.</t>
  </si>
  <si>
    <t>13.8.5</t>
  </si>
  <si>
    <t>Colocación de terminal con L = 0.15m y con camara de aire h = 0.30m, en tuberia de cobre tipo M, con un DIÁMETRO DE 1/2". Incluye suministro y transporte de los materiales, canche, accesorios de cobre y PVC, sellante, soldadura, teflón, y todo lo necesario para su correcta instalación y funcionamiento.</t>
  </si>
  <si>
    <t>13.8.6</t>
  </si>
  <si>
    <t>Suministro, transporte e instalación de salidas de abasto en díametro 1"con tubería  RDE 13.5, 315 PSI,  incluye 1.5 m de tuberia y todos los accesorios en PVC de diámetro 1"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</si>
  <si>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13.8.7</t>
  </si>
  <si>
    <t>Suministro, transporte e instalación de salidas de abasto en díametro 1/2" con tubería  RDE 9, 500 PSI, incluye 1.5 m de tuberia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</si>
  <si>
    <t>13.8.8</t>
  </si>
  <si>
    <t>Suministro e instalacion de Válvulas o llave contención tipo Red White o similar Ø 1 1/2", incluye accesorios de instalacion.</t>
  </si>
  <si>
    <t>13.8.9</t>
  </si>
  <si>
    <t>Suministro e instalacion de Válvulas o llave contención tipo Red White o similar Ø 1", incluye accesorios de instalacion.</t>
  </si>
  <si>
    <t>13.8.10</t>
  </si>
  <si>
    <t>Suministro e instalacion de Válvulas o llave contención tipo Red White o similar Ø 1/2", incluye accesorios de instalacion.</t>
  </si>
  <si>
    <t>13.8.11</t>
  </si>
  <si>
    <t>Suministro, transporte e instalación de tubería PVC sanitaria tipo Pavco o similar, con un diámetro de 2",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</si>
  <si>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13.8.12</t>
  </si>
  <si>
    <t>Suministro, transporte e instalación de tubería PVC sanitaria tipo Pavco o similar,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</si>
  <si>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13.8.13</t>
  </si>
  <si>
    <t>Suministro, transporte e instalación de tubería PVC sanitaria tipo Pavco o similar,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</si>
  <si>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13.8.14</t>
  </si>
  <si>
    <t>Suministro, transporte e instalación de salida sanitaria de 3".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</si>
  <si>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13.8.15</t>
  </si>
  <si>
    <t>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</si>
  <si>
    <t>13.8.16</t>
  </si>
  <si>
    <t>Suministro, transporte e instalación de Rejilla de 3"x2" en bronce tipo Colrejillas o similar</t>
  </si>
  <si>
    <t>13.9</t>
  </si>
  <si>
    <t>13.9.1</t>
  </si>
  <si>
    <t>Suministro, transporte e instalación de Interruptor automático (breaker) monopolar enchufable 1x20A, Icc=10 kA, 220 V. Incluye cintas y anillos de marcación</t>
  </si>
  <si>
    <t>13.9.2</t>
  </si>
  <si>
    <t>Suministro, transporte e instalación de Salida eléctrica 120V para iluminación expuesta en caja metálica. Incluye: 2m de cable de cobre 3xN°12 AWG CPR HFFR LS 600V 75°C CT, incluye caja metálica 12x12x5cm, conectores tipo resorte, prensaestopa de 1/2'', elementos de fijación y demás accesorios para su correcta instalación. NO Incluye tubería.</t>
  </si>
  <si>
    <t>13.9.3</t>
  </si>
  <si>
    <t>Suministro, transporte e instalación de Salida eléctrica para interruptor sencillo 120V, 15A, expuesto en caja rawelt. Incluye: 2m de cable de cobre 3xN°12 AWG  CPR HFFR LS 600V 75°C CT, caja plástica 2''x4'', aparato con tapa, conectores tipo resorte y accesorios. NO Incluye tubería.</t>
  </si>
  <si>
    <t>13.9.4</t>
  </si>
  <si>
    <t>Suministro, transporte e instalación de Tubería PVC de 2". Incluye: Uniones, entradas a caja, conduletas, elementos de fijación, marcación y demas accesorios necesarios para su correcta instalación.</t>
  </si>
  <si>
    <t>13.9.5</t>
  </si>
  <si>
    <t>Suministro, transporte e instalación de Caja metálica 20x20x15 con tapa troquelada universal y/o lisa color gris texturizado. Incluye: Elementos de fijación y marcación.</t>
  </si>
  <si>
    <t>13.9.6</t>
  </si>
  <si>
    <t>Suministro, transporte e instalación de Luminaria de emergencia LED de sobreponer con carcasa termo plástica  de autonomía mínima de 4 horas, 110Lm, 6500°K, IP20, 4.5W, factor de potencia 0,9, batería 2.5AH, ciclos de descarga &gt;300, voltaje 110-130V, tiempo de carga 24h, álgulo de apertura 120°, incluye encauchetado 3x16AWG, prensaestopa, conectores, riel omega, y demás elementos necesarios para su correcta instalación, fijación y puesta en funcionamiento.</t>
  </si>
  <si>
    <t>13.9.7</t>
  </si>
  <si>
    <t>Caja de empalme según NORMA RS3-002 y tapa según norma EPM RS4-001. Incluye: Elementos y materiales de la obra civil, herrajes y accesorios. Los rellenos con material de excavación se pagarán en sus respectivos ítems.</t>
  </si>
  <si>
    <t>TOTAL COSTO DIRECTO</t>
  </si>
  <si>
    <t xml:space="preserve">ADMINISTRACIÓN </t>
  </si>
  <si>
    <t xml:space="preserve">UTILIDAD </t>
  </si>
  <si>
    <t>IVA % SOBRE UTILIDAD</t>
  </si>
  <si>
    <t>TOTAL PROYECTO</t>
  </si>
  <si>
    <r>
      <t xml:space="preserve">ANALISIS DETALLADO ADMINISTRACION  </t>
    </r>
    <r>
      <rPr>
        <b/>
        <sz val="10"/>
        <rFont val="Swis721 LtCn BT"/>
        <family val="2"/>
      </rPr>
      <t xml:space="preserve"> “Ejecutar las obras civiles de mantenimiento, adecuaciones, reparaciones, y obras complementarias, para la infraestructura de la Biofábrica “Fabrica de Semillas”, por la modalidad de precios unitarios fijos no reajustables, conforme con las especificaciones técnicas de construcción del proyecto”.</t>
    </r>
  </si>
  <si>
    <t>1.0</t>
  </si>
  <si>
    <t>PERSONAL PROFESIONAL Y ADMINISTRATIVOS.</t>
  </si>
  <si>
    <t>Profesionales de Obra Civil</t>
  </si>
  <si>
    <t>1.1.1</t>
  </si>
  <si>
    <r>
      <rPr>
        <b/>
        <i/>
        <sz val="9"/>
        <rFont val="Swis721 LtCn BT"/>
        <family val="2"/>
      </rPr>
      <t>Residente de Obra</t>
    </r>
    <r>
      <rPr>
        <sz val="9"/>
        <rFont val="Swis721 LtCn BT"/>
        <family val="2"/>
      </rPr>
      <t xml:space="preserve">  </t>
    </r>
    <r>
      <rPr>
        <sz val="9"/>
        <rFont val="Swis721 LtCn BT"/>
        <family val="2"/>
      </rPr>
      <t xml:space="preserve">
</t>
    </r>
    <r>
      <rPr>
        <u/>
        <sz val="9"/>
        <rFont val="Swis721 LtCn BT"/>
        <family val="2"/>
      </rPr>
      <t/>
    </r>
  </si>
  <si>
    <t>1.1.2</t>
  </si>
  <si>
    <t>Viaticos Ingeniero Residente y tecnologos</t>
  </si>
  <si>
    <t>Profesionales de Obras de Instalaciones Electricas</t>
  </si>
  <si>
    <t>1.2.1</t>
  </si>
  <si>
    <r>
      <rPr>
        <b/>
        <i/>
        <sz val="9"/>
        <rFont val="Swis721 LtCn BT"/>
        <family val="2"/>
      </rPr>
      <t>Ingeniero Electricista</t>
    </r>
    <r>
      <rPr>
        <sz val="9"/>
        <rFont val="Swis721 LtCn BT"/>
        <family val="2"/>
      </rPr>
      <t xml:space="preserve"> </t>
    </r>
    <r>
      <rPr>
        <sz val="9"/>
        <rFont val="Swis721 LtCn BT"/>
        <family val="2"/>
      </rPr>
      <t xml:space="preserve">
</t>
    </r>
    <r>
      <rPr>
        <u/>
        <sz val="9"/>
        <rFont val="Swis721 LtCn BT"/>
        <family val="2"/>
      </rPr>
      <t/>
    </r>
  </si>
  <si>
    <t>1.3</t>
  </si>
  <si>
    <t>Profesionales de Obras deAire Acondicionado</t>
  </si>
  <si>
    <t>1.3.1</t>
  </si>
  <si>
    <r>
      <rPr>
        <b/>
        <i/>
        <sz val="9"/>
        <rFont val="Swis721 LtCn BT"/>
        <family val="2"/>
      </rPr>
      <t>Ingeniero Mecanico</t>
    </r>
    <r>
      <rPr>
        <sz val="9"/>
        <rFont val="Swis721 LtCn BT"/>
        <family val="2"/>
      </rPr>
      <t xml:space="preserve"> </t>
    </r>
    <r>
      <rPr>
        <sz val="9"/>
        <rFont val="Swis721 LtCn BT"/>
        <family val="2"/>
      </rPr>
      <t xml:space="preserve">
</t>
    </r>
    <r>
      <rPr>
        <u/>
        <sz val="9"/>
        <rFont val="Swis721 LtCn BT"/>
        <family val="2"/>
      </rPr>
      <t/>
    </r>
  </si>
  <si>
    <t>1.3.2</t>
  </si>
  <si>
    <t>Viaticos Ingeniero Mecánico</t>
  </si>
  <si>
    <t>3.0</t>
  </si>
  <si>
    <t>INSTALACIONES PROVISIONALES, SEÑALIZACIÓN Y SISOMA</t>
  </si>
  <si>
    <t>Profesionales SISOMA</t>
  </si>
  <si>
    <r>
      <rPr>
        <b/>
        <i/>
        <sz val="9"/>
        <rFont val="Swis721 LtCn BT"/>
        <family val="2"/>
      </rPr>
      <t xml:space="preserve">Tecnología en seguridad e higiene ocupacional o afínes 
</t>
    </r>
    <r>
      <rPr>
        <sz val="9"/>
        <rFont val="Swis721 LtCn BT"/>
        <family val="2"/>
      </rPr>
      <t xml:space="preserve">
</t>
    </r>
    <r>
      <rPr>
        <u/>
        <sz val="9"/>
        <rFont val="Swis721 LtCn BT"/>
        <family val="2"/>
      </rPr>
      <t/>
    </r>
  </si>
  <si>
    <t>3.1.3</t>
  </si>
  <si>
    <t>Viaticos tecnologo en seuridad ocupacional</t>
  </si>
  <si>
    <t>Guia de Manejo Socio Ambiental</t>
  </si>
  <si>
    <t>3.2.1</t>
  </si>
  <si>
    <t>Implementación del sistema de gestión, de seguridad y salud en el trabajo e  inversión ambiental.</t>
  </si>
  <si>
    <t>Gastos oficina principal</t>
  </si>
  <si>
    <t>4.1.1</t>
  </si>
  <si>
    <t>Gastos oficina en obra</t>
  </si>
  <si>
    <t>4.2.1</t>
  </si>
  <si>
    <t>4.2.2</t>
  </si>
  <si>
    <t>4.2.3</t>
  </si>
  <si>
    <t>4.2.4</t>
  </si>
  <si>
    <t>Elaboración de planos necesarios para el recibo de la obra, en planchas de 1 m * 0,7 m (Planos record)</t>
  </si>
  <si>
    <t>ENSAYOS DE LABORATORIO</t>
  </si>
  <si>
    <t>Fallo de Cilindros (incluye transporte)</t>
  </si>
  <si>
    <t xml:space="preserve">Diseño de mezclas </t>
  </si>
  <si>
    <t>7.0</t>
  </si>
  <si>
    <t>SUBTOTAL AU</t>
  </si>
  <si>
    <t>PORCENTAJE TOTAL A.U</t>
  </si>
  <si>
    <t xml:space="preserve">GUSTAVO ADOLFO CARMONA ALARCÓN </t>
  </si>
  <si>
    <t>GUSTAVO ENRIQUE CARDONA VERGARA</t>
  </si>
  <si>
    <t>CONSTRUCTORES E INGENIEROS UNIDOS S.A.S (CONINSAS)</t>
  </si>
  <si>
    <t>900.342.026-3</t>
  </si>
  <si>
    <t>820.003.227-3</t>
  </si>
  <si>
    <t>NESTOR RAÚL GALINDO ROJAS</t>
  </si>
  <si>
    <t>JOSE ANTONIO ALVAREZ DELGADO</t>
  </si>
  <si>
    <t>109+1CD</t>
  </si>
  <si>
    <t>170 + 1CD</t>
  </si>
  <si>
    <t>185 + 1CD</t>
  </si>
  <si>
    <t>175 + 1CD</t>
  </si>
  <si>
    <t>2009-CO-13-0107</t>
  </si>
  <si>
    <t>GOBERNACIÓN DE ANTIOQUIA</t>
  </si>
  <si>
    <t>C</t>
  </si>
  <si>
    <t>721214-721211-721015-721029-721033</t>
  </si>
  <si>
    <t>2008-CO-13-0563</t>
  </si>
  <si>
    <t>UT</t>
  </si>
  <si>
    <t>721211-721214-721029-721033</t>
  </si>
  <si>
    <t>06 DE 2017</t>
  </si>
  <si>
    <t>MUNICIPIO DE BETANIA</t>
  </si>
  <si>
    <t>I</t>
  </si>
  <si>
    <t>721029-721033-721214-721015</t>
  </si>
  <si>
    <t>MUNICIPIO DE MEDELLIN-SECRETARIA DE EDUCACIÓN</t>
  </si>
  <si>
    <t>721015-721029-721211-721033-721214</t>
  </si>
  <si>
    <t>293-2014</t>
  </si>
  <si>
    <t>EMPRESA DE VIVIENDA DE ANTIOQUIA</t>
  </si>
  <si>
    <t>721029-721033-721214-721211-</t>
  </si>
  <si>
    <t>172-2013</t>
  </si>
  <si>
    <t>INSTITUTO DE CASAS FISCALES DEL EJERCITO</t>
  </si>
  <si>
    <t>721029-721033-721015</t>
  </si>
  <si>
    <t>SAN-009-2014</t>
  </si>
  <si>
    <t>CONTRALORIA GENERAL DE LA REPUBLICA</t>
  </si>
  <si>
    <t>721015-721029-721033</t>
  </si>
  <si>
    <t>364-SG-2014</t>
  </si>
  <si>
    <t>INSTITUTO NACIONAL DE MEDICINA LEGAL</t>
  </si>
  <si>
    <t>112-2015</t>
  </si>
  <si>
    <t>MUNICIPIO DE SESQUILLE</t>
  </si>
  <si>
    <t>721015-721029-721033-721214-721211</t>
  </si>
  <si>
    <t>042-2010</t>
  </si>
  <si>
    <t>MUNICIPIO DE PUERTO WILCHES</t>
  </si>
  <si>
    <t>721015-721029-721033-721211-721214</t>
  </si>
  <si>
    <t>025-2011</t>
  </si>
  <si>
    <t>MUNICIPIO DE SABANA DE TORRES</t>
  </si>
  <si>
    <t>721211-721214</t>
  </si>
  <si>
    <t>14000069-OH-2014</t>
  </si>
  <si>
    <t>UNIDAD AERONAUTICA CIVIL</t>
  </si>
  <si>
    <t>721029-721033-721211-721214</t>
  </si>
  <si>
    <t>ACTA DE LIQUIDACIÓN SIN MEMBRETE, CONSULTAR CON EL ABOGADO SI SE REQUIERE.</t>
  </si>
  <si>
    <t>LB-LP-055-2015</t>
  </si>
  <si>
    <t>MUNICIPIO DE LA BELLEZA</t>
  </si>
  <si>
    <t>721015-721029-721033-721214</t>
  </si>
  <si>
    <t>2019-ARC-DIABA-2012</t>
  </si>
  <si>
    <t>ARMADA NACIONAL DE LA REPUBLICA DE COLOMBIA</t>
  </si>
  <si>
    <t>721029-721033-721211-721214-721015</t>
  </si>
  <si>
    <t>310-ARC-DIABA-2013</t>
  </si>
  <si>
    <t>MUNICIPIO DE MALAGANA BOLIVAR</t>
  </si>
  <si>
    <t>209 ARC DIABA-2014</t>
  </si>
  <si>
    <t>MECAR SA MC N° 72-6-10047</t>
  </si>
  <si>
    <t>POLICIA METROPOLITANA DE CARTAGENA</t>
  </si>
  <si>
    <t>CUMPLE FOLIOS 146-164</t>
  </si>
  <si>
    <t>CUMPLE</t>
  </si>
  <si>
    <t>CUMPLE FOLIOS 167-185</t>
  </si>
  <si>
    <t>CUMPLE FOLIOS152-170</t>
  </si>
  <si>
    <t>CUMPLE FOLIOS 90-109</t>
  </si>
  <si>
    <t>H</t>
  </si>
  <si>
    <t>3 DE ABRIL DE 2019</t>
  </si>
  <si>
    <t xml:space="preserve">No multiplicó el valor por la cantidad </t>
  </si>
  <si>
    <t>NH</t>
  </si>
  <si>
    <t>NO CUMPLE</t>
  </si>
  <si>
    <t>CORRECIÓN ARITMETICA</t>
  </si>
  <si>
    <t>3.1.1 Requisitos personas naturales</t>
  </si>
  <si>
    <t>Tener capacidad jurídica para contratar. Por tanto, debe: (i) Ser mayor de edad; y (ii) no tener inhabilidades, incompatibilidades ni conflictos de interés para contratar, según el artículo 4° del Acuerdo Superior 419 de 2014. Anexo 8A</t>
  </si>
  <si>
    <t xml:space="preserve">Ser Ingeniero Civil, arquitecto o arquitecto constructor con matrícula profesional vigente, que haya sido expedida mínimo TRES (3) años antes del cierre de la presente INVITACIÓN, acompañado del certificado de vigencia de la misma.
</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</si>
  <si>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como cotizante y con los aportes Parafiscales (Caja de Compensación Familiar, Sena, ICBF)</t>
  </si>
  <si>
    <t>No tener ninguna de estas situaciones: Cesación de pagos o, cualquier otra circunstancia que justificadamente permita a LA UNIVERSIDAD presumir incapacidad o imposibilidad jurídica, económica o técnica para cumplir el objeto del contrato. Anexo 2A</t>
  </si>
  <si>
    <t>No estar reportada al Boletín de Responsables Fiscales de la Contraloría General de la República.</t>
  </si>
  <si>
    <t xml:space="preserve">No tener antecedentes disciplinarios en la Procuraduría General de la Nación. </t>
  </si>
  <si>
    <t>No estar en mora Registro Nacional de Medidas Correctivas RNMC de la Policia Nacional de Colomvbia (artículo 183 de la Ley 1801 de 2016)</t>
  </si>
  <si>
    <t>estar inscrito en registro único tributario RUT</t>
  </si>
  <si>
    <t>Estar inscrita, Calificada y Clasificada en el Registro Único de Proponentes - RUP - de la Cámara de Comercio, en alguna de las clasificaciones de la UNSPSC, establecidas en la Tabla # 4  
F 72-12-14
F 72 12-11
F 72-10-15 
F 72-10-29
F 72-10-33</t>
  </si>
  <si>
    <t>3.1.2. Requisitos personas jurídicas</t>
  </si>
  <si>
    <t>Ser una persona jurídica para contratar, por tanto el proonente debe: (i) ser persona jurídica con capacidad jurídica para celebrar contratos; (ii) tener como objeto social principal, o conexo, las actividades establecidas en el objeto de la presente INVITACIÓN. (iii) Haber sido registrada por lo menos tres (3) añosantes de la fecha de apertura  de la invitación; (iv) tener una vigencia mínima igual al término de duración de las garantías exigidas y un año más; (v) estar inscrita en la Cámara de Comercio de su domicilio; (vi) No estar el representante legal ni los miembros de su órgano de dirección y manejo (Juanta Directiva, Junta de socios, entre otra). inhabilidades, incompatibilidades ni conflictos de intereses para contratar con la Universidad de Antioquia,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t>
  </si>
  <si>
    <t>(i) Ser, el representante legal, Ingeniero Civil, arquitecto o arquitecto constructor con matrícula profesional vigente, que haya sido expedida mínimo TRES (3) años antes de la cierre de la presente INVITACIÓN, acompañado del certificado de vigencia de la misma. Cuando el representante legal No cumpla el requisito anterior; la propuesta debe ser tambien Firmada o Abonada por un profesional que sí cumpla el requisito.</t>
  </si>
  <si>
    <t>Haber cumplido con los aportes al sistema de seguridad social integral y parafiscales, en los seis (6) meses anteriores a la presentación de la propuests star afiliado y a paz y salvo con el sistema de salu (EPS) y el sistema generral de pensiones en los términos de la Ley.</t>
  </si>
  <si>
    <t>No estar reportada al Boletín de Responsables Fiscales de la Contraloría General de la República. (Artículo 60 de la Ley 610 de 2000)</t>
  </si>
  <si>
    <t>No estar en mora en el Sistema de Registro Nacional de Medidas Correctivas RNMC de la Policía Nacional  de Colombia (artículo 183 de la Ley 1801 de 2016)</t>
  </si>
  <si>
    <t xml:space="preserve">estar inscrita, calificada y clasificada en el Registro Único de PROPONENTES –RUP- de la Cámara de Comercio de su domicilio antes de la fecha de cierre o entrega de propuestas de esta invitación, en cualquiera de las categorías de la UNSPSC.
F 72-12-14
F 72 12-11
F 72-10-15 
F 72-10-29
F 72-10-33
</t>
  </si>
  <si>
    <t>No tener ninguna de estas situaciones: Cesación de pagos o, cualquier otra circunstancia que justificadamente permita a LA UNIVERSIDAD presumir incapacidad o imposibilidad jurídica, económica o técnica para cumplir el objeto del contrato.</t>
  </si>
  <si>
    <t>No tener antecedentes judicioales en la Policía Nacional de Colombia.</t>
  </si>
  <si>
    <t>No tener antecedentes en la Procuraduría General de la Nación</t>
  </si>
  <si>
    <t>No estar en mora en el Sistema de Registro Nacional de Medidas Corerctivas RNMC de la Policía Nacional  de Colombia (artículo 183 de la Ley 1801 de 2016)</t>
  </si>
  <si>
    <t>Estar inscrita en el Registro Único Tributario</t>
  </si>
  <si>
    <t xml:space="preserve">Estar inscrita, calificada y clasificada en el Registro Único de PROPONENTES –RUP- de la Cámara de Comercio de su domicilio antes de la fecha de cierre o entrega de propuestas de esta invitación, en cualquiera de las categorías de la UNSPSC.
F 72-12-14
F 72 12-11
F 72-10-15 
F 72-10-29
F 72-10-33
</t>
  </si>
  <si>
    <t xml:space="preserve">Póliza de seriedad de la oferta
</t>
  </si>
  <si>
    <t>Anexo 8, folios 2 - 3 carta de presentación de la oferta. Gustavo Adolfo Carmona Alarcón cc 71577370 folio 4</t>
  </si>
  <si>
    <t>Ingeniero Civil con Matrícula Profesional 05202-27454 válida por seis mes y expedida el 3 de diciembre de 2018 folios 5 -6</t>
  </si>
  <si>
    <t xml:space="preserve">A folio 62 el certificado de existencia y representación legal informa que se encuentra registrada ninguna incapacidad para contratar. </t>
  </si>
  <si>
    <t>No se encuntra reporatdo como responsable fiscal a folio 9</t>
  </si>
  <si>
    <t>No tiene antecedentes disciplinarios en la Procuraduría a folio 10.</t>
  </si>
  <si>
    <t>No tiene asuntos pendientes con las autoridades judiciales a folio 11</t>
  </si>
  <si>
    <t>No está en mora en el registro Nacional de Medidas Correctivas a folio 12</t>
  </si>
  <si>
    <t>Inscrito en el RUT a folio 13</t>
  </si>
  <si>
    <t>RUP inscrito en el certificado de existencia y representación legal expedido por la Cámara de Comercio de Medellín para Antioquia, el día 28 de agosto de 2013, renovada el día 22 de marzo de 2018. Certificado expedido el 27 de marzo de 2018, folios 14 - 64</t>
  </si>
  <si>
    <t>Presenta garantía de seriedad de la oferta a folios 65 - 69</t>
  </si>
  <si>
    <t xml:space="preserve">Liberty Seguros </t>
  </si>
  <si>
    <t>Póliza N° 3031255 expedida el 27 de marzo de 2019, folios 65 a 69</t>
  </si>
  <si>
    <t xml:space="preserve"> Valor asegurado de $136.755.662,90, a folios 65 -69</t>
  </si>
  <si>
    <t>del 2 de abril de 2019 hasta el 11 de junio de 2019</t>
  </si>
  <si>
    <t>Certificado de existencia y representación legal de la Cámara de Comercio de Bogotá expedido el 4 de marzo de 2019 a folios 11 a 16, Carta de presentación de la oferta a folios 4 a 5  el Anexo 6 a folio 37 se evidecnia cumplimiento de experiencia general en contratos y actas de liquidación. 
Representada por Nestor raul Galindo Rojas cc19.388.026. Folios 4 -6. Cámara de Comercio de Bogotá, inscrita el 19 de febrero de 2010, Matrícula Inmobiliaria N°01966910 del 19 de febrero de 2010. folios 10 - 16</t>
  </si>
  <si>
    <t xml:space="preserve">Certificado de existencia y representación legal  a folios 21 a 28, Cámara de Comercio de Tunja, inscrito el 1° de abril de 2001, renovada el 27 de marzo de 2018 carta de Presentación Folios 4 - 5. José Antonio Álvarez Delgado cc 91237454, en calidad de representante legal de CODENCO. Folio 4 - 6 </t>
  </si>
  <si>
    <t>Abonado por el ingeniero civil Oscar David Ospino Bermudez cc 84450653 Tarjeta profesional N° 08202-130062 ATL. Folios 7 - 8 - 9.</t>
  </si>
  <si>
    <t>Abonado por Pedro Digno Navarro Castilla, cc 9270669 Ingeniero Civil con Matrículo Profesional 08202-08482 ATL. Folio 5</t>
  </si>
  <si>
    <t>Artículo 50 Lel 789 de 2002, NIT 900342026-3, Revisora Fiscal Diomar Consuelo Solano Guzman cc 52.108.513, Matrícula Profesional 201842-T, folios 19- 25</t>
  </si>
  <si>
    <t>Artículo 50 Lel 789 de 2002, Luz Mireya Granados Figueroa cc 1098.628.717, TP 203659 en calidad de Revisora Fiscal Suplente, expide certificado el 2 de abril de 2019. folios 11 - 17</t>
  </si>
  <si>
    <t xml:space="preserve"> NIT 900342026-3, código de verificación 9003420263190329212417. Y cc N°19.388.026, código de verificación 19388026190329212545</t>
  </si>
  <si>
    <t>NIT 8200032273  código de verificación 81000322731900329212804 a folio 121. Cédula de ciudadnía N° 91.237454 código de verificación 912374541900329212651 a folio 122</t>
  </si>
  <si>
    <t>No está en mora en el sistema ed registro nacional de medidas correctivas de la policía nacional de Colombia.</t>
  </si>
  <si>
    <t>No tiene asuntos pendientes con las autoridades judiciales a folio 116</t>
  </si>
  <si>
    <t>Se verificó a folio 16 del certificado de existencia y representación legal del 27 de marzo de 2019</t>
  </si>
  <si>
    <t>Se verificó a folios 30  a 112 del certificado de existencia y representación legal  que cumple con las categorías a folios 56 - 88 -90</t>
  </si>
  <si>
    <t>No posee incapacidad jurídica para contratar a folios 11 - 16</t>
  </si>
  <si>
    <t>No posee incapacidad jurídica para contratar a folio 30</t>
  </si>
  <si>
    <t>No tiene asuntos pendientes con autoridades judiciales. Folio 27</t>
  </si>
  <si>
    <t>No posee asuntos pendiente, cédula ciudadnía N° 91237454, folios 115 - 116</t>
  </si>
  <si>
    <t>No posee antecedentes MIT 900.342.0263 certificado ordinario 124761579 del 29 de amrzo de 2019. CC19388026 certificado ordinario 124761605 del 29 de marzo de 2019</t>
  </si>
  <si>
    <t>No posee antecdentes NIT 8200032273  a folio 118. Cédula de ciudadnía N° 91.237454 a folio 119</t>
  </si>
  <si>
    <t>No está reportado en RNMC</t>
  </si>
  <si>
    <t>Con RUP vigente hasta el 29 de enero de 2030.</t>
  </si>
  <si>
    <t>Folios 29 - 112</t>
  </si>
  <si>
    <t>RUP inscrito en el certificado de existencia y representación legal expedido por la Cámara de Comercio de Bogotá, inscrita el 19 de febrero de 2010, Matrícula Inmobiliaria N°01966910 del 19 de febrero de 2010. renovada el 12 de marzo de 2018. Folios 76 - 138. Verificadas las categorías a folios  106 - 108 - 111</t>
  </si>
  <si>
    <t>RUP inscrito en la Cámara de Comercio de Tunja, el 3 de marzo de 2001, renovado el 24 de abril de 2018 a folio 30. Verificadas las categorías a folios 56 - 88 - 90</t>
  </si>
  <si>
    <t>Seguros  del Estado póliza N° 21-44-101293147, expedida el 28 de marzo de 2019, por valor de $136.755.662,90, folios 17 -18</t>
  </si>
  <si>
    <t xml:space="preserve">Aseguradora Solidaria Póliza N° 440-47- 994000022974 con vigencia desde el 2 de abril de 2019 hasta el 22 de junio de 2019, por valor de $136.755.662,90 </t>
  </si>
  <si>
    <t>$136.755.662,90, folios 17 -18</t>
  </si>
  <si>
    <t>del 2 de abril de 2019 hasta el 10 de junio ed 2019.</t>
  </si>
  <si>
    <t>Fotocopia de la cédula Cc 73.581.245 a folio 6 y de la carta de presentación de la oferta a folios 4 y 5</t>
  </si>
  <si>
    <t>Gustavo Enrique Cardona Vergara. Cc 73.581.245 ingeniero civil, Matrícula Profesional 13202-084470 BLV, código de verificación N°E 2018VEN00255738 de diciembre de 2018. folio 007</t>
  </si>
  <si>
    <t>Artículo 50 Lel 789 de 2002, cc 73.581.245, planilla de pago N° 8026616 del mes de marzo de 2019 , planilla N° 8026618 de marzo de 2019 folios 9 y 10</t>
  </si>
  <si>
    <t>No responsable fiscal CC 73.581.245 , código de verificación  73581245190329212308. Folio 12</t>
  </si>
  <si>
    <t>Cc 73.581.245 , código de verificación</t>
  </si>
  <si>
    <t>No registra sanciones ni inhabilidades vigentes, código de verificación 124761627 a folio 16</t>
  </si>
  <si>
    <t>RUT a folio 126</t>
  </si>
  <si>
    <t>RUP inscrito en el certificado de existencia y representación legal expedido por la Cámara de Comercio de Cartagena del 26 de enero de 2010, renovada el día       31 de marzo de 2018. Certificado expedido el 6 de marzo de 2018, folios 18 - 124. verificado la clasificación a folio 26</t>
  </si>
  <si>
    <t>Garantía de Seriedad de la Oferta expedida por Seguros del Estado Póliza N°75-44-101097752</t>
  </si>
  <si>
    <t>Seguros del estado Póliza N°75-44-101097752</t>
  </si>
  <si>
    <t>02/04/2019 hasta el 30/06/2019</t>
  </si>
  <si>
    <r>
      <t xml:space="preserve">Planilla N°39521697 de marzo de 2018, donde se evidencia pago de seguridad social de los empleados folios 7 - 8, </t>
    </r>
    <r>
      <rPr>
        <sz val="10"/>
        <color rgb="FFFF0000"/>
        <rFont val="Arial"/>
        <family val="2"/>
      </rPr>
      <t>Se anexa planilla de ARUSN° 59481528 de marzo de 2019 y planilla N° 65148972 de abril de 2019, como constacia de cumplimiento de pagos a la seguridad social integral</t>
    </r>
  </si>
  <si>
    <t>Allegó certificado de no tener asuntos pendientes con autoridades judiciales  expedido el día 8 de abril de 2019.</t>
  </si>
  <si>
    <t>Allegó certificadode no tener asuntos pendientes con las autoridades judiciales el 4 de abril de 2019</t>
  </si>
  <si>
    <t>CIERRE: 2/04/2019
HORA: 10:30 A.M</t>
  </si>
  <si>
    <t>ADMINISTRACCIÓN PUBLICA COOPERATIVA DE DEPARTAMENTOS Y MUNICIPIOS DE COLOMBIA (CODENCO)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</si>
</sst>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 #,##0_-;_-* &quot;-&quot;_-;_-@_-"/>
    <numFmt numFmtId="43" formatCode="_-* #,##0.00_-;\-* #,##0.00_-;_-* &quot;-&quot;??_-;_-@_-"/>
    <numFmt numFmtId="164" formatCode="&quot;$&quot;#,##0.00;[Red]\-&quot;$&quot;#,##0.00"/>
    <numFmt numFmtId="165" formatCode="_-&quot;$&quot;* #,##0_-;\-&quot;$&quot;* #,##0_-;_-&quot;$&quot;* &quot;-&quot;_-;_-@_-"/>
    <numFmt numFmtId="166" formatCode="_-&quot;$&quot;* #,##0.00_-;\-&quot;$&quot;* #,##0.00_-;_-&quot;$&quot;* &quot;-&quot;??_-;_-@_-"/>
    <numFmt numFmtId="167" formatCode="_(* #,##0.00_);_(* \(#,##0.00\);_(* &quot;-&quot;??_);_(@_)"/>
    <numFmt numFmtId="168" formatCode="_-* #,##0.00\ _€_-;\-* #,##0.00\ _€_-;_-* &quot;-&quot;??\ _€_-;_-@_-"/>
    <numFmt numFmtId="169" formatCode="_ * #,##0.00_ ;_ * \-#,##0.00_ ;_ * &quot;-&quot;??_ ;_ @_ "/>
    <numFmt numFmtId="170" formatCode="&quot;K=&quot;\ \ \ \ #,##0.00\ &quot;de contra&quot;"/>
    <numFmt numFmtId="171" formatCode="&quot;$&quot;\ #,##0.00"/>
    <numFmt numFmtId="172" formatCode="#,##0.00\ &quot;SMMLV&quot;"/>
    <numFmt numFmtId="173" formatCode="_ * #,##0_ ;_ * \-#,##0_ ;_ * &quot;-&quot;??_ ;_ @_ "/>
    <numFmt numFmtId="174" formatCode="_-* #,##0.00\ [$€]_-;\-* #,##0.00\ [$€]_-;_-* &quot;-&quot;??\ [$€]_-;_-@_-"/>
    <numFmt numFmtId="175" formatCode="\$#,##0.00_);[Red]\(\$#,##0.00\)"/>
    <numFmt numFmtId="176" formatCode="&quot;$&quot;\ #,##0.00;[Red]&quot;$&quot;\ \-#,##0.00"/>
    <numFmt numFmtId="177" formatCode="_-* #,##0.00\ _$_-;\-* #,##0.00\ _$_-;_-* &quot;-&quot;??\ _$_-;_-@_-"/>
    <numFmt numFmtId="178" formatCode="#,##0.000"/>
    <numFmt numFmtId="179" formatCode="0.0"/>
    <numFmt numFmtId="180" formatCode="###,###,##0.00000"/>
    <numFmt numFmtId="181" formatCode="&quot;$&quot;\ #,##0;&quot;$&quot;\ \-#,##0"/>
    <numFmt numFmtId="182" formatCode="_ &quot;$&quot;\ * #,##0.00_ ;_ &quot;$&quot;\ * \-#,##0.00_ ;_ &quot;$&quot;\ * &quot;-&quot;??_ ;_ @_ "/>
    <numFmt numFmtId="183" formatCode="_ &quot;$&quot;\ * #,##0_ ;_ &quot;$&quot;\ * \-#,##0_ ;_ &quot;$&quot;\ * &quot;-&quot;_ ;_ @_ "/>
    <numFmt numFmtId="184" formatCode="&quot;$&quot;\ #,##0.00;&quot;$&quot;\ \-#,##0.00"/>
    <numFmt numFmtId="185" formatCode="[$$-240A]\ #,##0.00"/>
    <numFmt numFmtId="186" formatCode="&quot;$&quot;\ #,##0;[Red]&quot;$&quot;\ \-#,##0"/>
    <numFmt numFmtId="187" formatCode="_(* #,##0_);_(* \(#,##0\);_(* &quot;-&quot;??_);_(@_)"/>
    <numFmt numFmtId="188" formatCode="_([$$-240A]\ * #,##0_);_([$$-240A]\ * \(#,##0\);_([$$-240A]\ * &quot;-&quot;_);_(@_)"/>
    <numFmt numFmtId="189" formatCode="#,##0;[Red]#,##0"/>
    <numFmt numFmtId="190" formatCode="#,##0.00;[Red]#,##0.00"/>
    <numFmt numFmtId="191" formatCode="&quot;$&quot;\ #,##0"/>
    <numFmt numFmtId="192" formatCode="&quot;$&quot;#,##0"/>
    <numFmt numFmtId="193" formatCode="&quot;$&quot;#,##0.00"/>
    <numFmt numFmtId="194" formatCode="#,##0.0000"/>
    <numFmt numFmtId="195" formatCode="#,##0.00_ ;[Red]\-#,##0.00\ "/>
    <numFmt numFmtId="196" formatCode="&quot;X=&quot;0.0"/>
    <numFmt numFmtId="197" formatCode="_-&quot;$&quot;* #,##0_-;\-&quot;$&quot;* #,##0_-;_-&quot;$&quot;* &quot;-&quot;??_-;_-@_-"/>
    <numFmt numFmtId="198" formatCode="_-&quot;$&quot;* #,##0_-;\-&quot;$&quot;* #,##0_-;_-&quot;$&quot;* &quot;-&quot;??_-;_-@"/>
    <numFmt numFmtId="199" formatCode="0.000%"/>
    <numFmt numFmtId="200" formatCode="0.0000%"/>
    <numFmt numFmtId="201" formatCode="0.00000%"/>
    <numFmt numFmtId="202" formatCode="0.000000%"/>
    <numFmt numFmtId="203" formatCode="0.00000000000%"/>
    <numFmt numFmtId="204" formatCode="0.000000000000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rgb="FFFF0000"/>
      <name val="Arial"/>
      <family val="2"/>
    </font>
    <font>
      <sz val="10"/>
      <color theme="1"/>
      <name val="Arial"/>
      <family val="2"/>
    </font>
    <font>
      <b/>
      <sz val="10"/>
      <color theme="1"/>
      <name val="Arial"/>
      <family val="2"/>
    </font>
    <font>
      <b/>
      <sz val="10"/>
      <color rgb="FF000000"/>
      <name val="Arial"/>
      <family val="2"/>
    </font>
    <font>
      <sz val="10"/>
      <color rgb="FF000000"/>
      <name val="Arial"/>
      <family val="2"/>
    </font>
    <font>
      <sz val="11"/>
      <color rgb="FF000000"/>
      <name val="Calibri"/>
      <family val="2"/>
    </font>
    <font>
      <b/>
      <sz val="12"/>
      <color rgb="FF000000"/>
      <name val="Calibri"/>
      <family val="2"/>
    </font>
    <font>
      <sz val="11"/>
      <name val="Calibri"/>
      <family val="2"/>
      <scheme val="minor"/>
    </font>
    <font>
      <b/>
      <sz val="11"/>
      <name val="Calibri"/>
      <family val="2"/>
      <scheme val="minor"/>
    </font>
    <font>
      <b/>
      <sz val="12"/>
      <name val="Calibri"/>
      <family val="2"/>
      <scheme val="minor"/>
    </font>
    <font>
      <sz val="8"/>
      <name val="Calibri"/>
      <family val="2"/>
      <scheme val="minor"/>
    </font>
    <font>
      <sz val="11"/>
      <name val="Arial"/>
      <family val="2"/>
    </font>
    <font>
      <b/>
      <sz val="12"/>
      <color rgb="FF000000"/>
      <name val="Arial"/>
      <family val="2"/>
    </font>
    <font>
      <b/>
      <sz val="12"/>
      <color theme="1"/>
      <name val="Arial"/>
      <family val="2"/>
    </font>
    <font>
      <b/>
      <sz val="14"/>
      <color rgb="FF000000"/>
      <name val="Calibri"/>
      <family val="2"/>
    </font>
    <font>
      <sz val="11"/>
      <color theme="1"/>
      <name val="Arial"/>
      <family val="2"/>
    </font>
    <font>
      <b/>
      <sz val="11"/>
      <color theme="1"/>
      <name val="Arial"/>
      <family val="2"/>
    </font>
    <font>
      <sz val="10"/>
      <name val="Swis721 LtCn BT"/>
      <family val="2"/>
    </font>
    <font>
      <sz val="11"/>
      <name val="Swis721 LtCn BT"/>
      <family val="2"/>
    </font>
    <font>
      <b/>
      <sz val="12"/>
      <name val="Swis721 LtCn BT"/>
      <family val="2"/>
    </font>
    <font>
      <b/>
      <sz val="11"/>
      <name val="Swis721 LtCn BT"/>
      <family val="2"/>
    </font>
    <font>
      <b/>
      <sz val="10"/>
      <name val="Swis721 LtCn BT"/>
      <family val="2"/>
    </font>
    <font>
      <b/>
      <sz val="9"/>
      <name val="Swis721 LtCn BT"/>
      <family val="2"/>
    </font>
    <font>
      <sz val="9"/>
      <name val="Swis721 LtCn BT"/>
      <family val="2"/>
    </font>
    <font>
      <b/>
      <i/>
      <sz val="9"/>
      <name val="Swis721 LtCn BT"/>
      <family val="2"/>
    </font>
    <font>
      <u/>
      <sz val="9"/>
      <name val="Swis721 LtCn BT"/>
      <family val="2"/>
    </font>
    <font>
      <sz val="16"/>
      <name val="Arial"/>
      <family val="2"/>
    </font>
    <font>
      <sz val="12"/>
      <color theme="1"/>
      <name val="Arial"/>
      <family val="2"/>
    </font>
    <font>
      <b/>
      <sz val="11"/>
      <color rgb="FF000000"/>
      <name val="Arial"/>
      <family val="2"/>
    </font>
    <font>
      <sz val="11"/>
      <color rgb="FF000000"/>
      <name val="Arial"/>
      <family val="2"/>
    </font>
    <font>
      <sz val="12"/>
      <name val="Calibri"/>
      <family val="2"/>
      <scheme val="minor"/>
    </font>
    <font>
      <b/>
      <sz val="16"/>
      <name val="Calibri"/>
      <family val="2"/>
      <scheme val="minor"/>
    </font>
    <font>
      <b/>
      <vertAlign val="subscript"/>
      <sz val="12"/>
      <name val="Calibri"/>
      <family val="2"/>
      <scheme val="minor"/>
    </font>
    <font>
      <b/>
      <sz val="20"/>
      <name val="Calibri"/>
      <family val="2"/>
      <scheme val="minor"/>
    </font>
    <font>
      <sz val="10"/>
      <name val="Arial"/>
      <family val="2"/>
    </font>
    <font>
      <b/>
      <sz val="10"/>
      <color rgb="FFFF0000"/>
      <name val="Arial"/>
      <family val="2"/>
    </font>
    <font>
      <b/>
      <sz val="10"/>
      <name val="Calibri"/>
      <family val="2"/>
      <scheme val="minor"/>
    </font>
    <font>
      <b/>
      <sz val="9"/>
      <name val="Calibri"/>
      <family val="2"/>
      <scheme val="minor"/>
    </font>
    <font>
      <sz val="10"/>
      <name val="Century Gothic"/>
      <family val="2"/>
    </font>
    <font>
      <u/>
      <sz val="10"/>
      <color theme="10"/>
      <name val="Arial"/>
      <family val="2"/>
    </font>
    <font>
      <i/>
      <sz val="11"/>
      <name val="Swis721 LtCn BT"/>
      <family val="2"/>
    </font>
    <font>
      <sz val="10.5"/>
      <color theme="1"/>
      <name val="Arial"/>
      <family val="2"/>
    </font>
    <font>
      <sz val="10.5"/>
      <name val="Arial"/>
      <family val="2"/>
    </font>
    <font>
      <b/>
      <sz val="14"/>
      <name val="Swis721 LtCn BT"/>
      <family val="2"/>
    </font>
    <font>
      <b/>
      <sz val="16"/>
      <name val="Swis721 LtCn BT"/>
      <family val="2"/>
    </font>
    <font>
      <u/>
      <sz val="12"/>
      <name val="Arial"/>
      <family val="2"/>
    </font>
    <font>
      <b/>
      <sz val="11"/>
      <color indexed="8"/>
      <name val="Swis721 LtCn BT"/>
      <family val="2"/>
    </font>
    <font>
      <b/>
      <i/>
      <sz val="11"/>
      <name val="Swis721 LtCn BT"/>
      <family val="2"/>
    </font>
    <font>
      <sz val="8"/>
      <name val="Arial"/>
      <family val="2"/>
    </font>
    <font>
      <sz val="11"/>
      <color theme="0"/>
      <name val="Calibri"/>
      <family val="2"/>
      <scheme val="minor"/>
    </font>
    <font>
      <b/>
      <sz val="18"/>
      <color theme="1"/>
      <name val="Arial"/>
      <family val="2"/>
    </font>
    <font>
      <b/>
      <sz val="18"/>
      <name val="Arial"/>
      <family val="2"/>
    </font>
    <font>
      <sz val="10"/>
      <name val="Arial"/>
      <family val="2"/>
    </font>
    <font>
      <sz val="10"/>
      <color theme="0"/>
      <name val="Arial"/>
      <family val="2"/>
    </font>
    <font>
      <sz val="11"/>
      <color theme="0"/>
      <name val="Arial"/>
      <family val="2"/>
    </font>
    <font>
      <sz val="11"/>
      <color theme="0"/>
      <name val="Swis721 LtCn BT"/>
      <family val="2"/>
    </font>
    <font>
      <b/>
      <sz val="10.5"/>
      <color theme="0"/>
      <name val="Swis721 LtCn BT"/>
      <family val="2"/>
    </font>
    <font>
      <b/>
      <sz val="10.5"/>
      <color theme="0"/>
      <name val="Century Gothic"/>
      <family val="2"/>
    </font>
    <font>
      <b/>
      <sz val="11"/>
      <color theme="0"/>
      <name val="Swis721 LtCn BT"/>
      <family val="2"/>
    </font>
    <font>
      <b/>
      <sz val="11"/>
      <color theme="0"/>
      <name val="Century Gothic"/>
      <family val="2"/>
    </font>
    <font>
      <b/>
      <sz val="11"/>
      <color rgb="FF000000"/>
      <name val="Swis721 LtCn BT"/>
      <family val="2"/>
    </font>
    <font>
      <b/>
      <sz val="12"/>
      <name val="Century Gothic"/>
      <family val="2"/>
    </font>
    <font>
      <b/>
      <sz val="11"/>
      <name val="Century Gothic"/>
      <family val="2"/>
    </font>
    <font>
      <sz val="11"/>
      <color rgb="FF000000"/>
      <name val="Swis721 LtCn BT"/>
      <family val="2"/>
    </font>
    <font>
      <sz val="10"/>
      <name val="Euphemia"/>
      <family val="2"/>
    </font>
    <font>
      <b/>
      <sz val="10"/>
      <name val="Euphemia"/>
      <family val="2"/>
    </font>
    <font>
      <b/>
      <sz val="12"/>
      <color theme="1"/>
      <name val="Swis721 LtCn BT"/>
      <family val="2"/>
    </font>
    <font>
      <sz val="10"/>
      <color rgb="FF000000"/>
      <name val="Calibri"/>
      <family val="2"/>
    </font>
    <font>
      <b/>
      <sz val="11.5"/>
      <name val="Swis721 LtCn BT"/>
      <family val="2"/>
    </font>
    <font>
      <sz val="12"/>
      <name val="Swis721 LtCn BT"/>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theme="6"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2" tint="-9.9978637043366805E-2"/>
        <bgColor rgb="FFBFBFBF"/>
      </patternFill>
    </fill>
    <fill>
      <patternFill patternType="solid">
        <fgColor theme="2" tint="-0.249977111117893"/>
        <bgColor indexed="64"/>
      </patternFill>
    </fill>
    <fill>
      <patternFill patternType="solid">
        <fgColor theme="6" tint="0.39997558519241921"/>
        <bgColor indexed="8"/>
      </patternFill>
    </fill>
    <fill>
      <patternFill patternType="solid">
        <fgColor rgb="FFBFBFBF"/>
        <bgColor rgb="FFBFBFBF"/>
      </patternFill>
    </fill>
    <fill>
      <patternFill patternType="solid">
        <fgColor rgb="FFFFFFFF"/>
        <bgColor rgb="FFFFFFFF"/>
      </patternFill>
    </fill>
    <fill>
      <patternFill patternType="solid">
        <fgColor rgb="FFFFFF00"/>
        <bgColor rgb="FFFFFFFF"/>
      </patternFill>
    </fill>
    <fill>
      <patternFill patternType="solid">
        <fgColor theme="0" tint="-0.249977111117893"/>
        <bgColor rgb="FFFFFFFF"/>
      </patternFill>
    </fill>
    <fill>
      <patternFill patternType="solid">
        <fgColor theme="2" tint="-9.9978637043366805E-2"/>
        <bgColor indexed="64"/>
      </patternFill>
    </fill>
    <fill>
      <patternFill patternType="solid">
        <fgColor theme="0" tint="-0.249977111117893"/>
        <bgColor rgb="FFBFBFBF"/>
      </patternFill>
    </fill>
    <fill>
      <patternFill patternType="solid">
        <fgColor theme="6" tint="0.39997558519241921"/>
        <bgColor rgb="FFBFBFBF"/>
      </patternFill>
    </fill>
    <fill>
      <patternFill patternType="solid">
        <fgColor rgb="FFFF0000"/>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style="double">
        <color auto="1"/>
      </top>
      <bottom/>
      <diagonal/>
    </border>
    <border>
      <left/>
      <right/>
      <top/>
      <bottom style="double">
        <color auto="1"/>
      </bottom>
      <diagonal/>
    </border>
    <border>
      <left style="double">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double">
        <color auto="1"/>
      </right>
      <top style="hair">
        <color auto="1"/>
      </top>
      <bottom style="hair">
        <color auto="1"/>
      </bottom>
      <diagonal/>
    </border>
    <border>
      <left style="double">
        <color auto="1"/>
      </left>
      <right style="medium">
        <color auto="1"/>
      </right>
      <top/>
      <bottom style="hair">
        <color auto="1"/>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style="hair">
        <color auto="1"/>
      </bottom>
      <diagonal/>
    </border>
    <border>
      <left style="medium">
        <color auto="1"/>
      </left>
      <right style="double">
        <color auto="1"/>
      </right>
      <top/>
      <bottom style="hair">
        <color auto="1"/>
      </bottom>
      <diagonal/>
    </border>
    <border>
      <left style="double">
        <color auto="1"/>
      </left>
      <right style="medium">
        <color auto="1"/>
      </right>
      <top/>
      <bottom/>
      <diagonal/>
    </border>
    <border>
      <left style="medium">
        <color auto="1"/>
      </left>
      <right style="medium">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top/>
      <bottom style="hair">
        <color auto="1"/>
      </bottom>
      <diagonal/>
    </border>
    <border>
      <left style="medium">
        <color auto="1"/>
      </left>
      <right/>
      <top style="hair">
        <color auto="1"/>
      </top>
      <bottom style="hair">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thin">
        <color indexed="64"/>
      </left>
      <right style="double">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style="medium">
        <color auto="1"/>
      </right>
      <top style="double">
        <color auto="1"/>
      </top>
      <bottom style="medium">
        <color auto="1"/>
      </bottom>
      <diagonal/>
    </border>
    <border>
      <left/>
      <right/>
      <top style="double">
        <color auto="1"/>
      </top>
      <bottom style="medium">
        <color auto="1"/>
      </bottom>
      <diagonal/>
    </border>
    <border>
      <left style="double">
        <color auto="1"/>
      </left>
      <right/>
      <top style="double">
        <color auto="1"/>
      </top>
      <bottom style="medium">
        <color auto="1"/>
      </bottom>
      <diagonal/>
    </border>
    <border>
      <left/>
      <right style="double">
        <color auto="1"/>
      </right>
      <top style="double">
        <color auto="1"/>
      </top>
      <bottom style="medium">
        <color auto="1"/>
      </bottom>
      <diagonal/>
    </border>
    <border>
      <left style="double">
        <color auto="1"/>
      </left>
      <right style="medium">
        <color auto="1"/>
      </right>
      <top style="medium">
        <color auto="1"/>
      </top>
      <bottom style="double">
        <color auto="1"/>
      </bottom>
      <diagonal/>
    </border>
    <border>
      <left style="double">
        <color auto="1"/>
      </left>
      <right style="thin">
        <color auto="1"/>
      </right>
      <top/>
      <bottom style="double">
        <color auto="1"/>
      </bottom>
      <diagonal/>
    </border>
    <border>
      <left style="thin">
        <color auto="1"/>
      </left>
      <right style="thin">
        <color auto="1"/>
      </right>
      <top/>
      <bottom style="double">
        <color auto="1"/>
      </bottom>
      <diagonal/>
    </border>
    <border>
      <left style="double">
        <color rgb="FF000000"/>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double">
        <color auto="1"/>
      </left>
      <right style="double">
        <color auto="1"/>
      </right>
      <top/>
      <bottom/>
      <diagonal/>
    </border>
    <border>
      <left style="medium">
        <color auto="1"/>
      </left>
      <right style="medium">
        <color auto="1"/>
      </right>
      <top style="medium">
        <color auto="1"/>
      </top>
      <bottom style="double">
        <color auto="1"/>
      </bottom>
      <diagonal/>
    </border>
    <border>
      <left style="double">
        <color auto="1"/>
      </left>
      <right style="double">
        <color auto="1"/>
      </right>
      <top style="double">
        <color rgb="FF000000"/>
      </top>
      <bottom/>
      <diagonal/>
    </border>
    <border>
      <left/>
      <right style="double">
        <color auto="1"/>
      </right>
      <top/>
      <bottom style="double">
        <color rgb="FF000000"/>
      </bottom>
      <diagonal/>
    </border>
    <border>
      <left style="thin">
        <color indexed="64"/>
      </left>
      <right style="thin">
        <color indexed="64"/>
      </right>
      <top style="medium">
        <color indexed="64"/>
      </top>
      <bottom style="thin">
        <color indexed="64"/>
      </bottom>
      <diagonal/>
    </border>
    <border>
      <left style="thin">
        <color auto="1"/>
      </left>
      <right style="double">
        <color auto="1"/>
      </right>
      <top style="double">
        <color rgb="FF000000"/>
      </top>
      <bottom/>
      <diagonal/>
    </border>
    <border>
      <left style="thin">
        <color auto="1"/>
      </left>
      <right style="double">
        <color auto="1"/>
      </right>
      <top/>
      <bottom/>
      <diagonal/>
    </border>
    <border>
      <left style="thin">
        <color auto="1"/>
      </left>
      <right style="double">
        <color auto="1"/>
      </right>
      <top/>
      <bottom style="double">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auto="1"/>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double">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style="double">
        <color auto="1"/>
      </right>
      <top style="medium">
        <color auto="1"/>
      </top>
      <bottom style="hair">
        <color auto="1"/>
      </bottom>
      <diagonal/>
    </border>
    <border>
      <left style="double">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double">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style="double">
        <color auto="1"/>
      </right>
      <top style="hair">
        <color auto="1"/>
      </top>
      <bottom style="medium">
        <color auto="1"/>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right style="medium">
        <color auto="1"/>
      </right>
      <top style="double">
        <color auto="1"/>
      </top>
      <bottom style="double">
        <color auto="1"/>
      </bottom>
      <diagonal/>
    </border>
    <border>
      <left style="medium">
        <color auto="1"/>
      </left>
      <right style="double">
        <color auto="1"/>
      </right>
      <top style="double">
        <color auto="1"/>
      </top>
      <bottom style="double">
        <color auto="1"/>
      </bottom>
      <diagonal/>
    </border>
    <border>
      <left style="double">
        <color auto="1"/>
      </left>
      <right style="medium">
        <color auto="1"/>
      </right>
      <top style="double">
        <color auto="1"/>
      </top>
      <bottom style="thick">
        <color auto="1"/>
      </bottom>
      <diagonal/>
    </border>
    <border>
      <left style="medium">
        <color auto="1"/>
      </left>
      <right style="medium">
        <color auto="1"/>
      </right>
      <top style="double">
        <color auto="1"/>
      </top>
      <bottom style="thick">
        <color auto="1"/>
      </bottom>
      <diagonal/>
    </border>
    <border>
      <left style="medium">
        <color auto="1"/>
      </left>
      <right/>
      <top style="double">
        <color auto="1"/>
      </top>
      <bottom style="thick">
        <color auto="1"/>
      </bottom>
      <diagonal/>
    </border>
    <border>
      <left style="medium">
        <color auto="1"/>
      </left>
      <right style="double">
        <color auto="1"/>
      </right>
      <top style="double">
        <color auto="1"/>
      </top>
      <bottom style="thick">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s>
  <cellStyleXfs count="433">
    <xf numFmtId="0" fontId="0" fillId="0" borderId="0"/>
    <xf numFmtId="164" fontId="11" fillId="0" borderId="0" applyFont="0" applyFill="0" applyProtection="0"/>
    <xf numFmtId="0" fontId="11" fillId="0" borderId="0"/>
    <xf numFmtId="169" fontId="14" fillId="0" borderId="0" applyFont="0" applyFill="0" applyBorder="0" applyAlignment="0" applyProtection="0"/>
    <xf numFmtId="174" fontId="11"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5" fontId="11" fillId="0" borderId="0" applyFont="0" applyFill="0" applyProtection="0"/>
    <xf numFmtId="175" fontId="11" fillId="0" borderId="0" applyFont="0" applyFill="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8" fontId="11" fillId="0" borderId="0" applyFont="0" applyFill="0" applyBorder="0" applyAlignment="0" applyProtection="0"/>
    <xf numFmtId="167"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7" fontId="11" fillId="0" borderId="0" applyFont="0" applyFill="0" applyBorder="0" applyAlignment="0" applyProtection="0"/>
    <xf numFmtId="168" fontId="11" fillId="0" borderId="0" applyFont="0" applyFill="0" applyBorder="0" applyAlignment="0" applyProtection="0"/>
    <xf numFmtId="176" fontId="11" fillId="0" borderId="0" applyFont="0" applyFill="0" applyProtection="0"/>
    <xf numFmtId="176" fontId="11" fillId="0" borderId="0" applyFont="0" applyFill="0" applyProtection="0"/>
    <xf numFmtId="176" fontId="11" fillId="0" borderId="0" applyFont="0" applyFill="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6" fontId="11" fillId="0" borderId="0" applyFont="0" applyFill="0" applyProtection="0"/>
    <xf numFmtId="176" fontId="11" fillId="0" borderId="0" applyFont="0" applyFill="0" applyProtection="0"/>
    <xf numFmtId="176" fontId="11" fillId="0" borderId="0" applyFont="0" applyFill="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4" fontId="11" fillId="0" borderId="0" applyFont="0" applyFill="0" applyProtection="0"/>
    <xf numFmtId="164" fontId="11" fillId="0" borderId="0" applyFont="0" applyFill="0" applyProtection="0"/>
    <xf numFmtId="167" fontId="11" fillId="0" borderId="0" applyFont="0" applyFill="0" applyBorder="0" applyAlignment="0" applyProtection="0"/>
    <xf numFmtId="177" fontId="11" fillId="0" borderId="0" applyFont="0" applyFill="0" applyBorder="0" applyAlignment="0" applyProtection="0"/>
    <xf numFmtId="167" fontId="11" fillId="0" borderId="0" applyFont="0" applyFill="0" applyBorder="0" applyAlignment="0" applyProtection="0"/>
    <xf numFmtId="178" fontId="11" fillId="0" borderId="0" applyFont="0" applyFill="0" applyProtection="0"/>
    <xf numFmtId="0" fontId="11" fillId="0" borderId="0" applyFont="0" applyFill="0" applyProtection="0"/>
    <xf numFmtId="0" fontId="11" fillId="0" borderId="0" applyFont="0" applyFill="0" applyProtection="0"/>
    <xf numFmtId="0" fontId="11" fillId="0" borderId="0" applyFont="0" applyFill="0" applyProtection="0"/>
    <xf numFmtId="0" fontId="11" fillId="0" borderId="0" applyFont="0" applyFill="0" applyProtection="0"/>
    <xf numFmtId="0" fontId="11" fillId="0" borderId="0" applyFont="0" applyFill="0" applyProtection="0"/>
    <xf numFmtId="0" fontId="11" fillId="0" borderId="0" applyFont="0" applyFill="0" applyProtection="0"/>
    <xf numFmtId="175" fontId="11" fillId="0" borderId="0" applyFont="0" applyFill="0" applyProtection="0"/>
    <xf numFmtId="179" fontId="11" fillId="0" borderId="0" applyFont="0" applyFill="0" applyProtection="0"/>
    <xf numFmtId="179" fontId="11" fillId="0" borderId="0" applyFont="0" applyFill="0" applyProtection="0"/>
    <xf numFmtId="179" fontId="11" fillId="0" borderId="0" applyFont="0" applyFill="0" applyProtection="0"/>
    <xf numFmtId="175" fontId="11" fillId="0" borderId="0" applyFont="0" applyFill="0" applyProtection="0"/>
    <xf numFmtId="175" fontId="11" fillId="0" borderId="0" applyFont="0" applyFill="0" applyProtection="0"/>
    <xf numFmtId="178" fontId="11" fillId="0" borderId="0" applyFont="0" applyFill="0" applyProtection="0"/>
    <xf numFmtId="178" fontId="11" fillId="0" borderId="0" applyFont="0" applyFill="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0" fontId="11" fillId="0" borderId="0" applyFont="0" applyFill="0" applyProtection="0"/>
    <xf numFmtId="180" fontId="11" fillId="0" borderId="0" applyFont="0" applyFill="0" applyProtection="0"/>
    <xf numFmtId="180" fontId="11" fillId="0" borderId="0" applyFont="0" applyFill="0" applyProtection="0"/>
    <xf numFmtId="164" fontId="11" fillId="0" borderId="0" applyFont="0" applyFill="0" applyProtection="0"/>
    <xf numFmtId="164" fontId="11" fillId="0" borderId="0" applyFont="0" applyFill="0" applyProtection="0"/>
    <xf numFmtId="164" fontId="11" fillId="0" borderId="0" applyFont="0" applyFill="0" applyProtection="0"/>
    <xf numFmtId="164" fontId="11" fillId="0" borderId="0" applyFont="0" applyFill="0" applyProtection="0"/>
    <xf numFmtId="164" fontId="11" fillId="0" borderId="0" applyFont="0" applyFill="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1" fontId="11" fillId="0" borderId="0" applyFont="0" applyFill="0" applyBorder="0" applyAlignment="0" applyProtection="0"/>
    <xf numFmtId="182"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2" fontId="11" fillId="0" borderId="0" applyFont="0" applyFill="0" applyProtection="0"/>
    <xf numFmtId="12" fontId="11" fillId="0" borderId="0" applyFont="0" applyFill="0" applyProtection="0"/>
    <xf numFmtId="12" fontId="11" fillId="0" borderId="0" applyFont="0" applyFill="0" applyProtection="0"/>
    <xf numFmtId="41" fontId="1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13" fontId="11" fillId="0" borderId="0" applyFont="0" applyFill="0" applyProtection="0"/>
    <xf numFmtId="13" fontId="11" fillId="0" borderId="0" applyFont="0" applyFill="0" applyProtection="0"/>
    <xf numFmtId="13" fontId="11" fillId="0" borderId="0" applyFont="0" applyFill="0" applyProtection="0"/>
    <xf numFmtId="13" fontId="11" fillId="0" borderId="0" applyFont="0" applyFill="0" applyProtection="0"/>
    <xf numFmtId="13" fontId="11" fillId="0" borderId="0" applyFont="0" applyFill="0" applyProtection="0"/>
    <xf numFmtId="9" fontId="11" fillId="0" borderId="0" applyFont="0" applyFill="0" applyBorder="0" applyAlignment="0" applyProtection="0"/>
    <xf numFmtId="0" fontId="11" fillId="0" borderId="0"/>
    <xf numFmtId="0" fontId="11" fillId="0" borderId="0"/>
    <xf numFmtId="0" fontId="11" fillId="0" borderId="0"/>
    <xf numFmtId="0" fontId="19"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2"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8" borderId="0" applyNumberFormat="0" applyBorder="0" applyAlignment="0" applyProtection="0"/>
    <xf numFmtId="3" fontId="13" fillId="0" borderId="0">
      <alignment horizontal="center" vertical="center"/>
    </xf>
    <xf numFmtId="0" fontId="22" fillId="3"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22" borderId="4" applyNumberFormat="0" applyAlignment="0" applyProtection="0"/>
    <xf numFmtId="0" fontId="25" fillId="23" borderId="4" applyNumberFormat="0" applyAlignment="0" applyProtection="0"/>
    <xf numFmtId="0" fontId="25" fillId="23" borderId="4" applyNumberFormat="0" applyAlignment="0" applyProtection="0"/>
    <xf numFmtId="0" fontId="25" fillId="23" borderId="4" applyNumberFormat="0" applyAlignment="0" applyProtection="0"/>
    <xf numFmtId="0" fontId="26" fillId="24" borderId="5" applyNumberFormat="0" applyAlignment="0" applyProtection="0"/>
    <xf numFmtId="0" fontId="26" fillId="24" borderId="5" applyNumberFormat="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6" fillId="24" borderId="5" applyNumberFormat="0" applyAlignment="0" applyProtection="0"/>
    <xf numFmtId="0" fontId="28" fillId="0" borderId="0">
      <alignment horizontal="left" vertical="top"/>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30" fillId="13" borderId="4" applyNumberFormat="0" applyAlignment="0" applyProtection="0"/>
    <xf numFmtId="0" fontId="30" fillId="13" borderId="4" applyNumberFormat="0" applyAlignment="0" applyProtection="0"/>
    <xf numFmtId="0" fontId="30" fillId="13" borderId="4" applyNumberFormat="0" applyAlignment="0" applyProtection="0"/>
    <xf numFmtId="0" fontId="11" fillId="27" borderId="1" applyNumberFormat="0" applyFont="0" applyFill="0" applyBorder="0" applyAlignment="0" applyProtection="0">
      <alignment horizontal="center" vertical="center" wrapText="1"/>
      <protection locked="0"/>
    </xf>
    <xf numFmtId="0" fontId="31" fillId="0" borderId="0" applyNumberFormat="0" applyFill="0" applyBorder="0" applyAlignment="0" applyProtection="0"/>
    <xf numFmtId="0" fontId="32" fillId="0" borderId="0">
      <alignment horizontal="centerContinuous"/>
    </xf>
    <xf numFmtId="0" fontId="23" fillId="4" borderId="0" applyNumberFormat="0" applyBorder="0" applyAlignment="0" applyProtection="0"/>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30" fillId="7" borderId="4" applyNumberFormat="0" applyAlignment="0" applyProtection="0"/>
    <xf numFmtId="0" fontId="36" fillId="0" borderId="10" applyNumberFormat="0" applyFill="0" applyAlignment="0" applyProtection="0"/>
    <xf numFmtId="176" fontId="11" fillId="0" borderId="0" applyFont="0" applyFill="0" applyProtection="0"/>
    <xf numFmtId="184" fontId="11" fillId="0" borderId="0" applyFont="0" applyFill="0" applyBorder="0" applyAlignment="0" applyProtection="0"/>
    <xf numFmtId="169"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9" fontId="11" fillId="0" borderId="0" applyFont="0" applyFill="0" applyBorder="0" applyAlignment="0" applyProtection="0"/>
    <xf numFmtId="184" fontId="11" fillId="0" borderId="0" applyFont="0" applyFill="0" applyBorder="0" applyAlignment="0" applyProtection="0"/>
    <xf numFmtId="186"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11" fillId="0" borderId="0"/>
    <xf numFmtId="0" fontId="38" fillId="0" borderId="0"/>
    <xf numFmtId="0" fontId="20" fillId="0" borderId="0"/>
    <xf numFmtId="0" fontId="20" fillId="0" borderId="0"/>
    <xf numFmtId="0" fontId="20" fillId="0" borderId="0"/>
    <xf numFmtId="0" fontId="20" fillId="0" borderId="0"/>
    <xf numFmtId="0" fontId="38" fillId="0" borderId="0"/>
    <xf numFmtId="0" fontId="11" fillId="0" borderId="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39" fillId="22" borderId="12" applyNumberFormat="0" applyAlignment="0" applyProtection="0"/>
    <xf numFmtId="13" fontId="11" fillId="0" borderId="0" applyFont="0" applyFill="0" applyProtection="0"/>
    <xf numFmtId="13" fontId="11" fillId="0" borderId="0" applyFont="0" applyFill="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3" fontId="11" fillId="0" borderId="0" applyFont="0" applyFill="0" applyBorder="0" applyAlignment="0" applyProtection="0"/>
    <xf numFmtId="0" fontId="39" fillId="23" borderId="12" applyNumberFormat="0" applyAlignment="0" applyProtection="0"/>
    <xf numFmtId="0" fontId="39" fillId="23" borderId="12" applyNumberFormat="0" applyAlignment="0" applyProtection="0"/>
    <xf numFmtId="0" fontId="39" fillId="23" borderId="1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0" fillId="0" borderId="2" applyBorder="0">
      <alignment horizontal="center"/>
    </xf>
    <xf numFmtId="0" fontId="41" fillId="0" borderId="0" applyNumberFormat="0" applyFill="0" applyBorder="0" applyAlignment="0" applyProtection="0"/>
    <xf numFmtId="0" fontId="42" fillId="0" borderId="0">
      <alignment horizontal="left" vertical="top"/>
    </xf>
    <xf numFmtId="0" fontId="43" fillId="0" borderId="13"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11" fillId="0" borderId="0">
      <alignment horizontal="left" vertical="top"/>
    </xf>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16" fillId="0" borderId="0">
      <alignment horizontal="left" vertical="top"/>
    </xf>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0" fillId="0" borderId="0">
      <alignment horizontal="left" vertical="top"/>
    </xf>
    <xf numFmtId="0" fontId="27" fillId="0" borderId="0" applyNumberFormat="0" applyFill="0" applyBorder="0" applyAlignment="0" applyProtection="0"/>
    <xf numFmtId="182"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53" fillId="0" borderId="0"/>
    <xf numFmtId="0" fontId="9" fillId="0" borderId="0"/>
    <xf numFmtId="0" fontId="8" fillId="0" borderId="0"/>
    <xf numFmtId="188" fontId="11" fillId="0" borderId="0"/>
    <xf numFmtId="0" fontId="7" fillId="0" borderId="0"/>
    <xf numFmtId="0" fontId="6" fillId="0" borderId="0"/>
    <xf numFmtId="0" fontId="5" fillId="0" borderId="0"/>
    <xf numFmtId="0" fontId="4" fillId="0" borderId="0"/>
    <xf numFmtId="0" fontId="4"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9" fontId="82" fillId="0" borderId="0" applyFont="0" applyFill="0" applyBorder="0" applyAlignment="0" applyProtection="0"/>
    <xf numFmtId="0" fontId="3" fillId="0" borderId="0"/>
    <xf numFmtId="0" fontId="11" fillId="0" borderId="0"/>
    <xf numFmtId="0" fontId="87" fillId="0" borderId="0" applyNumberForma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5" fillId="0" borderId="0" applyFont="0" applyFill="0" applyBorder="0" applyAlignment="0" applyProtection="0"/>
    <xf numFmtId="0" fontId="24" fillId="22" borderId="46" applyNumberFormat="0" applyAlignment="0" applyProtection="0"/>
    <xf numFmtId="0" fontId="25" fillId="23" borderId="46" applyNumberFormat="0" applyAlignment="0" applyProtection="0"/>
    <xf numFmtId="0" fontId="25" fillId="23" borderId="46" applyNumberFormat="0" applyAlignment="0" applyProtection="0"/>
    <xf numFmtId="0" fontId="25" fillId="23" borderId="46" applyNumberFormat="0" applyAlignment="0" applyProtection="0"/>
    <xf numFmtId="0" fontId="30" fillId="13" borderId="46" applyNumberFormat="0" applyAlignment="0" applyProtection="0"/>
    <xf numFmtId="0" fontId="30" fillId="13" borderId="46" applyNumberFormat="0" applyAlignment="0" applyProtection="0"/>
    <xf numFmtId="0" fontId="30" fillId="13" borderId="46" applyNumberFormat="0" applyAlignment="0" applyProtection="0"/>
    <xf numFmtId="0" fontId="11" fillId="27" borderId="32" applyNumberFormat="0" applyFont="0" applyFill="0" applyBorder="0" applyAlignment="0" applyProtection="0">
      <alignment horizontal="center" vertical="center" wrapText="1"/>
      <protection locked="0"/>
    </xf>
    <xf numFmtId="0" fontId="30" fillId="7" borderId="46" applyNumberFormat="0" applyAlignment="0" applyProtection="0"/>
    <xf numFmtId="0" fontId="11" fillId="10" borderId="47" applyNumberFormat="0" applyFont="0" applyAlignment="0" applyProtection="0"/>
    <xf numFmtId="0" fontId="11" fillId="10" borderId="47" applyNumberFormat="0" applyFont="0" applyAlignment="0" applyProtection="0"/>
    <xf numFmtId="0" fontId="11" fillId="10" borderId="47" applyNumberFormat="0" applyFont="0" applyAlignment="0" applyProtection="0"/>
    <xf numFmtId="0" fontId="11" fillId="10" borderId="47" applyNumberFormat="0" applyFont="0" applyAlignment="0" applyProtection="0"/>
    <xf numFmtId="0" fontId="39" fillId="22" borderId="48" applyNumberFormat="0" applyAlignment="0" applyProtection="0"/>
    <xf numFmtId="0" fontId="39" fillId="23" borderId="48" applyNumberFormat="0" applyAlignment="0" applyProtection="0"/>
    <xf numFmtId="0" fontId="39" fillId="23" borderId="48" applyNumberFormat="0" applyAlignment="0" applyProtection="0"/>
    <xf numFmtId="0" fontId="39" fillId="23" borderId="48" applyNumberFormat="0" applyAlignment="0" applyProtection="0"/>
    <xf numFmtId="0" fontId="46" fillId="0" borderId="49" applyNumberFormat="0" applyFill="0" applyAlignment="0" applyProtection="0"/>
    <xf numFmtId="0" fontId="46" fillId="0" borderId="49" applyNumberFormat="0" applyFill="0" applyAlignment="0" applyProtection="0"/>
    <xf numFmtId="0" fontId="46" fillId="0" borderId="4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1" fillId="0" borderId="0"/>
    <xf numFmtId="41" fontId="100" fillId="0" borderId="0" applyFont="0" applyFill="0" applyBorder="0" applyAlignment="0" applyProtection="0"/>
    <xf numFmtId="166" fontId="100" fillId="0" borderId="0" applyFont="0" applyFill="0" applyBorder="0" applyAlignment="0" applyProtection="0"/>
    <xf numFmtId="165" fontId="100" fillId="0" borderId="0" applyFont="0" applyFill="0" applyBorder="0" applyAlignment="0" applyProtection="0"/>
    <xf numFmtId="166" fontId="11" fillId="0" borderId="0" applyFont="0" applyFill="0" applyBorder="0" applyAlignment="0" applyProtection="0"/>
    <xf numFmtId="0" fontId="11" fillId="0" borderId="0"/>
  </cellStyleXfs>
  <cellXfs count="710">
    <xf numFmtId="0" fontId="0" fillId="0" borderId="0" xfId="0"/>
    <xf numFmtId="0" fontId="49" fillId="0" borderId="0" xfId="344" applyFont="1" applyAlignment="1">
      <alignment vertical="center"/>
    </xf>
    <xf numFmtId="0" fontId="49" fillId="33" borderId="1" xfId="344" applyFont="1" applyFill="1" applyBorder="1" applyAlignment="1">
      <alignment horizontal="justify" vertical="center" wrapText="1"/>
    </xf>
    <xf numFmtId="0" fontId="49" fillId="33" borderId="1" xfId="344" applyFont="1" applyFill="1" applyBorder="1" applyAlignment="1">
      <alignment vertical="center"/>
    </xf>
    <xf numFmtId="0" fontId="51" fillId="33" borderId="1" xfId="344" applyFont="1" applyFill="1" applyBorder="1" applyAlignment="1">
      <alignment horizontal="center" vertical="center" wrapText="1"/>
    </xf>
    <xf numFmtId="0" fontId="63" fillId="0" borderId="0" xfId="351" applyFont="1"/>
    <xf numFmtId="0" fontId="71" fillId="0" borderId="31" xfId="356" applyFont="1" applyBorder="1" applyAlignment="1">
      <alignment horizontal="center" vertical="center"/>
    </xf>
    <xf numFmtId="9" fontId="71" fillId="0" borderId="33" xfId="356" applyNumberFormat="1" applyFont="1" applyBorder="1" applyAlignment="1">
      <alignment horizontal="center" vertical="center"/>
    </xf>
    <xf numFmtId="192" fontId="71" fillId="0" borderId="34" xfId="356" applyNumberFormat="1" applyFont="1" applyBorder="1" applyAlignment="1">
      <alignment horizontal="center" vertical="center"/>
    </xf>
    <xf numFmtId="0" fontId="71" fillId="31" borderId="31" xfId="356" applyFont="1" applyFill="1" applyBorder="1" applyAlignment="1">
      <alignment horizontal="center" vertical="center"/>
    </xf>
    <xf numFmtId="0" fontId="65" fillId="0" borderId="31" xfId="356" applyFont="1" applyBorder="1" applyAlignment="1">
      <alignment horizontal="center" vertical="center"/>
    </xf>
    <xf numFmtId="0" fontId="65" fillId="0" borderId="33" xfId="356" applyFont="1" applyBorder="1" applyAlignment="1">
      <alignment vertical="center"/>
    </xf>
    <xf numFmtId="10" fontId="71" fillId="0" borderId="33" xfId="356" applyNumberFormat="1" applyFont="1" applyBorder="1" applyAlignment="1">
      <alignment horizontal="center" vertical="center"/>
    </xf>
    <xf numFmtId="0" fontId="11" fillId="0" borderId="0" xfId="356" applyAlignment="1">
      <alignment horizontal="center" vertical="center"/>
    </xf>
    <xf numFmtId="192" fontId="70" fillId="31" borderId="33" xfId="356" applyNumberFormat="1" applyFont="1" applyFill="1" applyBorder="1" applyAlignment="1">
      <alignment horizontal="center" vertical="center"/>
    </xf>
    <xf numFmtId="4" fontId="70" fillId="31" borderId="33" xfId="356" applyNumberFormat="1" applyFont="1" applyFill="1" applyBorder="1" applyAlignment="1">
      <alignment horizontal="center" vertical="center"/>
    </xf>
    <xf numFmtId="9" fontId="70" fillId="31" borderId="33" xfId="356" applyNumberFormat="1" applyFont="1" applyFill="1" applyBorder="1" applyAlignment="1">
      <alignment horizontal="center" vertical="center"/>
    </xf>
    <xf numFmtId="9" fontId="69" fillId="0" borderId="29" xfId="356" applyNumberFormat="1" applyFont="1" applyBorder="1" applyAlignment="1">
      <alignment horizontal="center" vertical="center"/>
    </xf>
    <xf numFmtId="0" fontId="50" fillId="33" borderId="1" xfId="344" applyFont="1" applyFill="1" applyBorder="1" applyAlignment="1">
      <alignment horizontal="left" vertical="center" wrapText="1"/>
    </xf>
    <xf numFmtId="2" fontId="71" fillId="0" borderId="33" xfId="356" applyNumberFormat="1" applyFont="1" applyBorder="1" applyAlignment="1">
      <alignment horizontal="center" vertical="center"/>
    </xf>
    <xf numFmtId="1" fontId="71" fillId="0" borderId="43" xfId="356" applyNumberFormat="1" applyFont="1" applyBorder="1" applyAlignment="1">
      <alignment horizontal="center" vertical="center"/>
    </xf>
    <xf numFmtId="0" fontId="71" fillId="0" borderId="33" xfId="356" applyFont="1" applyBorder="1" applyAlignment="1">
      <alignment horizontal="left" vertical="center" wrapText="1"/>
    </xf>
    <xf numFmtId="0" fontId="71" fillId="0" borderId="43" xfId="356" applyFont="1" applyBorder="1" applyAlignment="1">
      <alignment horizontal="center" vertical="center"/>
    </xf>
    <xf numFmtId="0" fontId="71" fillId="0" borderId="33" xfId="356" applyFont="1" applyBorder="1" applyAlignment="1">
      <alignment vertical="center"/>
    </xf>
    <xf numFmtId="0" fontId="71" fillId="0" borderId="43" xfId="356" applyFont="1" applyBorder="1" applyAlignment="1">
      <alignment vertical="center"/>
    </xf>
    <xf numFmtId="9" fontId="70" fillId="31" borderId="43" xfId="356" applyNumberFormat="1" applyFont="1" applyFill="1" applyBorder="1" applyAlignment="1">
      <alignment horizontal="center" vertical="center"/>
    </xf>
    <xf numFmtId="9" fontId="69" fillId="0" borderId="44" xfId="356" applyNumberFormat="1" applyFont="1" applyBorder="1" applyAlignment="1">
      <alignment horizontal="center" vertical="center"/>
    </xf>
    <xf numFmtId="10" fontId="70" fillId="31" borderId="33" xfId="356" applyNumberFormat="1" applyFont="1" applyFill="1" applyBorder="1" applyAlignment="1">
      <alignment horizontal="center" vertical="center"/>
    </xf>
    <xf numFmtId="0" fontId="70" fillId="31" borderId="33" xfId="356" applyFont="1" applyFill="1" applyBorder="1" applyAlignment="1">
      <alignment horizontal="left" vertical="center" wrapText="1"/>
    </xf>
    <xf numFmtId="0" fontId="11" fillId="0" borderId="0" xfId="356" applyAlignment="1">
      <alignment vertical="center"/>
    </xf>
    <xf numFmtId="192" fontId="70" fillId="31" borderId="34" xfId="356" applyNumberFormat="1" applyFont="1" applyFill="1" applyBorder="1" applyAlignment="1">
      <alignment horizontal="center" vertical="center"/>
    </xf>
    <xf numFmtId="0" fontId="65" fillId="0" borderId="28" xfId="356" applyFont="1" applyBorder="1" applyAlignment="1">
      <alignment horizontal="center" vertical="center"/>
    </xf>
    <xf numFmtId="0" fontId="69" fillId="0" borderId="29" xfId="356" applyFont="1" applyBorder="1" applyAlignment="1">
      <alignment horizontal="justify" vertical="center" wrapText="1"/>
    </xf>
    <xf numFmtId="0" fontId="69" fillId="0" borderId="29" xfId="356" applyFont="1" applyBorder="1" applyAlignment="1">
      <alignment vertical="center"/>
    </xf>
    <xf numFmtId="192" fontId="69" fillId="0" borderId="30" xfId="356" applyNumberFormat="1" applyFont="1" applyBorder="1" applyAlignment="1">
      <alignment horizontal="center" vertical="center"/>
    </xf>
    <xf numFmtId="0" fontId="71" fillId="0" borderId="33" xfId="356" applyFont="1" applyBorder="1" applyAlignment="1">
      <alignment horizontal="center" vertical="center"/>
    </xf>
    <xf numFmtId="0" fontId="71" fillId="30" borderId="33" xfId="356" applyFont="1" applyFill="1" applyBorder="1" applyAlignment="1">
      <alignment horizontal="left" vertical="center" wrapText="1"/>
    </xf>
    <xf numFmtId="0" fontId="71" fillId="0" borderId="35" xfId="356" applyFont="1" applyBorder="1" applyAlignment="1">
      <alignment horizontal="center" vertical="center"/>
    </xf>
    <xf numFmtId="0" fontId="71" fillId="0" borderId="36" xfId="356" applyFont="1" applyBorder="1" applyAlignment="1">
      <alignment horizontal="left" vertical="center" wrapText="1"/>
    </xf>
    <xf numFmtId="4" fontId="71" fillId="0" borderId="36" xfId="356" applyNumberFormat="1" applyFont="1" applyBorder="1" applyAlignment="1">
      <alignment horizontal="center" vertical="center"/>
    </xf>
    <xf numFmtId="0" fontId="71" fillId="0" borderId="36" xfId="356" applyFont="1" applyBorder="1" applyAlignment="1">
      <alignment horizontal="center" vertical="center"/>
    </xf>
    <xf numFmtId="0" fontId="71" fillId="0" borderId="3" xfId="356" applyFont="1" applyBorder="1" applyAlignment="1">
      <alignment horizontal="center" vertical="center"/>
    </xf>
    <xf numFmtId="0" fontId="15" fillId="0" borderId="0" xfId="356" applyFont="1" applyAlignment="1">
      <alignment horizontal="center" vertical="center"/>
    </xf>
    <xf numFmtId="0" fontId="42" fillId="29" borderId="32" xfId="351" applyFont="1" applyFill="1" applyBorder="1" applyAlignment="1">
      <alignment horizontal="center" vertical="center"/>
    </xf>
    <xf numFmtId="0" fontId="42" fillId="29" borderId="32" xfId="351" applyFont="1" applyFill="1" applyBorder="1" applyAlignment="1">
      <alignment horizontal="center" vertical="center" wrapText="1"/>
    </xf>
    <xf numFmtId="0" fontId="59" fillId="0" borderId="42" xfId="351" applyFont="1" applyBorder="1" applyAlignment="1">
      <alignment horizontal="center" vertical="center" wrapText="1"/>
    </xf>
    <xf numFmtId="0" fontId="59" fillId="0" borderId="0" xfId="351" applyFont="1"/>
    <xf numFmtId="1" fontId="59" fillId="0" borderId="32" xfId="0" applyNumberFormat="1" applyFont="1" applyBorder="1" applyAlignment="1">
      <alignment horizontal="center" vertical="center" wrapText="1"/>
    </xf>
    <xf numFmtId="0" fontId="12" fillId="0" borderId="0" xfId="356" applyFont="1" applyAlignment="1">
      <alignment horizontal="center" vertical="center"/>
    </xf>
    <xf numFmtId="0" fontId="59" fillId="0" borderId="0" xfId="356" applyFont="1" applyAlignment="1">
      <alignment horizontal="right" vertical="center"/>
    </xf>
    <xf numFmtId="0" fontId="59" fillId="0" borderId="42" xfId="351" applyFont="1" applyBorder="1" applyAlignment="1">
      <alignment horizontal="center" vertical="center"/>
    </xf>
    <xf numFmtId="1" fontId="50" fillId="33" borderId="1" xfId="344" applyNumberFormat="1" applyFont="1" applyFill="1" applyBorder="1" applyAlignment="1">
      <alignment horizontal="center" vertical="center" wrapText="1"/>
    </xf>
    <xf numFmtId="190" fontId="78" fillId="30" borderId="1" xfId="349" applyNumberFormat="1" applyFont="1" applyFill="1" applyBorder="1" applyAlignment="1">
      <alignment horizontal="center" vertical="center"/>
    </xf>
    <xf numFmtId="10" fontId="78" fillId="30" borderId="32" xfId="357" applyNumberFormat="1" applyFont="1" applyFill="1" applyBorder="1" applyAlignment="1">
      <alignment horizontal="center" vertical="center"/>
    </xf>
    <xf numFmtId="2" fontId="78" fillId="30" borderId="1" xfId="349" applyNumberFormat="1" applyFont="1" applyFill="1" applyBorder="1" applyAlignment="1">
      <alignment horizontal="center" vertical="center"/>
    </xf>
    <xf numFmtId="2" fontId="78" fillId="30" borderId="32" xfId="349" applyNumberFormat="1" applyFont="1" applyFill="1" applyBorder="1" applyAlignment="1">
      <alignment horizontal="center" vertical="center"/>
    </xf>
    <xf numFmtId="2" fontId="57" fillId="30" borderId="32" xfId="349" applyNumberFormat="1" applyFont="1" applyFill="1" applyBorder="1" applyAlignment="1">
      <alignment horizontal="center" vertical="center"/>
    </xf>
    <xf numFmtId="1" fontId="81" fillId="0" borderId="1" xfId="349" applyNumberFormat="1" applyFont="1" applyBorder="1" applyAlignment="1">
      <alignment horizontal="center" vertical="center"/>
    </xf>
    <xf numFmtId="191" fontId="56" fillId="38" borderId="67" xfId="349" applyNumberFormat="1" applyFont="1" applyFill="1" applyBorder="1" applyAlignment="1" applyProtection="1">
      <alignment horizontal="center" vertical="center" wrapText="1"/>
      <protection locked="0"/>
    </xf>
    <xf numFmtId="0" fontId="57" fillId="38" borderId="74" xfId="349" applyFont="1" applyFill="1" applyBorder="1" applyAlignment="1" applyProtection="1">
      <alignment horizontal="center" vertical="center"/>
      <protection locked="0"/>
    </xf>
    <xf numFmtId="0" fontId="57" fillId="38" borderId="76" xfId="349" applyFont="1" applyFill="1" applyBorder="1" applyAlignment="1" applyProtection="1">
      <alignment horizontal="center" vertical="center"/>
      <protection locked="0"/>
    </xf>
    <xf numFmtId="0" fontId="78" fillId="38" borderId="1" xfId="349" applyFont="1" applyFill="1" applyBorder="1" applyAlignment="1" applyProtection="1">
      <alignment horizontal="center" vertical="center" wrapText="1"/>
      <protection locked="0"/>
    </xf>
    <xf numFmtId="0" fontId="55" fillId="0" borderId="0" xfId="349" applyFont="1"/>
    <xf numFmtId="0" fontId="55" fillId="30" borderId="0" xfId="349" applyFont="1" applyFill="1"/>
    <xf numFmtId="0" fontId="56" fillId="29" borderId="60" xfId="349" applyFont="1" applyFill="1" applyBorder="1" applyAlignment="1">
      <alignment horizontal="center"/>
    </xf>
    <xf numFmtId="189" fontId="84" fillId="33" borderId="61" xfId="349" applyNumberFormat="1" applyFont="1" applyFill="1" applyBorder="1" applyAlignment="1">
      <alignment horizontal="center" vertical="center"/>
    </xf>
    <xf numFmtId="0" fontId="56" fillId="29" borderId="62" xfId="349" applyFont="1" applyFill="1" applyBorder="1" applyAlignment="1">
      <alignment horizontal="center" vertical="center" wrapText="1"/>
    </xf>
    <xf numFmtId="189" fontId="56" fillId="33" borderId="64" xfId="349" applyNumberFormat="1" applyFont="1" applyFill="1" applyBorder="1" applyAlignment="1">
      <alignment horizontal="center" vertical="center"/>
    </xf>
    <xf numFmtId="0" fontId="55" fillId="30" borderId="0" xfId="349" applyFont="1" applyFill="1" applyAlignment="1">
      <alignment horizontal="center"/>
    </xf>
    <xf numFmtId="0" fontId="55" fillId="30" borderId="0" xfId="349" applyFont="1" applyFill="1" applyAlignment="1">
      <alignment horizontal="left"/>
    </xf>
    <xf numFmtId="0" fontId="57" fillId="29" borderId="32" xfId="349" applyFont="1" applyFill="1" applyBorder="1" applyAlignment="1">
      <alignment horizontal="center" vertical="center" wrapText="1"/>
    </xf>
    <xf numFmtId="0" fontId="57" fillId="29" borderId="32" xfId="349" applyFont="1" applyFill="1" applyBorder="1" applyAlignment="1">
      <alignment vertical="center" wrapText="1"/>
    </xf>
    <xf numFmtId="0" fontId="57" fillId="29" borderId="41" xfId="349" applyFont="1" applyFill="1" applyBorder="1" applyAlignment="1">
      <alignment horizontal="center" vertical="center" wrapText="1"/>
    </xf>
    <xf numFmtId="0" fontId="57" fillId="30" borderId="1" xfId="349" applyFont="1" applyFill="1" applyBorder="1" applyAlignment="1">
      <alignment horizontal="center" vertical="center"/>
    </xf>
    <xf numFmtId="0" fontId="55" fillId="0" borderId="0" xfId="349" applyFont="1" applyAlignment="1">
      <alignment vertical="center"/>
    </xf>
    <xf numFmtId="179" fontId="97" fillId="0" borderId="0" xfId="349" applyNumberFormat="1" applyFont="1" applyAlignment="1">
      <alignment vertical="center"/>
    </xf>
    <xf numFmtId="0" fontId="14" fillId="0" borderId="0" xfId="2" applyFont="1" applyAlignment="1">
      <alignment vertical="center" wrapText="1"/>
    </xf>
    <xf numFmtId="0" fontId="12" fillId="30" borderId="0" xfId="2" applyFont="1" applyFill="1" applyAlignment="1">
      <alignment horizontal="center" vertical="center" wrapText="1"/>
    </xf>
    <xf numFmtId="0" fontId="14" fillId="30" borderId="0" xfId="2" applyFont="1" applyFill="1" applyAlignment="1">
      <alignment vertical="center" wrapText="1"/>
    </xf>
    <xf numFmtId="0" fontId="40" fillId="29" borderId="32" xfId="2" applyFont="1" applyFill="1" applyBorder="1" applyAlignment="1">
      <alignment horizontal="center" vertical="center" wrapText="1"/>
    </xf>
    <xf numFmtId="0" fontId="40" fillId="33" borderId="32" xfId="2" applyFont="1" applyFill="1" applyBorder="1" applyAlignment="1">
      <alignment horizontal="center" vertical="center" wrapText="1"/>
    </xf>
    <xf numFmtId="0" fontId="40" fillId="39" borderId="32" xfId="0" applyFont="1" applyFill="1" applyBorder="1" applyAlignment="1">
      <alignment horizontal="center" vertical="center" wrapText="1"/>
    </xf>
    <xf numFmtId="0" fontId="40" fillId="39" borderId="32" xfId="2" applyFont="1" applyFill="1" applyBorder="1" applyAlignment="1">
      <alignment horizontal="center" vertical="center" wrapText="1"/>
    </xf>
    <xf numFmtId="169" fontId="15" fillId="0" borderId="0" xfId="3" applyFont="1" applyAlignment="1">
      <alignment vertical="center" wrapText="1"/>
    </xf>
    <xf numFmtId="4" fontId="59" fillId="0" borderId="32" xfId="3" applyNumberFormat="1" applyFont="1" applyBorder="1" applyAlignment="1">
      <alignment horizontal="left" vertical="center" wrapText="1"/>
    </xf>
    <xf numFmtId="4" fontId="11" fillId="0" borderId="32" xfId="2" applyNumberFormat="1" applyBorder="1" applyAlignment="1">
      <alignment horizontal="center" vertical="center"/>
    </xf>
    <xf numFmtId="4" fontId="42" fillId="32" borderId="32" xfId="2" applyNumberFormat="1" applyFont="1" applyFill="1" applyBorder="1" applyAlignment="1">
      <alignment horizontal="center" vertical="center"/>
    </xf>
    <xf numFmtId="10" fontId="11" fillId="0" borderId="32" xfId="2" applyNumberFormat="1" applyBorder="1" applyAlignment="1">
      <alignment horizontal="center" vertical="center"/>
    </xf>
    <xf numFmtId="0" fontId="14" fillId="0" borderId="0" xfId="2" applyFont="1" applyAlignment="1">
      <alignment horizontal="left" vertical="center"/>
    </xf>
    <xf numFmtId="4" fontId="11" fillId="38" borderId="32" xfId="3" applyNumberFormat="1" applyFont="1" applyFill="1" applyBorder="1" applyAlignment="1" applyProtection="1">
      <alignment horizontal="center" vertical="center" wrapText="1"/>
      <protection locked="0"/>
    </xf>
    <xf numFmtId="4" fontId="11" fillId="38" borderId="32" xfId="2" applyNumberFormat="1" applyFill="1" applyBorder="1" applyAlignment="1" applyProtection="1">
      <alignment horizontal="center" vertical="center" wrapText="1"/>
      <protection locked="0"/>
    </xf>
    <xf numFmtId="0" fontId="59" fillId="38" borderId="32" xfId="2" applyFont="1" applyFill="1" applyBorder="1" applyAlignment="1" applyProtection="1">
      <alignment horizontal="center" vertical="center" wrapText="1"/>
      <protection locked="0"/>
    </xf>
    <xf numFmtId="9" fontId="59" fillId="38" borderId="32" xfId="2" applyNumberFormat="1" applyFont="1" applyFill="1" applyBorder="1" applyAlignment="1" applyProtection="1">
      <alignment horizontal="center" vertical="center" wrapText="1"/>
      <protection locked="0"/>
    </xf>
    <xf numFmtId="196" fontId="59" fillId="38" borderId="32" xfId="2" applyNumberFormat="1" applyFont="1" applyFill="1" applyBorder="1" applyAlignment="1" applyProtection="1">
      <alignment horizontal="center" vertical="center" wrapText="1"/>
      <protection locked="0"/>
    </xf>
    <xf numFmtId="0" fontId="15" fillId="0" borderId="0" xfId="3" applyNumberFormat="1" applyFont="1" applyAlignment="1">
      <alignment vertical="center" wrapText="1"/>
    </xf>
    <xf numFmtId="169" fontId="15" fillId="0" borderId="0" xfId="3" applyFont="1" applyAlignment="1">
      <alignment horizontal="center" vertical="center" wrapText="1"/>
    </xf>
    <xf numFmtId="169" fontId="15" fillId="33" borderId="32" xfId="3" applyFont="1" applyFill="1" applyBorder="1" applyAlignment="1">
      <alignment horizontal="center" vertical="center" wrapText="1"/>
    </xf>
    <xf numFmtId="169" fontId="12" fillId="33" borderId="32" xfId="3" applyFont="1" applyFill="1" applyBorder="1" applyAlignment="1">
      <alignment horizontal="center" vertical="center" wrapText="1"/>
    </xf>
    <xf numFmtId="172" fontId="12" fillId="33" borderId="32" xfId="3" applyNumberFormat="1" applyFont="1" applyFill="1" applyBorder="1" applyAlignment="1">
      <alignment horizontal="center" vertical="center" wrapText="1"/>
    </xf>
    <xf numFmtId="0" fontId="15" fillId="0" borderId="0" xfId="2" applyFont="1" applyAlignment="1">
      <alignment vertical="center" wrapText="1"/>
    </xf>
    <xf numFmtId="170" fontId="15" fillId="0" borderId="0" xfId="3" applyNumberFormat="1" applyFont="1" applyAlignment="1">
      <alignment vertical="center" wrapText="1"/>
    </xf>
    <xf numFmtId="171" fontId="14" fillId="0" borderId="0" xfId="3" applyNumberFormat="1" applyAlignment="1">
      <alignment horizontal="right" vertical="center" wrapText="1"/>
    </xf>
    <xf numFmtId="172" fontId="14" fillId="0" borderId="0" xfId="3" applyNumberFormat="1" applyAlignment="1">
      <alignment vertical="center" wrapText="1"/>
    </xf>
    <xf numFmtId="3" fontId="15" fillId="0" borderId="0" xfId="3" applyNumberFormat="1" applyFont="1" applyAlignment="1">
      <alignment vertical="center" wrapText="1"/>
    </xf>
    <xf numFmtId="0" fontId="15" fillId="33" borderId="32" xfId="2" applyFont="1" applyFill="1" applyBorder="1" applyAlignment="1">
      <alignment horizontal="center" vertical="center" wrapText="1"/>
    </xf>
    <xf numFmtId="0" fontId="15" fillId="33" borderId="55" xfId="3" applyNumberFormat="1" applyFont="1" applyFill="1" applyBorder="1" applyAlignment="1">
      <alignment horizontal="center" vertical="center" wrapText="1"/>
    </xf>
    <xf numFmtId="0" fontId="54" fillId="33" borderId="57" xfId="0" applyFont="1" applyFill="1" applyBorder="1" applyAlignment="1">
      <alignment horizontal="center" vertical="center" textRotation="255" wrapText="1"/>
    </xf>
    <xf numFmtId="0" fontId="14" fillId="34" borderId="57" xfId="0" applyFont="1" applyFill="1" applyBorder="1"/>
    <xf numFmtId="0" fontId="15" fillId="34" borderId="32" xfId="0" applyFont="1" applyFill="1" applyBorder="1" applyAlignment="1">
      <alignment horizontal="center" vertical="center"/>
    </xf>
    <xf numFmtId="2" fontId="15" fillId="34" borderId="32" xfId="0" applyNumberFormat="1" applyFont="1" applyFill="1" applyBorder="1" applyAlignment="1">
      <alignment horizontal="center" vertical="center"/>
    </xf>
    <xf numFmtId="0" fontId="54" fillId="33" borderId="32" xfId="0" applyFont="1" applyFill="1" applyBorder="1" applyAlignment="1">
      <alignment horizontal="center" vertical="center" textRotation="255" wrapText="1"/>
    </xf>
    <xf numFmtId="0" fontId="14" fillId="34" borderId="32" xfId="0" applyFont="1" applyFill="1" applyBorder="1"/>
    <xf numFmtId="173" fontId="14" fillId="0" borderId="0" xfId="3" applyNumberFormat="1" applyAlignment="1">
      <alignment vertical="center" wrapText="1"/>
    </xf>
    <xf numFmtId="169" fontId="14" fillId="0" borderId="0" xfId="3" applyAlignment="1">
      <alignment vertical="center" wrapText="1"/>
    </xf>
    <xf numFmtId="179" fontId="12" fillId="38" borderId="32" xfId="3" applyNumberFormat="1" applyFont="1" applyFill="1" applyBorder="1" applyAlignment="1" applyProtection="1">
      <alignment horizontal="center" vertical="center" wrapText="1"/>
      <protection locked="0"/>
    </xf>
    <xf numFmtId="0" fontId="59" fillId="0" borderId="32" xfId="2" applyFont="1" applyBorder="1" applyAlignment="1" applyProtection="1">
      <alignment horizontal="center" vertical="center" wrapText="1"/>
      <protection locked="0"/>
    </xf>
    <xf numFmtId="4" fontId="42" fillId="0" borderId="32" xfId="2" applyNumberFormat="1" applyFont="1" applyBorder="1" applyAlignment="1" applyProtection="1">
      <alignment horizontal="center" vertical="center" wrapText="1"/>
      <protection locked="0"/>
    </xf>
    <xf numFmtId="9" fontId="59" fillId="0" borderId="32" xfId="2" applyNumberFormat="1" applyFont="1" applyBorder="1" applyAlignment="1" applyProtection="1">
      <alignment horizontal="center" vertical="center" wrapText="1"/>
      <protection locked="0"/>
    </xf>
    <xf numFmtId="0" fontId="15" fillId="0" borderId="32" xfId="3" applyNumberFormat="1" applyFont="1" applyBorder="1" applyAlignment="1" applyProtection="1">
      <alignment horizontal="center" vertical="center" wrapText="1"/>
      <protection locked="0"/>
    </xf>
    <xf numFmtId="0" fontId="59" fillId="0" borderId="42" xfId="351" applyFont="1" applyBorder="1" applyAlignment="1" applyProtection="1">
      <alignment horizontal="center" vertical="center"/>
      <protection locked="0"/>
    </xf>
    <xf numFmtId="0" fontId="59" fillId="0" borderId="32" xfId="351" applyFont="1" applyBorder="1" applyAlignment="1" applyProtection="1">
      <alignment horizontal="center" vertical="center"/>
      <protection locked="0"/>
    </xf>
    <xf numFmtId="21" fontId="59" fillId="0" borderId="32" xfId="351" applyNumberFormat="1" applyFont="1" applyBorder="1" applyAlignment="1" applyProtection="1">
      <alignment horizontal="center" vertical="center"/>
      <protection locked="0"/>
    </xf>
    <xf numFmtId="3" fontId="59" fillId="0" borderId="42" xfId="351" applyNumberFormat="1" applyFont="1" applyBorder="1" applyAlignment="1" applyProtection="1">
      <alignment horizontal="center" vertical="center" wrapText="1"/>
      <protection locked="0"/>
    </xf>
    <xf numFmtId="0" fontId="59" fillId="0" borderId="42" xfId="351" applyFont="1" applyBorder="1" applyAlignment="1" applyProtection="1">
      <alignment horizontal="center" vertical="center" wrapText="1"/>
      <protection locked="0"/>
    </xf>
    <xf numFmtId="191" fontId="59" fillId="0" borderId="42" xfId="351" applyNumberFormat="1" applyFont="1" applyBorder="1" applyAlignment="1" applyProtection="1">
      <alignment horizontal="center" vertical="center" wrapText="1"/>
      <protection locked="0"/>
    </xf>
    <xf numFmtId="0" fontId="59" fillId="0" borderId="42" xfId="351" applyFont="1" applyBorder="1" applyAlignment="1" applyProtection="1">
      <alignment horizontal="left" vertical="center" wrapText="1"/>
      <protection locked="0"/>
    </xf>
    <xf numFmtId="3" fontId="59" fillId="0" borderId="32" xfId="351" applyNumberFormat="1" applyFont="1" applyBorder="1" applyAlignment="1" applyProtection="1">
      <alignment horizontal="center" vertical="center" wrapText="1"/>
      <protection locked="0"/>
    </xf>
    <xf numFmtId="0" fontId="59" fillId="0" borderId="32" xfId="351" applyFont="1" applyBorder="1" applyAlignment="1" applyProtection="1">
      <alignment horizontal="center" vertical="center" wrapText="1"/>
      <protection locked="0"/>
    </xf>
    <xf numFmtId="191" fontId="59" fillId="0" borderId="32" xfId="351" applyNumberFormat="1" applyFont="1" applyBorder="1" applyAlignment="1" applyProtection="1">
      <alignment horizontal="center" vertical="center" wrapText="1"/>
      <protection locked="0"/>
    </xf>
    <xf numFmtId="0" fontId="59" fillId="0" borderId="32" xfId="351" applyFont="1" applyBorder="1" applyAlignment="1" applyProtection="1">
      <alignment horizontal="left" vertical="center" wrapText="1"/>
      <protection locked="0"/>
    </xf>
    <xf numFmtId="0" fontId="59" fillId="0" borderId="32" xfId="0" applyFont="1" applyBorder="1" applyAlignment="1" applyProtection="1">
      <alignment horizontal="center" vertical="center" wrapText="1"/>
      <protection locked="0"/>
    </xf>
    <xf numFmtId="0" fontId="59" fillId="0" borderId="32" xfId="0" applyFont="1" applyBorder="1" applyAlignment="1" applyProtection="1">
      <alignment vertical="center"/>
      <protection locked="0"/>
    </xf>
    <xf numFmtId="0" fontId="13" fillId="38" borderId="32" xfId="0" applyFont="1" applyFill="1" applyBorder="1" applyAlignment="1" applyProtection="1">
      <alignment horizontal="center" vertical="center"/>
      <protection locked="0"/>
    </xf>
    <xf numFmtId="0" fontId="13" fillId="29" borderId="32" xfId="0" applyFont="1" applyFill="1" applyBorder="1" applyAlignment="1">
      <alignment horizontal="center" vertical="center"/>
    </xf>
    <xf numFmtId="0" fontId="42" fillId="29" borderId="32" xfId="0" applyFont="1" applyFill="1" applyBorder="1" applyAlignment="1">
      <alignment horizontal="center" vertical="center"/>
    </xf>
    <xf numFmtId="0" fontId="0" fillId="0" borderId="0" xfId="0" applyAlignment="1">
      <alignment vertical="center"/>
    </xf>
    <xf numFmtId="0" fontId="11" fillId="0" borderId="0" xfId="0" applyFont="1"/>
    <xf numFmtId="171" fontId="0" fillId="0" borderId="0" xfId="0" applyNumberFormat="1"/>
    <xf numFmtId="0" fontId="59" fillId="0" borderId="0" xfId="0" applyFont="1" applyAlignment="1">
      <alignment vertical="center"/>
    </xf>
    <xf numFmtId="0" fontId="13" fillId="29" borderId="32" xfId="0" applyFont="1" applyFill="1" applyBorder="1" applyAlignment="1">
      <alignment horizontal="center" vertical="center" wrapText="1"/>
    </xf>
    <xf numFmtId="193" fontId="13" fillId="29" borderId="32" xfId="0" applyNumberFormat="1" applyFont="1" applyFill="1" applyBorder="1" applyAlignment="1">
      <alignment horizontal="center" vertical="center"/>
    </xf>
    <xf numFmtId="193" fontId="0" fillId="0" borderId="32" xfId="0" applyNumberFormat="1" applyBorder="1" applyAlignment="1">
      <alignment horizontal="center" vertical="center"/>
    </xf>
    <xf numFmtId="195" fontId="0" fillId="0" borderId="32" xfId="1" applyNumberFormat="1" applyFont="1" applyBorder="1" applyAlignment="1">
      <alignment horizontal="center" vertical="center"/>
    </xf>
    <xf numFmtId="0" fontId="79" fillId="33" borderId="62" xfId="349" applyFont="1" applyFill="1" applyBorder="1" applyAlignment="1">
      <alignment horizontal="center" vertical="center"/>
    </xf>
    <xf numFmtId="190" fontId="85" fillId="33" borderId="63" xfId="349" applyNumberFormat="1" applyFont="1" applyFill="1" applyBorder="1" applyAlignment="1">
      <alignment horizontal="center" vertical="center"/>
    </xf>
    <xf numFmtId="10" fontId="56" fillId="33" borderId="63" xfId="343" applyNumberFormat="1" applyFont="1" applyFill="1" applyBorder="1" applyAlignment="1">
      <alignment horizontal="center" vertical="center"/>
    </xf>
    <xf numFmtId="0" fontId="57" fillId="29" borderId="52" xfId="349" applyFont="1" applyFill="1" applyBorder="1" applyAlignment="1">
      <alignment horizontal="center" vertical="center" wrapText="1"/>
    </xf>
    <xf numFmtId="0" fontId="56" fillId="29" borderId="32" xfId="349" applyFont="1" applyFill="1" applyBorder="1" applyAlignment="1">
      <alignment horizontal="center" vertical="center"/>
    </xf>
    <xf numFmtId="0" fontId="56" fillId="38" borderId="32" xfId="428" applyNumberFormat="1" applyFont="1" applyFill="1" applyBorder="1" applyAlignment="1">
      <alignment horizontal="center" vertical="center" wrapText="1"/>
    </xf>
    <xf numFmtId="0" fontId="0" fillId="0" borderId="0" xfId="0" applyAlignment="1">
      <alignment vertical="center" wrapText="1"/>
    </xf>
    <xf numFmtId="0" fontId="15" fillId="0" borderId="40" xfId="0" applyFont="1" applyBorder="1" applyAlignment="1">
      <alignment horizontal="center" vertical="center" wrapText="1"/>
    </xf>
    <xf numFmtId="0" fontId="42" fillId="0" borderId="32" xfId="0" applyFont="1" applyBorder="1" applyAlignment="1">
      <alignment horizontal="center" vertical="center" wrapText="1"/>
    </xf>
    <xf numFmtId="0" fontId="42" fillId="0" borderId="32" xfId="2" applyFont="1" applyBorder="1" applyAlignment="1">
      <alignment horizontal="center" vertical="center" wrapText="1"/>
    </xf>
    <xf numFmtId="49" fontId="59" fillId="0" borderId="0" xfId="0" applyNumberFormat="1" applyFont="1" applyAlignment="1">
      <alignment horizontal="center" vertical="center" wrapText="1"/>
    </xf>
    <xf numFmtId="0" fontId="42" fillId="30" borderId="20" xfId="351" applyFont="1" applyFill="1" applyBorder="1" applyAlignment="1">
      <alignment wrapText="1"/>
    </xf>
    <xf numFmtId="0" fontId="42" fillId="30" borderId="21" xfId="351" applyFont="1" applyFill="1" applyBorder="1" applyAlignment="1">
      <alignment vertical="center" wrapText="1"/>
    </xf>
    <xf numFmtId="0" fontId="42" fillId="30" borderId="17" xfId="351" applyFont="1" applyFill="1" applyBorder="1" applyAlignment="1">
      <alignment vertical="center" wrapText="1"/>
    </xf>
    <xf numFmtId="0" fontId="63" fillId="0" borderId="0" xfId="350" applyFont="1" applyAlignment="1" applyProtection="1">
      <alignment vertical="center"/>
      <protection locked="0"/>
    </xf>
    <xf numFmtId="0" fontId="49" fillId="0" borderId="0" xfId="350" applyFont="1" applyAlignment="1" applyProtection="1">
      <alignment vertical="center"/>
      <protection locked="0"/>
    </xf>
    <xf numFmtId="0" fontId="42" fillId="30" borderId="3" xfId="350" applyFont="1" applyFill="1" applyBorder="1" applyAlignment="1" applyProtection="1">
      <alignment horizontal="center" vertical="center" wrapText="1"/>
      <protection locked="0"/>
    </xf>
    <xf numFmtId="0" fontId="63" fillId="33" borderId="1" xfId="350" applyFont="1" applyFill="1" applyBorder="1" applyAlignment="1" applyProtection="1">
      <alignment horizontal="center" vertical="center" wrapText="1"/>
      <protection locked="0"/>
    </xf>
    <xf numFmtId="0" fontId="63" fillId="30" borderId="1" xfId="350" applyFont="1" applyFill="1" applyBorder="1" applyAlignment="1" applyProtection="1">
      <alignment horizontal="center" vertical="center" wrapText="1"/>
      <protection locked="0"/>
    </xf>
    <xf numFmtId="0" fontId="13" fillId="30" borderId="1" xfId="350" applyFont="1" applyFill="1" applyBorder="1" applyAlignment="1" applyProtection="1">
      <alignment vertical="center" wrapText="1"/>
      <protection locked="0"/>
    </xf>
    <xf numFmtId="0" fontId="50" fillId="30" borderId="1" xfId="350" applyFont="1" applyFill="1" applyBorder="1" applyAlignment="1" applyProtection="1">
      <alignment horizontal="center" vertical="center" wrapText="1"/>
      <protection locked="0"/>
    </xf>
    <xf numFmtId="0" fontId="64" fillId="32" borderId="1" xfId="350" applyFont="1" applyFill="1" applyBorder="1" applyAlignment="1" applyProtection="1">
      <alignment horizontal="center" vertical="center" wrapText="1"/>
      <protection locked="0"/>
    </xf>
    <xf numFmtId="0" fontId="49" fillId="32" borderId="1" xfId="350" applyFont="1" applyFill="1" applyBorder="1" applyAlignment="1" applyProtection="1">
      <alignment vertical="center"/>
      <protection locked="0"/>
    </xf>
    <xf numFmtId="0" fontId="63" fillId="32" borderId="1" xfId="350" applyFont="1" applyFill="1" applyBorder="1" applyAlignment="1" applyProtection="1">
      <alignment horizontal="center" vertical="center" wrapText="1"/>
      <protection locked="0"/>
    </xf>
    <xf numFmtId="0" fontId="49" fillId="32" borderId="1" xfId="350" applyFont="1" applyFill="1" applyBorder="1" applyAlignment="1" applyProtection="1">
      <alignment horizontal="justify" vertical="center"/>
      <protection locked="0"/>
    </xf>
    <xf numFmtId="0" fontId="49" fillId="0" borderId="32" xfId="421" applyFont="1" applyBorder="1" applyAlignment="1" applyProtection="1">
      <alignment horizontal="justify" vertical="center" wrapText="1"/>
      <protection locked="0"/>
    </xf>
    <xf numFmtId="0" fontId="11" fillId="0" borderId="32" xfId="350" applyFont="1" applyBorder="1" applyAlignment="1" applyProtection="1">
      <alignment horizontal="center" vertical="center" wrapText="1"/>
      <protection locked="0"/>
    </xf>
    <xf numFmtId="0" fontId="11" fillId="0" borderId="32" xfId="421" applyFont="1" applyBorder="1" applyAlignment="1" applyProtection="1">
      <alignment vertical="center" wrapText="1"/>
      <protection locked="0"/>
    </xf>
    <xf numFmtId="0" fontId="49" fillId="0" borderId="32" xfId="421" applyFont="1" applyBorder="1" applyAlignment="1" applyProtection="1">
      <alignment horizontal="center" vertical="center" wrapText="1"/>
      <protection locked="0"/>
    </xf>
    <xf numFmtId="0" fontId="49" fillId="0" borderId="32" xfId="350" applyFont="1" applyBorder="1" applyAlignment="1" applyProtection="1">
      <alignment horizontal="center" vertical="center" wrapText="1"/>
      <protection locked="0"/>
    </xf>
    <xf numFmtId="0" fontId="49" fillId="32" borderId="1" xfId="350" applyFont="1" applyFill="1" applyBorder="1" applyAlignment="1" applyProtection="1">
      <alignment horizontal="justify" vertical="center" wrapText="1"/>
      <protection locked="0"/>
    </xf>
    <xf numFmtId="0" fontId="52" fillId="0" borderId="32" xfId="350" applyFont="1" applyBorder="1" applyAlignment="1" applyProtection="1">
      <alignment vertical="center" wrapText="1"/>
      <protection locked="0"/>
    </xf>
    <xf numFmtId="0" fontId="11" fillId="0" borderId="32" xfId="350" applyFont="1" applyBorder="1" applyAlignment="1" applyProtection="1">
      <alignment vertical="center" wrapText="1"/>
      <protection locked="0"/>
    </xf>
    <xf numFmtId="0" fontId="48" fillId="0" borderId="2" xfId="421" applyFont="1" applyBorder="1" applyAlignment="1" applyProtection="1">
      <alignment horizontal="justify" vertical="center" wrapText="1"/>
      <protection locked="0"/>
    </xf>
    <xf numFmtId="0" fontId="11" fillId="0" borderId="32" xfId="421" applyFont="1" applyBorder="1" applyAlignment="1" applyProtection="1">
      <alignment horizontal="justify" vertical="center" wrapText="1"/>
      <protection locked="0"/>
    </xf>
    <xf numFmtId="0" fontId="49" fillId="0" borderId="32" xfId="350" applyFont="1" applyBorder="1" applyAlignment="1" applyProtection="1">
      <alignment horizontal="justify" vertical="center" wrapText="1"/>
      <protection locked="0"/>
    </xf>
    <xf numFmtId="0" fontId="11" fillId="0" borderId="32" xfId="350" applyFont="1" applyBorder="1" applyAlignment="1" applyProtection="1">
      <alignment horizontal="left" vertical="center" wrapText="1"/>
      <protection locked="0"/>
    </xf>
    <xf numFmtId="0" fontId="11" fillId="0" borderId="32" xfId="421" applyFont="1" applyBorder="1" applyAlignment="1" applyProtection="1">
      <alignment horizontal="left" vertical="center" wrapText="1"/>
      <protection locked="0"/>
    </xf>
    <xf numFmtId="0" fontId="48" fillId="0" borderId="32" xfId="350" applyFont="1" applyBorder="1" applyAlignment="1" applyProtection="1">
      <alignment horizontal="justify" vertical="center" wrapText="1"/>
      <protection locked="0"/>
    </xf>
    <xf numFmtId="0" fontId="11" fillId="0" borderId="32" xfId="350" applyFont="1" applyBorder="1" applyAlignment="1" applyProtection="1">
      <alignment horizontal="justify" vertical="center" wrapText="1"/>
      <protection locked="0"/>
    </xf>
    <xf numFmtId="0" fontId="11" fillId="0" borderId="32" xfId="421" applyFont="1" applyBorder="1" applyAlignment="1" applyProtection="1">
      <alignment horizontal="center" vertical="center" wrapText="1"/>
      <protection locked="0"/>
    </xf>
    <xf numFmtId="0" fontId="48" fillId="0" borderId="1" xfId="350" applyFont="1" applyBorder="1" applyAlignment="1" applyProtection="1">
      <alignment horizontal="justify" vertical="center" wrapText="1"/>
      <protection locked="0"/>
    </xf>
    <xf numFmtId="0" fontId="11" fillId="0" borderId="1" xfId="350" applyFont="1" applyBorder="1" applyAlignment="1" applyProtection="1">
      <alignment horizontal="justify" vertical="center" wrapText="1"/>
      <protection locked="0"/>
    </xf>
    <xf numFmtId="0" fontId="49" fillId="0" borderId="32" xfId="350" applyFont="1" applyBorder="1" applyAlignment="1" applyProtection="1">
      <alignment horizontal="left" vertical="center" wrapText="1"/>
      <protection locked="0"/>
    </xf>
    <xf numFmtId="164" fontId="11" fillId="0" borderId="32" xfId="350" applyNumberFormat="1" applyFont="1" applyBorder="1" applyAlignment="1" applyProtection="1">
      <alignment horizontal="center" vertical="center"/>
      <protection locked="0"/>
    </xf>
    <xf numFmtId="0" fontId="49" fillId="0" borderId="32" xfId="421" applyFont="1" applyBorder="1" applyAlignment="1" applyProtection="1">
      <alignment horizontal="justify" vertical="center"/>
      <protection locked="0"/>
    </xf>
    <xf numFmtId="0" fontId="49" fillId="0" borderId="32" xfId="350" applyFont="1" applyBorder="1" applyAlignment="1" applyProtection="1">
      <alignment horizontal="center" vertical="center"/>
      <protection locked="0"/>
    </xf>
    <xf numFmtId="0" fontId="49" fillId="0" borderId="32" xfId="350" applyFont="1" applyBorder="1" applyAlignment="1" applyProtection="1">
      <alignment horizontal="justify" vertical="center"/>
      <protection locked="0"/>
    </xf>
    <xf numFmtId="0" fontId="11" fillId="0" borderId="32" xfId="350" applyFont="1" applyBorder="1" applyAlignment="1" applyProtection="1">
      <alignment horizontal="center" vertical="center"/>
      <protection locked="0"/>
    </xf>
    <xf numFmtId="0" fontId="63" fillId="37" borderId="32" xfId="350" applyFont="1" applyFill="1" applyBorder="1" applyAlignment="1" applyProtection="1">
      <alignment horizontal="center" vertical="center" wrapText="1"/>
      <protection locked="0"/>
    </xf>
    <xf numFmtId="0" fontId="49" fillId="37" borderId="32" xfId="350" applyFont="1" applyFill="1" applyBorder="1" applyAlignment="1" applyProtection="1">
      <alignment horizontal="justify" vertical="center" wrapText="1"/>
      <protection locked="0"/>
    </xf>
    <xf numFmtId="0" fontId="49" fillId="37" borderId="32" xfId="421" applyFont="1" applyFill="1" applyBorder="1" applyAlignment="1" applyProtection="1">
      <alignment horizontal="justify" vertical="center" wrapText="1"/>
      <protection locked="0"/>
    </xf>
    <xf numFmtId="0" fontId="83" fillId="37" borderId="32" xfId="421" applyFont="1" applyFill="1" applyBorder="1" applyAlignment="1" applyProtection="1">
      <alignment horizontal="center" vertical="center"/>
      <protection locked="0"/>
    </xf>
    <xf numFmtId="0" fontId="49" fillId="37" borderId="32" xfId="421" applyFont="1" applyFill="1" applyBorder="1" applyAlignment="1" applyProtection="1">
      <alignment horizontal="justify" vertical="center"/>
      <protection locked="0"/>
    </xf>
    <xf numFmtId="0" fontId="49" fillId="37" borderId="32" xfId="350" applyFont="1" applyFill="1" applyBorder="1" applyAlignment="1" applyProtection="1">
      <alignment horizontal="justify" vertical="center"/>
      <protection locked="0"/>
    </xf>
    <xf numFmtId="0" fontId="64" fillId="35" borderId="1" xfId="350" applyFont="1" applyFill="1" applyBorder="1" applyAlignment="1" applyProtection="1">
      <alignment horizontal="center" vertical="center" wrapText="1"/>
      <protection locked="0"/>
    </xf>
    <xf numFmtId="0" fontId="15" fillId="35" borderId="1" xfId="350" applyFont="1" applyFill="1" applyBorder="1" applyAlignment="1" applyProtection="1">
      <alignment horizontal="left" vertical="center"/>
      <protection locked="0"/>
    </xf>
    <xf numFmtId="0" fontId="49" fillId="0" borderId="1" xfId="350" applyFont="1" applyBorder="1" applyAlignment="1" applyProtection="1">
      <alignment horizontal="left" vertical="center" wrapText="1"/>
      <protection locked="0"/>
    </xf>
    <xf numFmtId="0" fontId="63" fillId="0" borderId="0" xfId="421" applyFont="1" applyAlignment="1" applyProtection="1">
      <alignment horizontal="justify" vertical="center"/>
      <protection locked="0"/>
    </xf>
    <xf numFmtId="0" fontId="49" fillId="0" borderId="1" xfId="350" applyFont="1" applyBorder="1" applyAlignment="1" applyProtection="1">
      <alignment horizontal="justify" vertical="center"/>
      <protection locked="0"/>
    </xf>
    <xf numFmtId="0" fontId="63" fillId="35" borderId="1" xfId="350" applyFont="1" applyFill="1" applyBorder="1" applyAlignment="1" applyProtection="1">
      <alignment horizontal="center" vertical="center"/>
      <protection locked="0"/>
    </xf>
    <xf numFmtId="0" fontId="52" fillId="35" borderId="1" xfId="0" applyFont="1" applyFill="1" applyBorder="1" applyAlignment="1" applyProtection="1">
      <alignment vertical="center" wrapText="1"/>
      <protection locked="0"/>
    </xf>
    <xf numFmtId="0" fontId="11" fillId="0" borderId="32" xfId="350" applyFont="1" applyBorder="1" applyAlignment="1" applyProtection="1">
      <alignment horizontal="justify" vertical="center"/>
      <protection locked="0"/>
    </xf>
    <xf numFmtId="0" fontId="11" fillId="0" borderId="32" xfId="417" applyFont="1" applyBorder="1" applyAlignment="1" applyProtection="1">
      <alignment horizontal="justify" vertical="center" wrapText="1"/>
      <protection locked="0"/>
    </xf>
    <xf numFmtId="0" fontId="11" fillId="0" borderId="0" xfId="0" applyFont="1" applyAlignment="1" applyProtection="1">
      <alignment horizontal="justify" vertical="center"/>
      <protection locked="0"/>
    </xf>
    <xf numFmtId="0" fontId="11" fillId="0" borderId="32" xfId="104" applyBorder="1" applyAlignment="1" applyProtection="1">
      <alignment vertical="center" wrapText="1"/>
      <protection locked="0"/>
    </xf>
    <xf numFmtId="0" fontId="11" fillId="0" borderId="32" xfId="0" applyFont="1" applyBorder="1" applyAlignment="1" applyProtection="1">
      <alignment horizontal="justify" vertical="center"/>
      <protection locked="0"/>
    </xf>
    <xf numFmtId="0" fontId="49" fillId="35" borderId="1" xfId="350" applyFont="1" applyFill="1" applyBorder="1" applyAlignment="1" applyProtection="1">
      <alignment horizontal="justify" vertical="center" wrapText="1"/>
      <protection locked="0"/>
    </xf>
    <xf numFmtId="0" fontId="11" fillId="0" borderId="32" xfId="417" applyFont="1" applyBorder="1" applyAlignment="1" applyProtection="1">
      <alignment horizontal="left" vertical="center" wrapText="1"/>
      <protection locked="0"/>
    </xf>
    <xf numFmtId="0" fontId="49" fillId="0" borderId="32" xfId="426" applyFont="1" applyBorder="1" applyAlignment="1" applyProtection="1">
      <alignment horizontal="left" vertical="center" wrapText="1"/>
      <protection locked="0"/>
    </xf>
    <xf numFmtId="0" fontId="49" fillId="0" borderId="32" xfId="358" applyFont="1" applyBorder="1" applyAlignment="1" applyProtection="1">
      <alignment horizontal="left" vertical="center" wrapText="1"/>
      <protection locked="0"/>
    </xf>
    <xf numFmtId="0" fontId="52" fillId="35" borderId="1" xfId="0" applyFont="1" applyFill="1" applyBorder="1" applyAlignment="1" applyProtection="1">
      <alignment horizontal="justify" vertical="center" wrapText="1"/>
      <protection locked="0"/>
    </xf>
    <xf numFmtId="0" fontId="11" fillId="0" borderId="32" xfId="104" applyBorder="1" applyAlignment="1" applyProtection="1">
      <alignment horizontal="center" vertical="center" wrapText="1"/>
      <protection locked="0"/>
    </xf>
    <xf numFmtId="0" fontId="48" fillId="0" borderId="32" xfId="104" applyFont="1" applyBorder="1" applyAlignment="1" applyProtection="1">
      <alignment vertical="center" wrapText="1"/>
      <protection locked="0"/>
    </xf>
    <xf numFmtId="0" fontId="77" fillId="35" borderId="1" xfId="0" applyFont="1" applyFill="1" applyBorder="1" applyAlignment="1" applyProtection="1">
      <alignment horizontal="center" vertical="center" wrapText="1"/>
      <protection locked="0"/>
    </xf>
    <xf numFmtId="0" fontId="49" fillId="0" borderId="32" xfId="421" applyFont="1" applyBorder="1" applyAlignment="1" applyProtection="1">
      <alignment horizontal="center" vertical="center"/>
      <protection locked="0"/>
    </xf>
    <xf numFmtId="0" fontId="52" fillId="0" borderId="32" xfId="421" applyFont="1" applyBorder="1" applyAlignment="1" applyProtection="1">
      <alignment horizontal="center" vertical="center" wrapText="1"/>
      <protection locked="0"/>
    </xf>
    <xf numFmtId="164" fontId="11" fillId="0" borderId="32" xfId="421" applyNumberFormat="1" applyFont="1" applyBorder="1" applyAlignment="1" applyProtection="1">
      <alignment horizontal="center" vertical="center"/>
      <protection locked="0"/>
    </xf>
    <xf numFmtId="164" fontId="49" fillId="0" borderId="32" xfId="421" applyNumberFormat="1" applyFont="1" applyBorder="1" applyAlignment="1" applyProtection="1">
      <alignment horizontal="center" vertical="center"/>
      <protection locked="0"/>
    </xf>
    <xf numFmtId="0" fontId="11" fillId="0" borderId="32" xfId="421" applyFont="1" applyBorder="1" applyAlignment="1" applyProtection="1">
      <alignment horizontal="justify" vertical="center"/>
      <protection locked="0"/>
    </xf>
    <xf numFmtId="0" fontId="83" fillId="0" borderId="32" xfId="421" applyFont="1" applyBorder="1" applyAlignment="1" applyProtection="1">
      <alignment horizontal="center" vertical="center"/>
      <protection locked="0"/>
    </xf>
    <xf numFmtId="0" fontId="15" fillId="30" borderId="0" xfId="350" applyFont="1" applyFill="1" applyAlignment="1">
      <alignment horizontal="center" vertical="center" wrapText="1"/>
    </xf>
    <xf numFmtId="0" fontId="76" fillId="33" borderId="1" xfId="350" applyFont="1" applyFill="1" applyBorder="1" applyAlignment="1">
      <alignment horizontal="center" vertical="center" wrapText="1"/>
    </xf>
    <xf numFmtId="0" fontId="64" fillId="33" borderId="1" xfId="350" applyFont="1" applyFill="1" applyBorder="1" applyAlignment="1">
      <alignment horizontal="center" vertical="center" wrapText="1"/>
    </xf>
    <xf numFmtId="3" fontId="64" fillId="33" borderId="1" xfId="350" applyNumberFormat="1" applyFont="1" applyFill="1" applyBorder="1" applyAlignment="1">
      <alignment horizontal="center" vertical="center" wrapText="1"/>
    </xf>
    <xf numFmtId="0" fontId="49" fillId="0" borderId="1" xfId="344" applyFont="1" applyBorder="1" applyAlignment="1" applyProtection="1">
      <alignment horizontal="center" vertical="center" wrapText="1"/>
      <protection locked="0"/>
    </xf>
    <xf numFmtId="0" fontId="67" fillId="0" borderId="0" xfId="104" applyFont="1" applyAlignment="1">
      <alignment horizontal="center"/>
    </xf>
    <xf numFmtId="0" fontId="11" fillId="0" borderId="0" xfId="104" applyAlignment="1">
      <alignment horizontal="center" vertical="center"/>
    </xf>
    <xf numFmtId="0" fontId="11" fillId="0" borderId="0" xfId="104"/>
    <xf numFmtId="0" fontId="90" fillId="0" borderId="0" xfId="104" applyFont="1"/>
    <xf numFmtId="0" fontId="89" fillId="0" borderId="0" xfId="104" applyFont="1" applyAlignment="1">
      <alignment horizontal="center" vertical="center"/>
    </xf>
    <xf numFmtId="0" fontId="86" fillId="0" borderId="0" xfId="104" applyFont="1" applyAlignment="1">
      <alignment horizontal="center" vertical="center"/>
    </xf>
    <xf numFmtId="0" fontId="11" fillId="30" borderId="0" xfId="104" applyFill="1"/>
    <xf numFmtId="0" fontId="59" fillId="0" borderId="0" xfId="104" applyFont="1"/>
    <xf numFmtId="0" fontId="66" fillId="0" borderId="0" xfId="104" applyFont="1"/>
    <xf numFmtId="0" fontId="65" fillId="0" borderId="0" xfId="104" applyFont="1"/>
    <xf numFmtId="0" fontId="75" fillId="0" borderId="0" xfId="104" applyFont="1" applyAlignment="1">
      <alignment horizontal="right" vertical="center"/>
    </xf>
    <xf numFmtId="0" fontId="12" fillId="0" borderId="0" xfId="104" applyFont="1" applyAlignment="1">
      <alignment horizontal="center" vertical="center"/>
    </xf>
    <xf numFmtId="0" fontId="61" fillId="0" borderId="0" xfId="104" applyFont="1" applyAlignment="1">
      <alignment vertical="center"/>
    </xf>
    <xf numFmtId="0" fontId="75" fillId="0" borderId="0" xfId="104" applyFont="1" applyAlignment="1">
      <alignment vertical="center"/>
    </xf>
    <xf numFmtId="0" fontId="75" fillId="0" borderId="0" xfId="104" applyFont="1"/>
    <xf numFmtId="0" fontId="101" fillId="0" borderId="0" xfId="104" applyFont="1" applyAlignment="1">
      <alignment horizontal="center" vertical="center"/>
    </xf>
    <xf numFmtId="0" fontId="101" fillId="0" borderId="18" xfId="104" applyFont="1" applyBorder="1" applyAlignment="1">
      <alignment horizontal="center" vertical="center"/>
    </xf>
    <xf numFmtId="0" fontId="101" fillId="30" borderId="0" xfId="104" applyFont="1" applyFill="1" applyAlignment="1">
      <alignment horizontal="center" vertical="center"/>
    </xf>
    <xf numFmtId="0" fontId="102" fillId="0" borderId="0" xfId="104" applyFont="1" applyAlignment="1">
      <alignment horizontal="center" vertical="center"/>
    </xf>
    <xf numFmtId="0" fontId="101" fillId="0" borderId="0" xfId="356" applyFont="1" applyAlignment="1">
      <alignment vertical="center"/>
    </xf>
    <xf numFmtId="0" fontId="101" fillId="0" borderId="0" xfId="356" applyFont="1" applyAlignment="1">
      <alignment horizontal="center" vertical="center"/>
    </xf>
    <xf numFmtId="190" fontId="55" fillId="0" borderId="0" xfId="349" applyNumberFormat="1" applyFont="1" applyAlignment="1">
      <alignment vertical="center"/>
    </xf>
    <xf numFmtId="193" fontId="0" fillId="0" borderId="0" xfId="0" applyNumberFormat="1" applyAlignment="1">
      <alignment vertical="center"/>
    </xf>
    <xf numFmtId="171" fontId="0" fillId="0" borderId="0" xfId="0" applyNumberFormat="1" applyAlignment="1">
      <alignment vertical="center"/>
    </xf>
    <xf numFmtId="0" fontId="83" fillId="0" borderId="32" xfId="421" applyFont="1" applyBorder="1" applyAlignment="1" applyProtection="1">
      <alignment horizontal="center" vertical="center" wrapText="1"/>
      <protection locked="0"/>
    </xf>
    <xf numFmtId="10" fontId="56" fillId="38" borderId="67" xfId="349" applyNumberFormat="1" applyFont="1" applyFill="1" applyBorder="1" applyAlignment="1" applyProtection="1">
      <alignment horizontal="center" vertical="center" wrapText="1"/>
      <protection locked="0"/>
    </xf>
    <xf numFmtId="0" fontId="92" fillId="0" borderId="0" xfId="104" applyFont="1" applyAlignment="1">
      <alignment horizontal="center"/>
    </xf>
    <xf numFmtId="0" fontId="103" fillId="36" borderId="89" xfId="0" applyFont="1" applyFill="1" applyBorder="1" applyAlignment="1">
      <alignment horizontal="center"/>
    </xf>
    <xf numFmtId="0" fontId="104" fillId="36" borderId="90" xfId="0" applyFont="1" applyFill="1" applyBorder="1" applyAlignment="1">
      <alignment horizontal="center"/>
    </xf>
    <xf numFmtId="0" fontId="106" fillId="36" borderId="93" xfId="0" applyFont="1" applyFill="1" applyBorder="1" applyAlignment="1">
      <alignment horizontal="center" vertical="center"/>
    </xf>
    <xf numFmtId="0" fontId="107" fillId="36" borderId="27" xfId="0" applyFont="1" applyFill="1" applyBorder="1" applyAlignment="1">
      <alignment horizontal="center" vertical="center"/>
    </xf>
    <xf numFmtId="0" fontId="107" fillId="36" borderId="94" xfId="0" applyFont="1" applyFill="1" applyBorder="1" applyAlignment="1">
      <alignment horizontal="center" vertical="center"/>
    </xf>
    <xf numFmtId="4" fontId="107" fillId="36" borderId="95" xfId="0" applyNumberFormat="1" applyFont="1" applyFill="1" applyBorder="1" applyAlignment="1">
      <alignment horizontal="center" vertical="center"/>
    </xf>
    <xf numFmtId="3" fontId="107" fillId="36" borderId="95" xfId="0" applyNumberFormat="1" applyFont="1" applyFill="1" applyBorder="1" applyAlignment="1">
      <alignment horizontal="center" vertical="center" wrapText="1"/>
    </xf>
    <xf numFmtId="3" fontId="107" fillId="36" borderId="53" xfId="0" applyNumberFormat="1" applyFont="1" applyFill="1" applyBorder="1" applyAlignment="1">
      <alignment horizontal="center" vertical="center" wrapText="1"/>
    </xf>
    <xf numFmtId="49" fontId="108" fillId="40" borderId="96" xfId="0" applyNumberFormat="1" applyFont="1" applyFill="1" applyBorder="1" applyAlignment="1">
      <alignment horizontal="center" vertical="center" wrapText="1"/>
    </xf>
    <xf numFmtId="0" fontId="68" fillId="40" borderId="97" xfId="0" applyFont="1" applyFill="1" applyBorder="1" applyAlignment="1">
      <alignment horizontal="center" vertical="center" wrapText="1"/>
    </xf>
    <xf numFmtId="0" fontId="66" fillId="40" borderId="97" xfId="0" applyFont="1" applyFill="1" applyBorder="1" applyAlignment="1">
      <alignment horizontal="center" vertical="center"/>
    </xf>
    <xf numFmtId="2" fontId="66" fillId="40" borderId="98" xfId="0" applyNumberFormat="1" applyFont="1" applyFill="1" applyBorder="1" applyAlignment="1">
      <alignment horizontal="center" vertical="center"/>
    </xf>
    <xf numFmtId="191" fontId="66" fillId="40" borderId="97" xfId="0" applyNumberFormat="1" applyFont="1" applyFill="1" applyBorder="1" applyAlignment="1">
      <alignment horizontal="center" vertical="center"/>
    </xf>
    <xf numFmtId="191" fontId="66" fillId="40" borderId="99" xfId="0" applyNumberFormat="1" applyFont="1" applyFill="1" applyBorder="1" applyAlignment="1">
      <alignment horizontal="center" vertical="center"/>
    </xf>
    <xf numFmtId="192" fontId="109" fillId="41" borderId="86" xfId="0" applyNumberFormat="1" applyFont="1" applyFill="1" applyBorder="1" applyAlignment="1">
      <alignment horizontal="center" vertical="center"/>
    </xf>
    <xf numFmtId="49" fontId="94" fillId="42" borderId="79" xfId="364" applyNumberFormat="1" applyFont="1" applyFill="1" applyBorder="1" applyAlignment="1" applyProtection="1">
      <alignment horizontal="center" vertical="center" wrapText="1"/>
      <protection locked="0"/>
    </xf>
    <xf numFmtId="0" fontId="68" fillId="43" borderId="97" xfId="0" applyFont="1" applyFill="1" applyBorder="1" applyAlignment="1">
      <alignment horizontal="left" vertical="center" wrapText="1"/>
    </xf>
    <xf numFmtId="0" fontId="66" fillId="43" borderId="97" xfId="0" applyFont="1" applyFill="1" applyBorder="1" applyAlignment="1">
      <alignment horizontal="center" vertical="center"/>
    </xf>
    <xf numFmtId="2" fontId="66" fillId="43" borderId="98" xfId="0" applyNumberFormat="1" applyFont="1" applyFill="1" applyBorder="1" applyAlignment="1">
      <alignment horizontal="center" vertical="center"/>
    </xf>
    <xf numFmtId="191" fontId="66" fillId="43" borderId="97" xfId="0" applyNumberFormat="1" applyFont="1" applyFill="1" applyBorder="1" applyAlignment="1">
      <alignment horizontal="center" vertical="center"/>
    </xf>
    <xf numFmtId="191" fontId="66" fillId="43" borderId="99" xfId="0" applyNumberFormat="1" applyFont="1" applyFill="1" applyBorder="1" applyAlignment="1">
      <alignment horizontal="center" vertical="center"/>
    </xf>
    <xf numFmtId="192" fontId="110" fillId="28" borderId="86" xfId="0" applyNumberFormat="1" applyFont="1" applyFill="1" applyBorder="1" applyAlignment="1">
      <alignment horizontal="center" vertical="center"/>
    </xf>
    <xf numFmtId="0" fontId="87" fillId="32" borderId="79" xfId="360" applyFill="1" applyBorder="1" applyAlignment="1" applyProtection="1">
      <alignment horizontal="center" vertical="center"/>
      <protection locked="0"/>
    </xf>
    <xf numFmtId="0" fontId="68" fillId="0" borderId="54" xfId="359" applyFont="1" applyBorder="1" applyAlignment="1">
      <alignment horizontal="justify" vertical="center"/>
    </xf>
    <xf numFmtId="0" fontId="66" fillId="0" borderId="100" xfId="0" applyFont="1" applyBorder="1" applyAlignment="1">
      <alignment horizontal="center" vertical="center"/>
    </xf>
    <xf numFmtId="1" fontId="66" fillId="44" borderId="101" xfId="0" applyNumberFormat="1" applyFont="1" applyFill="1" applyBorder="1" applyAlignment="1">
      <alignment horizontal="center" vertical="center"/>
    </xf>
    <xf numFmtId="197" fontId="66" fillId="45" borderId="101" xfId="429" applyNumberFormat="1" applyFont="1" applyFill="1" applyBorder="1" applyAlignment="1">
      <alignment horizontal="center" vertical="center"/>
    </xf>
    <xf numFmtId="197" fontId="66" fillId="44" borderId="101" xfId="429" applyNumberFormat="1" applyFont="1" applyFill="1" applyBorder="1" applyAlignment="1">
      <alignment horizontal="center" vertical="center"/>
    </xf>
    <xf numFmtId="0" fontId="66" fillId="44" borderId="100" xfId="0" applyFont="1" applyFill="1" applyBorder="1" applyAlignment="1">
      <alignment horizontal="center" vertical="center"/>
    </xf>
    <xf numFmtId="49" fontId="108" fillId="43" borderId="96" xfId="0" applyNumberFormat="1" applyFont="1" applyFill="1" applyBorder="1" applyAlignment="1">
      <alignment horizontal="center" vertical="center" wrapText="1"/>
    </xf>
    <xf numFmtId="0" fontId="68" fillId="0" borderId="26" xfId="359" applyFont="1" applyBorder="1" applyAlignment="1">
      <alignment horizontal="justify" vertical="center"/>
    </xf>
    <xf numFmtId="197" fontId="66" fillId="46" borderId="101" xfId="429" applyNumberFormat="1" applyFont="1" applyFill="1" applyBorder="1" applyAlignment="1">
      <alignment horizontal="center" vertical="center"/>
    </xf>
    <xf numFmtId="0" fontId="66" fillId="44" borderId="101" xfId="0" applyFont="1" applyFill="1" applyBorder="1" applyAlignment="1">
      <alignment horizontal="left" vertical="center" wrapText="1"/>
    </xf>
    <xf numFmtId="191" fontId="66" fillId="45" borderId="101" xfId="0" applyNumberFormat="1" applyFont="1" applyFill="1" applyBorder="1" applyAlignment="1">
      <alignment horizontal="center" vertical="center"/>
    </xf>
    <xf numFmtId="191" fontId="66" fillId="46" borderId="101" xfId="0" applyNumberFormat="1" applyFont="1" applyFill="1" applyBorder="1" applyAlignment="1">
      <alignment horizontal="center" vertical="center"/>
    </xf>
    <xf numFmtId="1" fontId="66" fillId="0" borderId="101" xfId="0" applyNumberFormat="1" applyFont="1" applyBorder="1" applyAlignment="1">
      <alignment horizontal="center" vertical="center"/>
    </xf>
    <xf numFmtId="197" fontId="111" fillId="38" borderId="101" xfId="429" applyNumberFormat="1" applyFont="1" applyFill="1" applyBorder="1" applyAlignment="1">
      <alignment horizontal="center" vertical="center"/>
    </xf>
    <xf numFmtId="197" fontId="66" fillId="38" borderId="101" xfId="429" applyNumberFormat="1" applyFont="1" applyFill="1" applyBorder="1" applyAlignment="1">
      <alignment horizontal="center" vertical="center"/>
    </xf>
    <xf numFmtId="0" fontId="88" fillId="44" borderId="101" xfId="0" applyFont="1" applyFill="1" applyBorder="1" applyAlignment="1">
      <alignment horizontal="left" vertical="center" wrapText="1"/>
    </xf>
    <xf numFmtId="179" fontId="66" fillId="0" borderId="101" xfId="0" applyNumberFormat="1" applyFont="1" applyBorder="1" applyAlignment="1">
      <alignment horizontal="center" vertical="center"/>
    </xf>
    <xf numFmtId="166" fontId="66" fillId="45" borderId="101" xfId="429" applyFont="1" applyFill="1" applyBorder="1" applyAlignment="1">
      <alignment horizontal="center" vertical="center"/>
    </xf>
    <xf numFmtId="166" fontId="66" fillId="46" borderId="101" xfId="429" applyFont="1" applyFill="1" applyBorder="1" applyAlignment="1">
      <alignment horizontal="center" vertical="center"/>
    </xf>
    <xf numFmtId="0" fontId="88" fillId="0" borderId="101" xfId="0" applyFont="1" applyBorder="1" applyAlignment="1">
      <alignment horizontal="left" vertical="center" wrapText="1"/>
    </xf>
    <xf numFmtId="166" fontId="66" fillId="44" borderId="101" xfId="429" applyFont="1" applyFill="1" applyBorder="1" applyAlignment="1">
      <alignment horizontal="center" vertical="center"/>
    </xf>
    <xf numFmtId="0" fontId="66" fillId="0" borderId="101" xfId="0" applyFont="1" applyBorder="1" applyAlignment="1">
      <alignment horizontal="left" vertical="center" wrapText="1"/>
    </xf>
    <xf numFmtId="179" fontId="66" fillId="44" borderId="101" xfId="0" applyNumberFormat="1" applyFont="1" applyFill="1" applyBorder="1" applyAlignment="1">
      <alignment horizontal="center" vertical="center"/>
    </xf>
    <xf numFmtId="0" fontId="66" fillId="0" borderId="103" xfId="362" applyFont="1" applyBorder="1" applyAlignment="1">
      <alignment horizontal="justify" vertical="center"/>
    </xf>
    <xf numFmtId="0" fontId="95" fillId="0" borderId="34" xfId="362" applyFont="1" applyBorder="1" applyAlignment="1">
      <alignment horizontal="justify" vertical="center" wrapText="1"/>
    </xf>
    <xf numFmtId="0" fontId="88" fillId="30" borderId="34" xfId="362" applyFont="1" applyFill="1" applyBorder="1" applyAlignment="1">
      <alignment horizontal="justify" vertical="center" wrapText="1"/>
    </xf>
    <xf numFmtId="10" fontId="110" fillId="28" borderId="97" xfId="343" applyNumberFormat="1" applyFont="1" applyFill="1" applyBorder="1" applyAlignment="1">
      <alignment horizontal="center" vertical="center"/>
    </xf>
    <xf numFmtId="191" fontId="68" fillId="40" borderId="97" xfId="0" applyNumberFormat="1" applyFont="1" applyFill="1" applyBorder="1" applyAlignment="1">
      <alignment horizontal="center" vertical="center"/>
    </xf>
    <xf numFmtId="0" fontId="111" fillId="29" borderId="32" xfId="0" applyFont="1" applyFill="1" applyBorder="1" applyAlignment="1">
      <alignment vertical="center" wrapText="1"/>
    </xf>
    <xf numFmtId="0" fontId="66" fillId="0" borderId="97" xfId="0" applyFont="1" applyBorder="1" applyAlignment="1">
      <alignment horizontal="center" vertical="center"/>
    </xf>
    <xf numFmtId="2" fontId="66" fillId="0" borderId="98" xfId="0" applyNumberFormat="1" applyFont="1" applyBorder="1" applyAlignment="1">
      <alignment horizontal="center" vertical="center"/>
    </xf>
    <xf numFmtId="191" fontId="66" fillId="0" borderId="97" xfId="0" applyNumberFormat="1" applyFont="1" applyBorder="1" applyAlignment="1">
      <alignment horizontal="center" vertical="center"/>
    </xf>
    <xf numFmtId="191" fontId="66" fillId="0" borderId="99" xfId="0" applyNumberFormat="1" applyFont="1" applyBorder="1" applyAlignment="1">
      <alignment horizontal="center" vertical="center"/>
    </xf>
    <xf numFmtId="0" fontId="112" fillId="0" borderId="32" xfId="0" applyFont="1" applyBorder="1" applyAlignment="1">
      <alignment horizontal="justify" vertical="center" wrapText="1"/>
    </xf>
    <xf numFmtId="1" fontId="111" fillId="30" borderId="32" xfId="0" applyNumberFormat="1" applyFont="1" applyFill="1" applyBorder="1" applyAlignment="1">
      <alignment horizontal="center" vertical="center"/>
    </xf>
    <xf numFmtId="165" fontId="0" fillId="29" borderId="32" xfId="430" applyFont="1" applyFill="1" applyBorder="1" applyAlignment="1">
      <alignment vertical="center" wrapText="1"/>
    </xf>
    <xf numFmtId="165" fontId="0" fillId="0" borderId="32" xfId="430" applyFont="1" applyBorder="1" applyAlignment="1">
      <alignment vertical="center" wrapText="1"/>
    </xf>
    <xf numFmtId="1" fontId="111" fillId="30" borderId="0" xfId="0" applyNumberFormat="1" applyFont="1" applyFill="1" applyAlignment="1">
      <alignment horizontal="center" vertical="center"/>
    </xf>
    <xf numFmtId="2" fontId="66" fillId="44" borderId="101" xfId="0" applyNumberFormat="1" applyFont="1" applyFill="1" applyBorder="1" applyAlignment="1">
      <alignment horizontal="center" vertical="center"/>
    </xf>
    <xf numFmtId="0" fontId="68" fillId="43" borderId="97" xfId="0" applyFont="1" applyFill="1" applyBorder="1" applyAlignment="1">
      <alignment horizontal="center" vertical="center"/>
    </xf>
    <xf numFmtId="191" fontId="66" fillId="44" borderId="101" xfId="0" applyNumberFormat="1" applyFont="1" applyFill="1" applyBorder="1" applyAlignment="1">
      <alignment horizontal="center" vertical="center"/>
    </xf>
    <xf numFmtId="0" fontId="111" fillId="33" borderId="32" xfId="0" applyFont="1" applyFill="1" applyBorder="1" applyAlignment="1">
      <alignment vertical="center" wrapText="1"/>
    </xf>
    <xf numFmtId="0" fontId="111" fillId="0" borderId="32" xfId="0" applyFont="1" applyBorder="1" applyAlignment="1">
      <alignment vertical="center" wrapText="1"/>
    </xf>
    <xf numFmtId="165" fontId="0" fillId="38" borderId="32" xfId="430" applyFont="1" applyFill="1" applyBorder="1" applyAlignment="1">
      <alignment vertical="center" wrapText="1"/>
    </xf>
    <xf numFmtId="0" fontId="66" fillId="0" borderId="32" xfId="0" applyFont="1" applyBorder="1" applyAlignment="1">
      <alignment horizontal="justify" vertical="center" wrapText="1"/>
    </xf>
    <xf numFmtId="188" fontId="66" fillId="38" borderId="32" xfId="340" applyNumberFormat="1" applyFont="1" applyFill="1" applyBorder="1" applyAlignment="1">
      <alignment vertical="center" wrapText="1"/>
    </xf>
    <xf numFmtId="197" fontId="66" fillId="0" borderId="101" xfId="429" applyNumberFormat="1" applyFont="1" applyBorder="1" applyAlignment="1">
      <alignment horizontal="center" vertical="center"/>
    </xf>
    <xf numFmtId="0" fontId="66" fillId="0" borderId="2" xfId="0" applyFont="1" applyBorder="1" applyAlignment="1" applyProtection="1">
      <alignment horizontal="left" vertical="center" wrapText="1"/>
      <protection locked="0"/>
    </xf>
    <xf numFmtId="165" fontId="66" fillId="38" borderId="32" xfId="430" applyFont="1" applyFill="1" applyBorder="1" applyAlignment="1" applyProtection="1">
      <alignment vertical="center" wrapText="1"/>
      <protection locked="0"/>
    </xf>
    <xf numFmtId="1" fontId="66" fillId="43" borderId="98" xfId="0" applyNumberFormat="1" applyFont="1" applyFill="1" applyBorder="1" applyAlignment="1">
      <alignment horizontal="center" vertical="center"/>
    </xf>
    <xf numFmtId="0" fontId="111" fillId="30" borderId="32" xfId="0" applyFont="1" applyFill="1" applyBorder="1" applyAlignment="1">
      <alignment vertical="center" wrapText="1"/>
    </xf>
    <xf numFmtId="166" fontId="114" fillId="47" borderId="82" xfId="431" applyFont="1" applyFill="1" applyBorder="1" applyAlignment="1">
      <alignment horizontal="center" vertical="center" wrapText="1"/>
    </xf>
    <xf numFmtId="0" fontId="68" fillId="43" borderId="97" xfId="0" applyFont="1" applyFill="1" applyBorder="1" applyAlignment="1">
      <alignment vertical="center"/>
    </xf>
    <xf numFmtId="0" fontId="66" fillId="0" borderId="33" xfId="361" applyNumberFormat="1" applyFont="1" applyBorder="1" applyAlignment="1">
      <alignment horizontal="center" vertical="center"/>
    </xf>
    <xf numFmtId="1" fontId="66" fillId="0" borderId="33" xfId="0" applyNumberFormat="1" applyFont="1" applyBorder="1" applyAlignment="1" applyProtection="1">
      <alignment horizontal="center" vertical="center"/>
      <protection locked="0"/>
    </xf>
    <xf numFmtId="0" fontId="87" fillId="32" borderId="31" xfId="360" applyFill="1" applyBorder="1" applyAlignment="1" applyProtection="1">
      <alignment horizontal="center" vertical="center"/>
      <protection locked="0"/>
    </xf>
    <xf numFmtId="0" fontId="66" fillId="30" borderId="33" xfId="362" applyFont="1" applyFill="1" applyBorder="1" applyAlignment="1">
      <alignment horizontal="justify" vertical="center" wrapText="1"/>
    </xf>
    <xf numFmtId="0" fontId="66" fillId="30" borderId="33" xfId="361" applyNumberFormat="1" applyFont="1" applyFill="1" applyBorder="1" applyAlignment="1">
      <alignment horizontal="center" vertical="center"/>
    </xf>
    <xf numFmtId="1" fontId="66" fillId="30" borderId="33" xfId="0" applyNumberFormat="1" applyFont="1" applyFill="1" applyBorder="1" applyAlignment="1" applyProtection="1">
      <alignment horizontal="center" vertical="center"/>
      <protection locked="0"/>
    </xf>
    <xf numFmtId="0" fontId="66" fillId="0" borderId="33" xfId="362" applyFont="1" applyBorder="1" applyAlignment="1">
      <alignment horizontal="justify" vertical="center" wrapText="1"/>
    </xf>
    <xf numFmtId="2" fontId="66" fillId="0" borderId="33" xfId="0" applyNumberFormat="1" applyFont="1" applyBorder="1" applyAlignment="1" applyProtection="1">
      <alignment horizontal="center" vertical="center"/>
      <protection locked="0"/>
    </xf>
    <xf numFmtId="191" fontId="66" fillId="38" borderId="33" xfId="359" applyNumberFormat="1" applyFont="1" applyFill="1" applyBorder="1" applyAlignment="1">
      <alignment horizontal="center" vertical="center"/>
    </xf>
    <xf numFmtId="192" fontId="66" fillId="0" borderId="34" xfId="0" applyNumberFormat="1" applyFont="1" applyBorder="1" applyAlignment="1">
      <alignment horizontal="center" vertical="center"/>
    </xf>
    <xf numFmtId="191" fontId="68" fillId="40" borderId="99" xfId="0" applyNumberFormat="1" applyFont="1" applyFill="1" applyBorder="1" applyAlignment="1">
      <alignment horizontal="center" vertical="center"/>
    </xf>
    <xf numFmtId="49" fontId="108" fillId="48" borderId="96" xfId="0" applyNumberFormat="1" applyFont="1" applyFill="1" applyBorder="1" applyAlignment="1">
      <alignment horizontal="center" vertical="center" wrapText="1"/>
    </xf>
    <xf numFmtId="166" fontId="114" fillId="29" borderId="82" xfId="431" applyFont="1" applyFill="1" applyBorder="1" applyAlignment="1">
      <alignment horizontal="center" vertical="center" wrapText="1"/>
    </xf>
    <xf numFmtId="0" fontId="66" fillId="48" borderId="97" xfId="0" applyFont="1" applyFill="1" applyBorder="1" applyAlignment="1">
      <alignment horizontal="center" vertical="center"/>
    </xf>
    <xf numFmtId="2" fontId="66" fillId="48" borderId="98" xfId="0" applyNumberFormat="1" applyFont="1" applyFill="1" applyBorder="1" applyAlignment="1">
      <alignment horizontal="center" vertical="center"/>
    </xf>
    <xf numFmtId="191" fontId="66" fillId="48" borderId="97" xfId="0" applyNumberFormat="1" applyFont="1" applyFill="1" applyBorder="1" applyAlignment="1">
      <alignment horizontal="center" vertical="center"/>
    </xf>
    <xf numFmtId="191" fontId="66" fillId="48" borderId="99" xfId="0" applyNumberFormat="1" applyFont="1" applyFill="1" applyBorder="1" applyAlignment="1">
      <alignment horizontal="center" vertical="center"/>
    </xf>
    <xf numFmtId="191" fontId="68" fillId="49" borderId="99" xfId="0" applyNumberFormat="1" applyFont="1" applyFill="1" applyBorder="1" applyAlignment="1">
      <alignment horizontal="center" vertical="center"/>
    </xf>
    <xf numFmtId="0" fontId="0" fillId="0" borderId="106" xfId="0" applyBorder="1" applyAlignment="1">
      <alignment wrapText="1"/>
    </xf>
    <xf numFmtId="198" fontId="0" fillId="38" borderId="106" xfId="0" applyNumberFormat="1" applyFill="1" applyBorder="1" applyAlignment="1">
      <alignment horizontal="right" vertical="center"/>
    </xf>
    <xf numFmtId="0" fontId="53" fillId="0" borderId="32" xfId="0" applyFont="1" applyBorder="1" applyAlignment="1">
      <alignment wrapText="1"/>
    </xf>
    <xf numFmtId="198" fontId="0" fillId="38" borderId="32" xfId="0" applyNumberFormat="1" applyFill="1" applyBorder="1" applyAlignment="1">
      <alignment horizontal="right" vertical="center"/>
    </xf>
    <xf numFmtId="0" fontId="53" fillId="0" borderId="32" xfId="0" applyFont="1" applyBorder="1" applyAlignment="1">
      <alignment vertical="center" wrapText="1"/>
    </xf>
    <xf numFmtId="198" fontId="0" fillId="38" borderId="63" xfId="0" applyNumberFormat="1" applyFill="1" applyBorder="1" applyAlignment="1">
      <alignment horizontal="right" vertical="center"/>
    </xf>
    <xf numFmtId="0" fontId="11" fillId="0" borderId="32" xfId="432" applyBorder="1" applyAlignment="1">
      <alignment horizontal="justify" vertical="center" wrapText="1"/>
    </xf>
    <xf numFmtId="0" fontId="53" fillId="0" borderId="55" xfId="0" applyFont="1" applyBorder="1" applyAlignment="1">
      <alignment vertical="center" wrapText="1"/>
    </xf>
    <xf numFmtId="0" fontId="53" fillId="0" borderId="106" xfId="0" applyFont="1" applyBorder="1" applyAlignment="1">
      <alignment vertical="center" wrapText="1"/>
    </xf>
    <xf numFmtId="198" fontId="0" fillId="0" borderId="106" xfId="0" applyNumberFormat="1" applyBorder="1" applyAlignment="1">
      <alignment horizontal="right" vertical="center"/>
    </xf>
    <xf numFmtId="10" fontId="110" fillId="28" borderId="107" xfId="343" applyNumberFormat="1" applyFont="1" applyFill="1" applyBorder="1" applyAlignment="1">
      <alignment horizontal="center" vertical="center"/>
    </xf>
    <xf numFmtId="198" fontId="0" fillId="45" borderId="32" xfId="0" applyNumberFormat="1" applyFill="1" applyBorder="1" applyAlignment="1">
      <alignment horizontal="right" vertical="center"/>
    </xf>
    <xf numFmtId="0" fontId="0" fillId="0" borderId="32" xfId="0" applyBorder="1" applyAlignment="1">
      <alignment vertical="center" wrapText="1"/>
    </xf>
    <xf numFmtId="0" fontId="53" fillId="0" borderId="63" xfId="0" applyFont="1" applyBorder="1" applyAlignment="1">
      <alignment vertical="center" wrapText="1"/>
    </xf>
    <xf numFmtId="198" fontId="0" fillId="45" borderId="55" xfId="0" applyNumberFormat="1" applyFill="1" applyBorder="1" applyAlignment="1">
      <alignment horizontal="right" vertical="center"/>
    </xf>
    <xf numFmtId="0" fontId="0" fillId="0" borderId="42" xfId="0" applyBorder="1" applyAlignment="1">
      <alignment vertical="center" wrapText="1"/>
    </xf>
    <xf numFmtId="0" fontId="0" fillId="0" borderId="42" xfId="0" applyBorder="1" applyAlignment="1">
      <alignment horizontal="center" vertical="center"/>
    </xf>
    <xf numFmtId="198" fontId="0" fillId="45" borderId="106" xfId="0" applyNumberFormat="1" applyFill="1" applyBorder="1" applyAlignment="1">
      <alignment horizontal="right" vertical="center"/>
    </xf>
    <xf numFmtId="0" fontId="0" fillId="0" borderId="32" xfId="0" applyBorder="1" applyAlignment="1">
      <alignment horizontal="center" vertical="center"/>
    </xf>
    <xf numFmtId="0" fontId="11" fillId="0" borderId="32" xfId="0" applyFont="1" applyBorder="1" applyAlignment="1">
      <alignment vertical="center" wrapText="1"/>
    </xf>
    <xf numFmtId="0" fontId="0" fillId="0" borderId="32" xfId="0" applyBorder="1" applyAlignment="1">
      <alignment horizontal="left" wrapText="1"/>
    </xf>
    <xf numFmtId="0" fontId="53" fillId="0" borderId="32" xfId="0" applyFont="1" applyBorder="1" applyAlignment="1">
      <alignment horizontal="left" wrapText="1"/>
    </xf>
    <xf numFmtId="0" fontId="0" fillId="0" borderId="63" xfId="0" applyBorder="1" applyAlignment="1">
      <alignment vertical="center" wrapText="1"/>
    </xf>
    <xf numFmtId="0" fontId="0" fillId="0" borderId="63" xfId="0" applyBorder="1" applyAlignment="1">
      <alignment horizontal="center" vertical="center"/>
    </xf>
    <xf numFmtId="0" fontId="0" fillId="0" borderId="110" xfId="0" applyBorder="1" applyAlignment="1">
      <alignment vertical="center" wrapText="1"/>
    </xf>
    <xf numFmtId="0" fontId="0" fillId="0" borderId="111" xfId="0" applyBorder="1" applyAlignment="1">
      <alignment horizontal="center" vertical="center"/>
    </xf>
    <xf numFmtId="198" fontId="0" fillId="45" borderId="111" xfId="0" applyNumberFormat="1" applyFill="1" applyBorder="1" applyAlignment="1">
      <alignment horizontal="right" vertical="center"/>
    </xf>
    <xf numFmtId="165" fontId="0" fillId="0" borderId="111" xfId="430" applyFont="1" applyBorder="1" applyAlignment="1">
      <alignment vertical="center" wrapText="1"/>
    </xf>
    <xf numFmtId="0" fontId="0" fillId="0" borderId="112" xfId="0" applyBorder="1" applyAlignment="1">
      <alignment vertical="center" wrapText="1"/>
    </xf>
    <xf numFmtId="0" fontId="0" fillId="0" borderId="111"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1" xfId="0" applyBorder="1" applyAlignment="1">
      <alignment vertical="center"/>
    </xf>
    <xf numFmtId="0" fontId="11" fillId="0" borderId="111" xfId="0" applyFont="1" applyBorder="1" applyAlignment="1">
      <alignment vertical="center" wrapText="1"/>
    </xf>
    <xf numFmtId="0" fontId="0" fillId="0" borderId="111" xfId="0" applyBorder="1" applyAlignment="1">
      <alignment horizontal="left" vertical="center" wrapText="1"/>
    </xf>
    <xf numFmtId="165" fontId="0" fillId="38" borderId="111" xfId="430" applyFont="1" applyFill="1" applyBorder="1" applyAlignment="1">
      <alignment vertical="center" wrapText="1"/>
    </xf>
    <xf numFmtId="0" fontId="53" fillId="0" borderId="111" xfId="0" applyFont="1" applyBorder="1" applyAlignment="1">
      <alignment vertical="center" wrapText="1"/>
    </xf>
    <xf numFmtId="2" fontId="0" fillId="0" borderId="111" xfId="0" applyNumberFormat="1" applyBorder="1" applyAlignment="1">
      <alignment horizontal="center" vertical="center"/>
    </xf>
    <xf numFmtId="0" fontId="115" fillId="0" borderId="115" xfId="0" applyFont="1" applyBorder="1" applyAlignment="1">
      <alignment wrapText="1"/>
    </xf>
    <xf numFmtId="0" fontId="66" fillId="41" borderId="117" xfId="0" applyFont="1" applyFill="1" applyBorder="1" applyAlignment="1">
      <alignment vertical="center"/>
    </xf>
    <xf numFmtId="191" fontId="116" fillId="41" borderId="118" xfId="0" applyNumberFormat="1" applyFont="1" applyFill="1" applyBorder="1" applyAlignment="1">
      <alignment horizontal="center"/>
    </xf>
    <xf numFmtId="192" fontId="67" fillId="41" borderId="118" xfId="343" applyNumberFormat="1" applyFont="1" applyFill="1" applyBorder="1" applyAlignment="1">
      <alignment horizontal="center"/>
    </xf>
    <xf numFmtId="10" fontId="66" fillId="38" borderId="122" xfId="343" applyNumberFormat="1" applyFont="1" applyFill="1" applyBorder="1" applyAlignment="1">
      <alignment horizontal="center" vertical="center"/>
    </xf>
    <xf numFmtId="191" fontId="66" fillId="31" borderId="123" xfId="0" applyNumberFormat="1" applyFont="1" applyFill="1" applyBorder="1" applyAlignment="1">
      <alignment horizontal="center"/>
    </xf>
    <xf numFmtId="10" fontId="117" fillId="30" borderId="0" xfId="0" applyNumberFormat="1" applyFont="1" applyFill="1" applyAlignment="1">
      <alignment horizontal="center" vertical="center"/>
    </xf>
    <xf numFmtId="10" fontId="66" fillId="38" borderId="29" xfId="343" applyNumberFormat="1" applyFont="1" applyFill="1" applyBorder="1" applyAlignment="1">
      <alignment horizontal="center" vertical="center"/>
    </xf>
    <xf numFmtId="191" fontId="66" fillId="31" borderId="30" xfId="0" applyNumberFormat="1" applyFont="1" applyFill="1" applyBorder="1" applyAlignment="1">
      <alignment horizontal="center"/>
    </xf>
    <xf numFmtId="0" fontId="59" fillId="30" borderId="0" xfId="0" applyFont="1" applyFill="1"/>
    <xf numFmtId="10" fontId="66" fillId="38" borderId="130" xfId="343" applyNumberFormat="1" applyFont="1" applyFill="1" applyBorder="1" applyAlignment="1">
      <alignment horizontal="center" vertical="center"/>
    </xf>
    <xf numFmtId="191" fontId="66" fillId="0" borderId="131" xfId="0" applyNumberFormat="1" applyFont="1" applyBorder="1" applyAlignment="1">
      <alignment horizontal="center"/>
    </xf>
    <xf numFmtId="0" fontId="59" fillId="0" borderId="0" xfId="0" applyFont="1"/>
    <xf numFmtId="9" fontId="67" fillId="28" borderId="103" xfId="343" applyFont="1" applyFill="1" applyBorder="1" applyAlignment="1">
      <alignment vertical="center"/>
    </xf>
    <xf numFmtId="191" fontId="116" fillId="28" borderId="135" xfId="0" applyNumberFormat="1" applyFont="1" applyFill="1" applyBorder="1" applyAlignment="1">
      <alignment horizontal="center"/>
    </xf>
    <xf numFmtId="191" fontId="15" fillId="0" borderId="0" xfId="0" applyNumberFormat="1" applyFont="1"/>
    <xf numFmtId="0" fontId="70" fillId="28" borderId="79" xfId="356" applyFont="1" applyFill="1" applyBorder="1" applyAlignment="1">
      <alignment horizontal="center" vertical="center"/>
    </xf>
    <xf numFmtId="0" fontId="70" fillId="28" borderId="82" xfId="356" applyFont="1" applyFill="1" applyBorder="1" applyAlignment="1">
      <alignment horizontal="center" vertical="center" wrapText="1"/>
    </xf>
    <xf numFmtId="0" fontId="70" fillId="28" borderId="80" xfId="356" applyFont="1" applyFill="1" applyBorder="1" applyAlignment="1">
      <alignment horizontal="center" vertical="center" wrapText="1"/>
    </xf>
    <xf numFmtId="0" fontId="70" fillId="28" borderId="136" xfId="356" applyFont="1" applyFill="1" applyBorder="1" applyAlignment="1">
      <alignment horizontal="center" vertical="center" wrapText="1"/>
    </xf>
    <xf numFmtId="0" fontId="70" fillId="28" borderId="86" xfId="356" applyFont="1" applyFill="1" applyBorder="1" applyAlignment="1">
      <alignment horizontal="center" vertical="center" wrapText="1"/>
    </xf>
    <xf numFmtId="0" fontId="69" fillId="36" borderId="79" xfId="356" applyFont="1" applyFill="1" applyBorder="1" applyAlignment="1">
      <alignment horizontal="center" vertical="center"/>
    </xf>
    <xf numFmtId="0" fontId="69" fillId="36" borderId="80" xfId="356" applyFont="1" applyFill="1" applyBorder="1" applyAlignment="1">
      <alignment horizontal="left" vertical="center" wrapText="1"/>
    </xf>
    <xf numFmtId="0" fontId="65" fillId="36" borderId="80" xfId="356" applyFont="1" applyFill="1" applyBorder="1" applyAlignment="1">
      <alignment vertical="center"/>
    </xf>
    <xf numFmtId="0" fontId="65" fillId="36" borderId="81" xfId="356" applyFont="1" applyFill="1" applyBorder="1" applyAlignment="1">
      <alignment vertical="center"/>
    </xf>
    <xf numFmtId="0" fontId="65" fillId="36" borderId="137" xfId="356" applyFont="1" applyFill="1" applyBorder="1" applyAlignment="1">
      <alignment vertical="center"/>
    </xf>
    <xf numFmtId="0" fontId="69" fillId="28" borderId="79" xfId="356" applyFont="1" applyFill="1" applyBorder="1" applyAlignment="1">
      <alignment horizontal="center" vertical="center"/>
    </xf>
    <xf numFmtId="0" fontId="69" fillId="28" borderId="80" xfId="356" applyFont="1" applyFill="1" applyBorder="1" applyAlignment="1">
      <alignment horizontal="justify" vertical="center" wrapText="1"/>
    </xf>
    <xf numFmtId="0" fontId="65" fillId="28" borderId="80" xfId="356" applyFont="1" applyFill="1" applyBorder="1" applyAlignment="1">
      <alignment vertical="center"/>
    </xf>
    <xf numFmtId="0" fontId="65" fillId="28" borderId="81" xfId="356" applyFont="1" applyFill="1" applyBorder="1" applyAlignment="1">
      <alignment vertical="center"/>
    </xf>
    <xf numFmtId="0" fontId="65" fillId="28" borderId="137" xfId="356" applyFont="1" applyFill="1" applyBorder="1" applyAlignment="1">
      <alignment vertical="center"/>
    </xf>
    <xf numFmtId="0" fontId="71" fillId="30" borderId="33" xfId="356" applyFont="1" applyFill="1" applyBorder="1" applyAlignment="1">
      <alignment horizontal="justify" vertical="center" wrapText="1"/>
    </xf>
    <xf numFmtId="192" fontId="71" fillId="38" borderId="33" xfId="356" applyNumberFormat="1" applyFont="1" applyFill="1" applyBorder="1" applyAlignment="1">
      <alignment horizontal="center" vertical="center"/>
    </xf>
    <xf numFmtId="194" fontId="71" fillId="38" borderId="33" xfId="356" applyNumberFormat="1" applyFont="1" applyFill="1" applyBorder="1" applyAlignment="1">
      <alignment horizontal="center" vertical="center"/>
    </xf>
    <xf numFmtId="194" fontId="71" fillId="30" borderId="33" xfId="356" applyNumberFormat="1" applyFont="1" applyFill="1" applyBorder="1" applyAlignment="1">
      <alignment horizontal="center" vertical="center"/>
    </xf>
    <xf numFmtId="9" fontId="71" fillId="0" borderId="36" xfId="356" applyNumberFormat="1" applyFont="1" applyBorder="1" applyAlignment="1">
      <alignment horizontal="center" vertical="center"/>
    </xf>
    <xf numFmtId="2" fontId="71" fillId="0" borderId="36" xfId="356" applyNumberFormat="1" applyFont="1" applyBorder="1" applyAlignment="1">
      <alignment horizontal="center" vertical="center"/>
    </xf>
    <xf numFmtId="1" fontId="71" fillId="0" borderId="3" xfId="356" applyNumberFormat="1" applyFont="1" applyBorder="1" applyAlignment="1">
      <alignment horizontal="center" vertical="center"/>
    </xf>
    <xf numFmtId="0" fontId="71" fillId="28" borderId="80" xfId="356" applyFont="1" applyFill="1" applyBorder="1" applyAlignment="1">
      <alignment vertical="center"/>
    </xf>
    <xf numFmtId="0" fontId="71" fillId="28" borderId="81" xfId="356" applyFont="1" applyFill="1" applyBorder="1" applyAlignment="1">
      <alignment vertical="center"/>
    </xf>
    <xf numFmtId="193" fontId="71" fillId="28" borderId="137" xfId="356" applyNumberFormat="1" applyFont="1" applyFill="1" applyBorder="1" applyAlignment="1">
      <alignment vertical="center"/>
    </xf>
    <xf numFmtId="0" fontId="71" fillId="0" borderId="33" xfId="356" applyFont="1" applyBorder="1" applyAlignment="1">
      <alignment horizontal="justify" vertical="center" wrapText="1"/>
    </xf>
    <xf numFmtId="193" fontId="71" fillId="0" borderId="34" xfId="356" applyNumberFormat="1" applyFont="1" applyBorder="1" applyAlignment="1">
      <alignment horizontal="center" vertical="center"/>
    </xf>
    <xf numFmtId="0" fontId="71" fillId="36" borderId="80" xfId="356" applyFont="1" applyFill="1" applyBorder="1" applyAlignment="1">
      <alignment vertical="center"/>
    </xf>
    <xf numFmtId="2" fontId="71" fillId="36" borderId="80" xfId="356" applyNumberFormat="1" applyFont="1" applyFill="1" applyBorder="1" applyAlignment="1">
      <alignment vertical="center"/>
    </xf>
    <xf numFmtId="2" fontId="71" fillId="36" borderId="81" xfId="356" applyNumberFormat="1" applyFont="1" applyFill="1" applyBorder="1" applyAlignment="1">
      <alignment vertical="center"/>
    </xf>
    <xf numFmtId="193" fontId="71" fillId="36" borderId="137" xfId="356" applyNumberFormat="1" applyFont="1" applyFill="1" applyBorder="1" applyAlignment="1">
      <alignment vertical="center"/>
    </xf>
    <xf numFmtId="2" fontId="71" fillId="28" borderId="80" xfId="356" applyNumberFormat="1" applyFont="1" applyFill="1" applyBorder="1" applyAlignment="1">
      <alignment vertical="center"/>
    </xf>
    <xf numFmtId="2" fontId="71" fillId="28" borderId="81" xfId="356" applyNumberFormat="1" applyFont="1" applyFill="1" applyBorder="1" applyAlignment="1">
      <alignment vertical="center"/>
    </xf>
    <xf numFmtId="9" fontId="71" fillId="30" borderId="33" xfId="356" applyNumberFormat="1" applyFont="1" applyFill="1" applyBorder="1" applyAlignment="1">
      <alignment horizontal="center" vertical="center"/>
    </xf>
    <xf numFmtId="192" fontId="71" fillId="38" borderId="36" xfId="356" applyNumberFormat="1" applyFont="1" applyFill="1" applyBorder="1" applyAlignment="1">
      <alignment horizontal="center" vertical="center"/>
    </xf>
    <xf numFmtId="0" fontId="71" fillId="36" borderId="81" xfId="356" applyFont="1" applyFill="1" applyBorder="1" applyAlignment="1">
      <alignment vertical="center"/>
    </xf>
    <xf numFmtId="0" fontId="69" fillId="0" borderId="79" xfId="356" applyFont="1" applyBorder="1" applyAlignment="1">
      <alignment horizontal="center" vertical="center"/>
    </xf>
    <xf numFmtId="4" fontId="71" fillId="38" borderId="33" xfId="356" applyNumberFormat="1" applyFont="1" applyFill="1" applyBorder="1" applyAlignment="1">
      <alignment horizontal="center" vertical="center"/>
    </xf>
    <xf numFmtId="0" fontId="71" fillId="0" borderId="29" xfId="356" applyFont="1" applyBorder="1" applyAlignment="1">
      <alignment horizontal="left" vertical="center" wrapText="1"/>
    </xf>
    <xf numFmtId="192" fontId="71" fillId="38" borderId="29" xfId="356" applyNumberFormat="1" applyFont="1" applyFill="1" applyBorder="1" applyAlignment="1">
      <alignment horizontal="center" vertical="center"/>
    </xf>
    <xf numFmtId="4" fontId="71" fillId="0" borderId="29" xfId="356" applyNumberFormat="1" applyFont="1" applyBorder="1" applyAlignment="1">
      <alignment horizontal="center" vertical="center"/>
    </xf>
    <xf numFmtId="9" fontId="71" fillId="0" borderId="29" xfId="356" applyNumberFormat="1" applyFont="1" applyBorder="1" applyAlignment="1">
      <alignment horizontal="center" vertical="center"/>
    </xf>
    <xf numFmtId="0" fontId="71" fillId="0" borderId="29" xfId="356" applyFont="1" applyBorder="1" applyAlignment="1">
      <alignment horizontal="center" vertical="center"/>
    </xf>
    <xf numFmtId="192" fontId="71" fillId="0" borderId="30" xfId="356" applyNumberFormat="1" applyFont="1" applyBorder="1" applyAlignment="1">
      <alignment horizontal="center" vertical="center"/>
    </xf>
    <xf numFmtId="0" fontId="71" fillId="38" borderId="33" xfId="356" applyFont="1" applyFill="1" applyBorder="1" applyAlignment="1">
      <alignment vertical="center"/>
    </xf>
    <xf numFmtId="0" fontId="69" fillId="32" borderId="138" xfId="356" applyFont="1" applyFill="1" applyBorder="1" applyAlignment="1">
      <alignment horizontal="center" vertical="center"/>
    </xf>
    <xf numFmtId="0" fontId="69" fillId="32" borderId="139" xfId="356" applyFont="1" applyFill="1" applyBorder="1" applyAlignment="1">
      <alignment horizontal="left" vertical="center" wrapText="1"/>
    </xf>
    <xf numFmtId="0" fontId="65" fillId="32" borderId="139" xfId="356" applyFont="1" applyFill="1" applyBorder="1" applyAlignment="1">
      <alignment vertical="center"/>
    </xf>
    <xf numFmtId="0" fontId="65" fillId="32" borderId="140" xfId="356" applyFont="1" applyFill="1" applyBorder="1" applyAlignment="1">
      <alignment vertical="center"/>
    </xf>
    <xf numFmtId="192" fontId="69" fillId="32" borderId="141" xfId="356" applyNumberFormat="1" applyFont="1" applyFill="1" applyBorder="1" applyAlignment="1">
      <alignment horizontal="center" vertical="center"/>
    </xf>
    <xf numFmtId="0" fontId="69" fillId="32" borderId="79" xfId="356" applyFont="1" applyFill="1" applyBorder="1" applyAlignment="1">
      <alignment horizontal="center" vertical="center"/>
    </xf>
    <xf numFmtId="0" fontId="69" fillId="32" borderId="80" xfId="356" applyFont="1" applyFill="1" applyBorder="1" applyAlignment="1">
      <alignment horizontal="left" vertical="center" wrapText="1"/>
    </xf>
    <xf numFmtId="0" fontId="65" fillId="32" borderId="80" xfId="356" applyFont="1" applyFill="1" applyBorder="1" applyAlignment="1">
      <alignment vertical="center"/>
    </xf>
    <xf numFmtId="0" fontId="65" fillId="32" borderId="81" xfId="356" applyFont="1" applyFill="1" applyBorder="1" applyAlignment="1">
      <alignment vertical="center"/>
    </xf>
    <xf numFmtId="192" fontId="69" fillId="32" borderId="137" xfId="356" applyNumberFormat="1" applyFont="1" applyFill="1" applyBorder="1" applyAlignment="1">
      <alignment horizontal="center" vertical="center"/>
    </xf>
    <xf numFmtId="10" fontId="69" fillId="33" borderId="80" xfId="356" applyNumberFormat="1" applyFont="1" applyFill="1" applyBorder="1" applyAlignment="1">
      <alignment horizontal="center" vertical="center" wrapText="1"/>
    </xf>
    <xf numFmtId="9" fontId="69" fillId="33" borderId="81" xfId="356" applyNumberFormat="1" applyFont="1" applyFill="1" applyBorder="1" applyAlignment="1">
      <alignment horizontal="center" vertical="center" wrapText="1"/>
    </xf>
    <xf numFmtId="192" fontId="69" fillId="33" borderId="137" xfId="356" applyNumberFormat="1" applyFont="1" applyFill="1" applyBorder="1" applyAlignment="1">
      <alignment horizontal="center" vertical="center"/>
    </xf>
    <xf numFmtId="0" fontId="56" fillId="38" borderId="61" xfId="349" applyFont="1" applyFill="1" applyBorder="1" applyAlignment="1" applyProtection="1">
      <alignment horizontal="center" vertical="center"/>
      <protection locked="0"/>
    </xf>
    <xf numFmtId="14" fontId="56" fillId="38" borderId="64" xfId="349" applyNumberFormat="1" applyFont="1" applyFill="1" applyBorder="1" applyAlignment="1" applyProtection="1">
      <alignment horizontal="center" vertical="center" wrapText="1"/>
      <protection locked="0"/>
    </xf>
    <xf numFmtId="21" fontId="63" fillId="0" borderId="32" xfId="351" applyNumberFormat="1" applyFont="1" applyBorder="1" applyAlignment="1" applyProtection="1">
      <alignment horizontal="center" vertical="center"/>
      <protection locked="0"/>
    </xf>
    <xf numFmtId="0" fontId="63" fillId="0" borderId="42" xfId="351" applyFont="1" applyBorder="1" applyAlignment="1" applyProtection="1">
      <alignment horizontal="left" vertical="center" wrapText="1"/>
      <protection locked="0"/>
    </xf>
    <xf numFmtId="0" fontId="63" fillId="0" borderId="32" xfId="351" applyFont="1" applyBorder="1" applyAlignment="1" applyProtection="1">
      <alignment horizontal="left" vertical="center" wrapText="1"/>
      <protection locked="0"/>
    </xf>
    <xf numFmtId="17" fontId="59" fillId="0" borderId="32" xfId="2" applyNumberFormat="1" applyFont="1" applyBorder="1" applyAlignment="1" applyProtection="1">
      <alignment horizontal="center" vertical="center" wrapText="1"/>
      <protection locked="0"/>
    </xf>
    <xf numFmtId="0" fontId="59" fillId="0" borderId="32" xfId="0" applyFont="1" applyBorder="1" applyAlignment="1" applyProtection="1">
      <alignment vertical="center" wrapText="1"/>
      <protection locked="0"/>
    </xf>
    <xf numFmtId="0" fontId="71" fillId="50" borderId="29" xfId="356" applyFont="1" applyFill="1" applyBorder="1" applyAlignment="1">
      <alignment horizontal="center" vertical="center"/>
    </xf>
    <xf numFmtId="192" fontId="71" fillId="50" borderId="30" xfId="356" applyNumberFormat="1" applyFont="1" applyFill="1" applyBorder="1" applyAlignment="1">
      <alignment horizontal="center" vertical="center"/>
    </xf>
    <xf numFmtId="192" fontId="11" fillId="0" borderId="0" xfId="356" applyNumberFormat="1" applyAlignment="1">
      <alignment vertical="center"/>
    </xf>
    <xf numFmtId="200" fontId="66" fillId="38" borderId="122" xfId="343" applyNumberFormat="1" applyFont="1" applyFill="1" applyBorder="1" applyAlignment="1">
      <alignment horizontal="center" vertical="center"/>
    </xf>
    <xf numFmtId="203" fontId="66" fillId="38" borderId="122" xfId="343" applyNumberFormat="1" applyFont="1" applyFill="1" applyBorder="1" applyAlignment="1">
      <alignment horizontal="center" vertical="center"/>
    </xf>
    <xf numFmtId="10" fontId="11" fillId="0" borderId="0" xfId="357" applyNumberFormat="1" applyFont="1" applyBorder="1" applyAlignment="1">
      <alignment vertical="center"/>
    </xf>
    <xf numFmtId="0" fontId="11" fillId="0" borderId="0" xfId="356" applyBorder="1" applyAlignment="1">
      <alignment vertical="center"/>
    </xf>
    <xf numFmtId="171" fontId="11" fillId="0" borderId="0" xfId="356" applyNumberFormat="1" applyBorder="1" applyAlignment="1">
      <alignment vertical="center"/>
    </xf>
    <xf numFmtId="9" fontId="11" fillId="0" borderId="0" xfId="357" applyFont="1" applyAlignment="1">
      <alignment vertical="center"/>
    </xf>
    <xf numFmtId="202" fontId="11" fillId="0" borderId="0" xfId="357" applyNumberFormat="1" applyFont="1" applyAlignment="1">
      <alignment vertical="center"/>
    </xf>
    <xf numFmtId="10" fontId="13" fillId="0" borderId="32" xfId="357" applyNumberFormat="1" applyFont="1" applyBorder="1" applyAlignment="1">
      <alignment vertical="center"/>
    </xf>
    <xf numFmtId="0" fontId="13" fillId="0" borderId="32" xfId="356" applyFont="1" applyBorder="1" applyAlignment="1">
      <alignment vertical="center"/>
    </xf>
    <xf numFmtId="171" fontId="13" fillId="0" borderId="32" xfId="356" applyNumberFormat="1" applyFont="1" applyBorder="1" applyAlignment="1">
      <alignment vertical="center"/>
    </xf>
    <xf numFmtId="0" fontId="11" fillId="0" borderId="0" xfId="356" applyFill="1" applyBorder="1" applyAlignment="1">
      <alignment horizontal="center" vertical="center"/>
    </xf>
    <xf numFmtId="0" fontId="101" fillId="0" borderId="0" xfId="356" applyFont="1" applyFill="1" applyAlignment="1">
      <alignment vertical="center"/>
    </xf>
    <xf numFmtId="0" fontId="11" fillId="0" borderId="0" xfId="356" applyFill="1" applyAlignment="1">
      <alignment vertical="center"/>
    </xf>
    <xf numFmtId="0" fontId="13" fillId="0" borderId="32" xfId="356" applyFont="1" applyBorder="1" applyAlignment="1">
      <alignment horizontal="center" vertical="center"/>
    </xf>
    <xf numFmtId="200" fontId="70" fillId="31" borderId="33" xfId="356" applyNumberFormat="1" applyFont="1" applyFill="1" applyBorder="1" applyAlignment="1">
      <alignment horizontal="center" vertical="center"/>
    </xf>
    <xf numFmtId="204" fontId="70" fillId="31" borderId="33" xfId="356" applyNumberFormat="1" applyFont="1" applyFill="1" applyBorder="1" applyAlignment="1">
      <alignment horizontal="center" vertical="center"/>
    </xf>
    <xf numFmtId="200" fontId="13" fillId="0" borderId="32" xfId="357" applyNumberFormat="1" applyFont="1" applyBorder="1" applyAlignment="1">
      <alignment vertical="center"/>
    </xf>
    <xf numFmtId="201" fontId="13" fillId="0" borderId="32" xfId="357" applyNumberFormat="1" applyFont="1" applyBorder="1" applyAlignment="1">
      <alignment vertical="center"/>
    </xf>
    <xf numFmtId="0" fontId="11" fillId="0" borderId="0" xfId="104" applyBorder="1"/>
    <xf numFmtId="0" fontId="11" fillId="0" borderId="0" xfId="104" applyBorder="1" applyAlignment="1">
      <alignment horizontal="center" vertical="center"/>
    </xf>
    <xf numFmtId="0" fontId="65" fillId="0" borderId="0" xfId="104" applyFont="1" applyBorder="1"/>
    <xf numFmtId="0" fontId="11" fillId="0" borderId="0" xfId="104" applyFill="1" applyBorder="1"/>
    <xf numFmtId="0" fontId="11" fillId="0" borderId="0" xfId="104" applyFill="1" applyBorder="1" applyAlignment="1">
      <alignment horizontal="center" vertical="center"/>
    </xf>
    <xf numFmtId="0" fontId="65" fillId="0" borderId="0" xfId="104" applyFont="1" applyFill="1" applyBorder="1"/>
    <xf numFmtId="10" fontId="13" fillId="0" borderId="32" xfId="357" applyNumberFormat="1" applyFont="1" applyBorder="1" applyAlignment="1">
      <alignment horizontal="right" vertical="center"/>
    </xf>
    <xf numFmtId="200" fontId="66" fillId="38" borderId="29" xfId="343" applyNumberFormat="1" applyFont="1" applyFill="1" applyBorder="1" applyAlignment="1">
      <alignment horizontal="center" vertical="center"/>
    </xf>
    <xf numFmtId="0" fontId="49" fillId="35" borderId="0" xfId="350" applyFont="1" applyFill="1" applyAlignment="1" applyProtection="1">
      <alignment vertical="center"/>
      <protection locked="0"/>
    </xf>
    <xf numFmtId="0" fontId="49" fillId="0" borderId="1" xfId="350" applyFont="1" applyFill="1" applyBorder="1" applyAlignment="1" applyProtection="1">
      <alignment vertical="center"/>
      <protection locked="0"/>
    </xf>
    <xf numFmtId="0" fontId="49" fillId="0" borderId="1" xfId="350" applyFont="1" applyFill="1" applyBorder="1" applyAlignment="1" applyProtection="1">
      <alignment vertical="center" wrapText="1"/>
      <protection locked="0"/>
    </xf>
    <xf numFmtId="0" fontId="49" fillId="0" borderId="1" xfId="350" applyFont="1" applyFill="1" applyBorder="1" applyAlignment="1" applyProtection="1">
      <alignment horizontal="left" vertical="center" wrapText="1"/>
      <protection locked="0"/>
    </xf>
    <xf numFmtId="0" fontId="49" fillId="0" borderId="32" xfId="350" applyFont="1" applyBorder="1" applyAlignment="1" applyProtection="1">
      <alignment vertical="center" wrapText="1"/>
      <protection locked="0"/>
    </xf>
    <xf numFmtId="0" fontId="49" fillId="0" borderId="1" xfId="350" applyFont="1" applyBorder="1" applyAlignment="1" applyProtection="1">
      <alignment vertical="center" wrapText="1"/>
      <protection locked="0"/>
    </xf>
    <xf numFmtId="164" fontId="49" fillId="0" borderId="32" xfId="350" applyNumberFormat="1" applyFont="1" applyBorder="1" applyAlignment="1" applyProtection="1">
      <alignment vertical="center"/>
      <protection locked="0"/>
    </xf>
    <xf numFmtId="0" fontId="49" fillId="0" borderId="32" xfId="350" applyFont="1" applyBorder="1" applyAlignment="1" applyProtection="1">
      <alignment horizontal="left" vertical="center"/>
      <protection locked="0"/>
    </xf>
    <xf numFmtId="0" fontId="49" fillId="0" borderId="32" xfId="421" applyFont="1" applyBorder="1" applyAlignment="1" applyProtection="1">
      <alignment horizontal="left" vertical="center" wrapText="1"/>
      <protection locked="0"/>
    </xf>
    <xf numFmtId="0" fontId="48" fillId="0" borderId="32" xfId="350" applyFont="1" applyBorder="1" applyAlignment="1" applyProtection="1">
      <alignment horizontal="left" vertical="center" wrapText="1"/>
      <protection locked="0"/>
    </xf>
    <xf numFmtId="0" fontId="11" fillId="0" borderId="2" xfId="421" applyFont="1" applyBorder="1" applyAlignment="1" applyProtection="1">
      <alignment horizontal="left" vertical="center" wrapText="1"/>
      <protection locked="0"/>
    </xf>
    <xf numFmtId="0" fontId="49" fillId="30" borderId="1" xfId="350" applyFont="1" applyFill="1" applyBorder="1" applyAlignment="1" applyProtection="1">
      <alignment horizontal="left" vertical="center" wrapText="1"/>
      <protection locked="0"/>
    </xf>
    <xf numFmtId="0" fontId="48" fillId="0" borderId="32" xfId="421" applyFont="1" applyBorder="1" applyAlignment="1" applyProtection="1">
      <alignment horizontal="left" vertical="center" wrapText="1"/>
      <protection locked="0"/>
    </xf>
    <xf numFmtId="171" fontId="11" fillId="0" borderId="32" xfId="421" applyNumberFormat="1" applyFont="1" applyBorder="1" applyAlignment="1" applyProtection="1">
      <alignment horizontal="left" vertical="center" wrapText="1"/>
      <protection locked="0"/>
    </xf>
    <xf numFmtId="199" fontId="70" fillId="31" borderId="33" xfId="356" applyNumberFormat="1" applyFont="1" applyFill="1" applyBorder="1" applyAlignment="1">
      <alignment horizontal="center" vertical="center"/>
    </xf>
    <xf numFmtId="0" fontId="49" fillId="50" borderId="1" xfId="344" applyFont="1" applyFill="1" applyBorder="1" applyAlignment="1" applyProtection="1">
      <alignment horizontal="center" vertical="center" wrapText="1"/>
      <protection locked="0"/>
    </xf>
    <xf numFmtId="0" fontId="47" fillId="31" borderId="37" xfId="0" applyFont="1" applyFill="1" applyBorder="1" applyAlignment="1">
      <alignment horizontal="center" vertical="center" wrapText="1"/>
    </xf>
    <xf numFmtId="0" fontId="47" fillId="31" borderId="39" xfId="0" applyFont="1" applyFill="1" applyBorder="1" applyAlignment="1">
      <alignment horizontal="center" vertical="center" wrapText="1"/>
    </xf>
    <xf numFmtId="0" fontId="11" fillId="0" borderId="0" xfId="0" applyFont="1" applyAlignment="1">
      <alignment horizontal="justify" vertical="top" wrapText="1"/>
    </xf>
    <xf numFmtId="0" fontId="0" fillId="0" borderId="0" xfId="0" applyAlignment="1" applyProtection="1">
      <alignment horizontal="justify" vertical="top" wrapText="1"/>
      <protection locked="0"/>
    </xf>
    <xf numFmtId="0" fontId="15" fillId="31" borderId="20" xfId="0" applyFont="1" applyFill="1" applyBorder="1" applyAlignment="1">
      <alignment horizontal="center" vertical="center" wrapText="1"/>
    </xf>
    <xf numFmtId="0" fontId="15" fillId="31" borderId="17" xfId="0" applyFont="1" applyFill="1" applyBorder="1" applyAlignment="1">
      <alignment horizontal="center" vertical="center" wrapText="1"/>
    </xf>
    <xf numFmtId="0" fontId="59" fillId="31" borderId="18" xfId="0" applyFont="1" applyFill="1" applyBorder="1" applyAlignment="1" applyProtection="1">
      <alignment horizontal="justify" vertical="center" wrapText="1"/>
      <protection locked="0"/>
    </xf>
    <xf numFmtId="0" fontId="59" fillId="31" borderId="19" xfId="0" applyFont="1" applyFill="1" applyBorder="1" applyAlignment="1" applyProtection="1">
      <alignment horizontal="justify" vertical="center" wrapText="1"/>
      <protection locked="0"/>
    </xf>
    <xf numFmtId="0" fontId="12" fillId="31" borderId="18" xfId="0" applyFont="1" applyFill="1" applyBorder="1" applyAlignment="1" applyProtection="1">
      <alignment horizontal="center" vertical="center" wrapText="1"/>
      <protection locked="0"/>
    </xf>
    <xf numFmtId="0" fontId="12" fillId="31" borderId="19" xfId="0" applyFont="1" applyFill="1" applyBorder="1" applyAlignment="1" applyProtection="1">
      <alignment horizontal="center" vertical="center" wrapText="1"/>
      <protection locked="0"/>
    </xf>
    <xf numFmtId="0" fontId="47" fillId="31" borderId="38" xfId="351" applyFont="1" applyFill="1" applyBorder="1" applyAlignment="1">
      <alignment horizontal="center" wrapText="1"/>
    </xf>
    <xf numFmtId="0" fontId="47" fillId="31" borderId="39" xfId="351" applyFont="1" applyFill="1" applyBorder="1" applyAlignment="1">
      <alignment horizontal="center" wrapText="1"/>
    </xf>
    <xf numFmtId="0" fontId="12" fillId="31" borderId="0" xfId="351" applyFont="1" applyFill="1" applyAlignment="1">
      <alignment horizontal="center"/>
    </xf>
    <xf numFmtId="0" fontId="12" fillId="31" borderId="19" xfId="351" applyFont="1" applyFill="1" applyBorder="1" applyAlignment="1">
      <alignment horizontal="center"/>
    </xf>
    <xf numFmtId="0" fontId="42" fillId="31" borderId="0" xfId="351" applyFont="1" applyFill="1" applyAlignment="1">
      <alignment horizontal="center" vertical="center" wrapText="1"/>
    </xf>
    <xf numFmtId="0" fontId="42" fillId="31" borderId="19" xfId="351" applyFont="1" applyFill="1" applyBorder="1" applyAlignment="1">
      <alignment horizontal="center" vertical="center" wrapText="1"/>
    </xf>
    <xf numFmtId="0" fontId="59" fillId="0" borderId="0" xfId="351" applyFont="1" applyAlignment="1" applyProtection="1">
      <alignment horizontal="center" vertical="center" wrapText="1"/>
      <protection locked="0"/>
    </xf>
    <xf numFmtId="0" fontId="59" fillId="0" borderId="0" xfId="351" applyFont="1" applyAlignment="1" applyProtection="1">
      <alignment horizontal="center" vertical="center"/>
      <protection locked="0"/>
    </xf>
    <xf numFmtId="0" fontId="59" fillId="31" borderId="37" xfId="351" applyFont="1" applyFill="1" applyBorder="1" applyAlignment="1">
      <alignment horizontal="center"/>
    </xf>
    <xf numFmtId="0" fontId="59" fillId="31" borderId="18" xfId="351" applyFont="1" applyFill="1" applyBorder="1" applyAlignment="1">
      <alignment horizontal="center"/>
    </xf>
    <xf numFmtId="0" fontId="42" fillId="32" borderId="20" xfId="351" applyFont="1" applyFill="1" applyBorder="1" applyAlignment="1" applyProtection="1">
      <alignment horizontal="center" wrapText="1"/>
      <protection locked="0"/>
    </xf>
    <xf numFmtId="0" fontId="42" fillId="32" borderId="21" xfId="351" applyFont="1" applyFill="1" applyBorder="1" applyAlignment="1" applyProtection="1">
      <alignment horizontal="center" wrapText="1"/>
      <protection locked="0"/>
    </xf>
    <xf numFmtId="0" fontId="42" fillId="32" borderId="17" xfId="351" applyFont="1" applyFill="1" applyBorder="1" applyAlignment="1" applyProtection="1">
      <alignment horizontal="center" wrapText="1"/>
      <protection locked="0"/>
    </xf>
    <xf numFmtId="0" fontId="15" fillId="31" borderId="20" xfId="351" applyFont="1" applyFill="1" applyBorder="1" applyAlignment="1">
      <alignment horizontal="center" vertical="center" wrapText="1"/>
    </xf>
    <xf numFmtId="0" fontId="15" fillId="31" borderId="21" xfId="351" applyFont="1" applyFill="1" applyBorder="1" applyAlignment="1">
      <alignment horizontal="center" vertical="center" wrapText="1"/>
    </xf>
    <xf numFmtId="0" fontId="15" fillId="31" borderId="17" xfId="351" applyFont="1" applyFill="1" applyBorder="1" applyAlignment="1">
      <alignment horizontal="center" vertical="center" wrapText="1"/>
    </xf>
    <xf numFmtId="0" fontId="98" fillId="31" borderId="0" xfId="350" applyFont="1" applyFill="1" applyAlignment="1">
      <alignment horizontal="left" vertical="center"/>
    </xf>
    <xf numFmtId="0" fontId="54" fillId="33" borderId="52" xfId="0" applyFont="1" applyFill="1" applyBorder="1" applyAlignment="1">
      <alignment horizontal="center" vertical="center" textRotation="255" wrapText="1"/>
    </xf>
    <xf numFmtId="0" fontId="54" fillId="33" borderId="42" xfId="0" applyFont="1" applyFill="1" applyBorder="1" applyAlignment="1">
      <alignment horizontal="center" vertical="center" textRotation="255" wrapText="1"/>
    </xf>
    <xf numFmtId="0" fontId="62" fillId="33" borderId="2" xfId="0" applyFont="1" applyFill="1" applyBorder="1" applyAlignment="1">
      <alignment horizontal="center" vertical="center" wrapText="1"/>
    </xf>
    <xf numFmtId="0" fontId="62" fillId="33" borderId="40" xfId="0" applyFont="1" applyFill="1" applyBorder="1" applyAlignment="1">
      <alignment horizontal="center" vertical="center" wrapText="1"/>
    </xf>
    <xf numFmtId="0" fontId="62" fillId="33" borderId="45" xfId="0" applyFont="1" applyFill="1" applyBorder="1" applyAlignment="1">
      <alignment horizontal="center" vertical="center" wrapText="1"/>
    </xf>
    <xf numFmtId="0" fontId="15" fillId="34" borderId="32" xfId="0" applyFont="1" applyFill="1" applyBorder="1" applyAlignment="1">
      <alignment horizontal="center" vertical="center"/>
    </xf>
    <xf numFmtId="0" fontId="60" fillId="33" borderId="32" xfId="0" applyFont="1" applyFill="1" applyBorder="1" applyAlignment="1">
      <alignment horizontal="center" vertical="center" textRotation="255" wrapText="1"/>
    </xf>
    <xf numFmtId="0" fontId="12" fillId="32" borderId="56" xfId="1" applyNumberFormat="1" applyFont="1" applyFill="1" applyBorder="1" applyAlignment="1">
      <alignment horizontal="center" vertical="center" wrapText="1"/>
    </xf>
    <xf numFmtId="0" fontId="12" fillId="32" borderId="58" xfId="1" applyNumberFormat="1" applyFont="1" applyFill="1" applyBorder="1" applyAlignment="1">
      <alignment horizontal="center" vertical="center" wrapText="1"/>
    </xf>
    <xf numFmtId="0" fontId="12" fillId="32" borderId="59" xfId="1" applyNumberFormat="1" applyFont="1" applyFill="1" applyBorder="1" applyAlignment="1">
      <alignment horizontal="center" vertical="center" wrapText="1"/>
    </xf>
    <xf numFmtId="0" fontId="12" fillId="32" borderId="20" xfId="1" applyNumberFormat="1" applyFont="1" applyFill="1" applyBorder="1" applyAlignment="1">
      <alignment horizontal="center" vertical="center" wrapText="1"/>
    </xf>
    <xf numFmtId="0" fontId="12" fillId="32" borderId="21" xfId="1" applyNumberFormat="1" applyFont="1" applyFill="1" applyBorder="1" applyAlignment="1">
      <alignment horizontal="center" vertical="center" wrapText="1"/>
    </xf>
    <xf numFmtId="0" fontId="12" fillId="32" borderId="17" xfId="1" applyNumberFormat="1" applyFont="1" applyFill="1" applyBorder="1" applyAlignment="1">
      <alignment horizontal="center" vertical="center" wrapText="1"/>
    </xf>
    <xf numFmtId="0" fontId="15" fillId="33" borderId="55" xfId="2" applyFont="1" applyFill="1" applyBorder="1" applyAlignment="1">
      <alignment horizontal="center" vertical="center" wrapText="1"/>
    </xf>
    <xf numFmtId="0" fontId="15" fillId="33" borderId="42" xfId="2" applyFont="1" applyFill="1" applyBorder="1" applyAlignment="1">
      <alignment horizontal="center" vertical="center" wrapText="1"/>
    </xf>
    <xf numFmtId="0" fontId="99" fillId="31" borderId="0" xfId="2" applyFont="1" applyFill="1" applyAlignment="1">
      <alignment horizontal="center" vertical="center" wrapText="1"/>
    </xf>
    <xf numFmtId="170" fontId="12" fillId="33" borderId="32" xfId="3" applyNumberFormat="1" applyFont="1" applyFill="1" applyBorder="1" applyAlignment="1">
      <alignment horizontal="center" vertical="center" wrapText="1"/>
    </xf>
    <xf numFmtId="169" fontId="12" fillId="33" borderId="32" xfId="3" applyFont="1" applyFill="1" applyBorder="1" applyAlignment="1">
      <alignment horizontal="center" vertical="center" wrapText="1"/>
    </xf>
    <xf numFmtId="171" fontId="12" fillId="38" borderId="32" xfId="3" applyNumberFormat="1" applyFont="1" applyFill="1" applyBorder="1" applyAlignment="1" applyProtection="1">
      <alignment horizontal="center" vertical="center" wrapText="1"/>
      <protection locked="0"/>
    </xf>
    <xf numFmtId="169" fontId="15" fillId="33" borderId="2" xfId="3" applyFont="1" applyFill="1" applyBorder="1" applyAlignment="1">
      <alignment horizontal="center" vertical="center" wrapText="1"/>
    </xf>
    <xf numFmtId="169" fontId="15" fillId="33" borderId="57" xfId="3" applyFont="1" applyFill="1" applyBorder="1" applyAlignment="1">
      <alignment horizontal="center" vertical="center" wrapText="1"/>
    </xf>
    <xf numFmtId="191" fontId="12" fillId="38" borderId="2" xfId="3" applyNumberFormat="1" applyFont="1" applyFill="1" applyBorder="1" applyAlignment="1" applyProtection="1">
      <alignment horizontal="center" vertical="center" wrapText="1"/>
      <protection locked="0"/>
    </xf>
    <xf numFmtId="191" fontId="12" fillId="38" borderId="57" xfId="3" applyNumberFormat="1" applyFont="1" applyFill="1" applyBorder="1" applyAlignment="1" applyProtection="1">
      <alignment horizontal="center" vertical="center" wrapText="1"/>
      <protection locked="0"/>
    </xf>
    <xf numFmtId="0" fontId="12" fillId="32" borderId="32" xfId="1" applyNumberFormat="1" applyFont="1" applyFill="1" applyBorder="1" applyAlignment="1">
      <alignment horizontal="center" vertical="center" wrapText="1"/>
    </xf>
    <xf numFmtId="0" fontId="14" fillId="0" borderId="0" xfId="2" applyFont="1" applyAlignment="1">
      <alignment horizontal="left" vertical="center" wrapText="1"/>
    </xf>
    <xf numFmtId="0" fontId="60" fillId="33" borderId="55" xfId="0" applyFont="1" applyFill="1" applyBorder="1" applyAlignment="1">
      <alignment horizontal="center" vertical="center" textRotation="255" wrapText="1"/>
    </xf>
    <xf numFmtId="0" fontId="14" fillId="38" borderId="0" xfId="2" applyFont="1" applyFill="1" applyAlignment="1" applyProtection="1">
      <alignment horizontal="justify" vertical="center" wrapText="1"/>
      <protection locked="0"/>
    </xf>
    <xf numFmtId="0" fontId="14" fillId="0" borderId="18" xfId="2" applyFont="1" applyBorder="1" applyAlignment="1">
      <alignment horizontal="center" vertical="center" wrapText="1"/>
    </xf>
    <xf numFmtId="0" fontId="14" fillId="0" borderId="0" xfId="2" applyFont="1" applyAlignment="1">
      <alignment horizontal="center" vertical="center" wrapText="1"/>
    </xf>
    <xf numFmtId="0" fontId="99" fillId="31" borderId="18" xfId="2" applyFont="1" applyFill="1" applyBorder="1" applyAlignment="1">
      <alignment horizontal="center" vertical="center" wrapText="1"/>
    </xf>
    <xf numFmtId="0" fontId="15" fillId="33" borderId="32" xfId="2" applyFont="1" applyFill="1" applyBorder="1" applyAlignment="1">
      <alignment horizontal="center" vertical="center" wrapText="1"/>
    </xf>
    <xf numFmtId="0" fontId="15" fillId="39" borderId="32" xfId="2" applyFont="1" applyFill="1" applyBorder="1" applyAlignment="1">
      <alignment horizontal="center" vertical="center" wrapText="1"/>
    </xf>
    <xf numFmtId="0" fontId="15" fillId="0" borderId="32" xfId="2" applyFont="1" applyBorder="1" applyAlignment="1">
      <alignment horizontal="center" vertical="center" wrapText="1"/>
    </xf>
    <xf numFmtId="0" fontId="15" fillId="29" borderId="32" xfId="2" applyFont="1" applyFill="1" applyBorder="1" applyAlignment="1">
      <alignment horizontal="center" vertical="center" wrapText="1"/>
    </xf>
    <xf numFmtId="0" fontId="96" fillId="29" borderId="2" xfId="2" applyFont="1" applyFill="1" applyBorder="1" applyAlignment="1">
      <alignment horizontal="center" vertical="center" wrapText="1"/>
    </xf>
    <xf numFmtId="0" fontId="96" fillId="29" borderId="57" xfId="2" applyFont="1" applyFill="1" applyBorder="1" applyAlignment="1">
      <alignment horizontal="center" vertical="center" wrapText="1"/>
    </xf>
    <xf numFmtId="0" fontId="96" fillId="33" borderId="2" xfId="2" applyFont="1" applyFill="1" applyBorder="1" applyAlignment="1">
      <alignment horizontal="center" vertical="center" wrapText="1"/>
    </xf>
    <xf numFmtId="0" fontId="96" fillId="33" borderId="57" xfId="2" applyFont="1" applyFill="1" applyBorder="1" applyAlignment="1">
      <alignment horizontal="center" vertical="center" wrapText="1"/>
    </xf>
    <xf numFmtId="0" fontId="96" fillId="39" borderId="2" xfId="2" applyFont="1" applyFill="1" applyBorder="1" applyAlignment="1">
      <alignment horizontal="center" vertical="center" wrapText="1"/>
    </xf>
    <xf numFmtId="0" fontId="96" fillId="39" borderId="57" xfId="2" applyFont="1" applyFill="1" applyBorder="1" applyAlignment="1">
      <alignment horizontal="center" vertical="center" wrapText="1"/>
    </xf>
    <xf numFmtId="0" fontId="78" fillId="30" borderId="2" xfId="349" applyFont="1" applyFill="1" applyBorder="1" applyAlignment="1">
      <alignment horizontal="left" vertical="center" wrapText="1"/>
    </xf>
    <xf numFmtId="0" fontId="78" fillId="30" borderId="40" xfId="349" applyFont="1" applyFill="1" applyBorder="1" applyAlignment="1">
      <alignment horizontal="left" vertical="center" wrapText="1"/>
    </xf>
    <xf numFmtId="0" fontId="78" fillId="30" borderId="45" xfId="349" applyFont="1" applyFill="1" applyBorder="1" applyAlignment="1">
      <alignment horizontal="left" vertical="center" wrapText="1"/>
    </xf>
    <xf numFmtId="0" fontId="58" fillId="38" borderId="32" xfId="349" applyFont="1" applyFill="1" applyBorder="1" applyAlignment="1" applyProtection="1">
      <alignment horizontal="justify" vertical="center" wrapText="1"/>
      <protection locked="0"/>
    </xf>
    <xf numFmtId="0" fontId="47" fillId="31" borderId="37" xfId="2" applyFont="1" applyFill="1" applyBorder="1" applyAlignment="1">
      <alignment horizontal="center" vertical="center" wrapText="1"/>
    </xf>
    <xf numFmtId="0" fontId="47" fillId="31" borderId="38" xfId="2" applyFont="1" applyFill="1" applyBorder="1" applyAlignment="1">
      <alignment horizontal="center" vertical="center" wrapText="1"/>
    </xf>
    <xf numFmtId="0" fontId="47" fillId="31" borderId="58" xfId="2" applyFont="1" applyFill="1" applyBorder="1" applyAlignment="1">
      <alignment horizontal="center" vertical="center" wrapText="1"/>
    </xf>
    <xf numFmtId="0" fontId="47" fillId="31" borderId="39" xfId="2" applyFont="1" applyFill="1" applyBorder="1" applyAlignment="1">
      <alignment horizontal="center" vertical="center" wrapText="1"/>
    </xf>
    <xf numFmtId="0" fontId="12" fillId="31" borderId="18" xfId="2" applyFont="1" applyFill="1" applyBorder="1" applyAlignment="1">
      <alignment horizontal="center" vertical="center" wrapText="1"/>
    </xf>
    <xf numFmtId="0" fontId="12" fillId="31" borderId="0" xfId="2" applyFont="1" applyFill="1" applyAlignment="1">
      <alignment horizontal="center" vertical="center" wrapText="1"/>
    </xf>
    <xf numFmtId="0" fontId="12" fillId="31" borderId="19" xfId="2" applyFont="1" applyFill="1" applyBorder="1" applyAlignment="1">
      <alignment horizontal="center" vertical="center" wrapText="1"/>
    </xf>
    <xf numFmtId="0" fontId="42" fillId="31" borderId="18" xfId="2" applyFont="1" applyFill="1" applyBorder="1" applyAlignment="1">
      <alignment horizontal="center" vertical="center" wrapText="1"/>
    </xf>
    <xf numFmtId="0" fontId="42" fillId="31" borderId="0" xfId="2" applyFont="1" applyFill="1" applyAlignment="1">
      <alignment horizontal="center" vertical="center" wrapText="1"/>
    </xf>
    <xf numFmtId="0" fontId="42" fillId="31" borderId="19" xfId="2" applyFont="1" applyFill="1" applyBorder="1" applyAlignment="1">
      <alignment horizontal="center" vertical="center" wrapText="1"/>
    </xf>
    <xf numFmtId="0" fontId="15" fillId="31" borderId="20" xfId="2" applyFont="1" applyFill="1" applyBorder="1" applyAlignment="1">
      <alignment horizontal="center" vertical="center" wrapText="1"/>
    </xf>
    <xf numFmtId="0" fontId="15" fillId="31" borderId="21" xfId="2" applyFont="1" applyFill="1" applyBorder="1" applyAlignment="1">
      <alignment horizontal="center" vertical="center" wrapText="1"/>
    </xf>
    <xf numFmtId="0" fontId="15" fillId="31" borderId="17" xfId="2" applyFont="1" applyFill="1" applyBorder="1" applyAlignment="1">
      <alignment horizontal="center" vertical="center" wrapText="1"/>
    </xf>
    <xf numFmtId="0" fontId="57" fillId="29" borderId="2" xfId="349" applyFont="1" applyFill="1" applyBorder="1" applyAlignment="1">
      <alignment horizontal="center" vertical="center" wrapText="1"/>
    </xf>
    <xf numFmtId="0" fontId="57" fillId="29" borderId="40" xfId="349" applyFont="1" applyFill="1" applyBorder="1" applyAlignment="1">
      <alignment horizontal="center" vertical="center" wrapText="1"/>
    </xf>
    <xf numFmtId="0" fontId="57" fillId="29" borderId="45" xfId="349" applyFont="1" applyFill="1" applyBorder="1" applyAlignment="1">
      <alignment horizontal="center" vertical="center" wrapText="1"/>
    </xf>
    <xf numFmtId="0" fontId="56" fillId="29" borderId="71" xfId="349" applyFont="1" applyFill="1" applyBorder="1" applyAlignment="1">
      <alignment horizontal="center" vertical="center"/>
    </xf>
    <xf numFmtId="0" fontId="56" fillId="29" borderId="72" xfId="349" applyFont="1" applyFill="1" applyBorder="1" applyAlignment="1">
      <alignment horizontal="center" vertical="center"/>
    </xf>
    <xf numFmtId="0" fontId="56" fillId="29" borderId="73" xfId="349" applyFont="1" applyFill="1" applyBorder="1" applyAlignment="1">
      <alignment horizontal="center" vertical="center"/>
    </xf>
    <xf numFmtId="0" fontId="56" fillId="29" borderId="62" xfId="349" applyFont="1" applyFill="1" applyBorder="1" applyAlignment="1">
      <alignment horizontal="center" vertical="center" wrapText="1"/>
    </xf>
    <xf numFmtId="0" fontId="56" fillId="29" borderId="63" xfId="349" applyFont="1" applyFill="1" applyBorder="1" applyAlignment="1">
      <alignment horizontal="center" vertical="center" wrapText="1"/>
    </xf>
    <xf numFmtId="0" fontId="56" fillId="29" borderId="84" xfId="349" applyFont="1" applyFill="1" applyBorder="1" applyAlignment="1">
      <alignment horizontal="center" vertical="center"/>
    </xf>
    <xf numFmtId="0" fontId="56" fillId="29" borderId="65" xfId="349" applyFont="1" applyFill="1" applyBorder="1" applyAlignment="1">
      <alignment horizontal="center" vertical="center"/>
    </xf>
    <xf numFmtId="0" fontId="56" fillId="29" borderId="32" xfId="349" applyFont="1" applyFill="1" applyBorder="1" applyAlignment="1">
      <alignment horizontal="center" vertical="center"/>
    </xf>
    <xf numFmtId="0" fontId="57" fillId="29" borderId="32" xfId="349" applyFont="1" applyFill="1" applyBorder="1" applyAlignment="1">
      <alignment horizontal="center" vertical="center" wrapText="1"/>
    </xf>
    <xf numFmtId="0" fontId="56" fillId="29" borderId="83" xfId="349" applyFont="1" applyFill="1" applyBorder="1" applyAlignment="1">
      <alignment horizontal="center" vertical="center" wrapText="1"/>
    </xf>
    <xf numFmtId="0" fontId="56" fillId="29" borderId="66" xfId="349" applyFont="1" applyFill="1" applyBorder="1" applyAlignment="1">
      <alignment horizontal="center" vertical="center" wrapText="1"/>
    </xf>
    <xf numFmtId="0" fontId="57" fillId="30" borderId="58" xfId="349" applyFont="1" applyFill="1" applyBorder="1" applyAlignment="1">
      <alignment horizontal="left" vertical="center"/>
    </xf>
    <xf numFmtId="0" fontId="57" fillId="30" borderId="75" xfId="349" applyFont="1" applyFill="1" applyBorder="1" applyAlignment="1">
      <alignment horizontal="left" vertical="center"/>
    </xf>
    <xf numFmtId="0" fontId="57" fillId="33" borderId="69" xfId="349" applyFont="1" applyFill="1" applyBorder="1" applyAlignment="1">
      <alignment horizontal="center" vertical="center" wrapText="1"/>
    </xf>
    <xf numFmtId="0" fontId="57" fillId="33" borderId="70" xfId="349" applyFont="1" applyFill="1" applyBorder="1" applyAlignment="1">
      <alignment horizontal="center" vertical="center" wrapText="1"/>
    </xf>
    <xf numFmtId="0" fontId="56" fillId="29" borderId="84" xfId="349" applyFont="1" applyFill="1" applyBorder="1" applyAlignment="1">
      <alignment horizontal="center"/>
    </xf>
    <xf numFmtId="0" fontId="56" fillId="29" borderId="68" xfId="349" applyFont="1" applyFill="1" applyBorder="1" applyAlignment="1">
      <alignment horizontal="center"/>
    </xf>
    <xf numFmtId="0" fontId="56" fillId="29" borderId="65" xfId="349" applyFont="1" applyFill="1" applyBorder="1" applyAlignment="1">
      <alignment horizontal="center"/>
    </xf>
    <xf numFmtId="0" fontId="57" fillId="30" borderId="77" xfId="349" applyFont="1" applyFill="1" applyBorder="1" applyAlignment="1">
      <alignment horizontal="left" vertical="center"/>
    </xf>
    <xf numFmtId="0" fontId="57" fillId="30" borderId="78" xfId="349" applyFont="1" applyFill="1" applyBorder="1" applyAlignment="1">
      <alignment horizontal="left" vertical="center"/>
    </xf>
    <xf numFmtId="1" fontId="42" fillId="29" borderId="32" xfId="0" applyNumberFormat="1" applyFont="1" applyFill="1" applyBorder="1" applyAlignment="1">
      <alignment horizontal="center" vertical="center"/>
    </xf>
    <xf numFmtId="195" fontId="11" fillId="33" borderId="2" xfId="0" applyNumberFormat="1" applyFont="1" applyFill="1" applyBorder="1" applyAlignment="1">
      <alignment horizontal="center" vertical="center"/>
    </xf>
    <xf numFmtId="195" fontId="11" fillId="33" borderId="57" xfId="0" applyNumberFormat="1" applyFont="1" applyFill="1" applyBorder="1" applyAlignment="1">
      <alignment horizontal="center" vertical="center"/>
    </xf>
    <xf numFmtId="195" fontId="11" fillId="33" borderId="32" xfId="0" applyNumberFormat="1" applyFont="1" applyFill="1" applyBorder="1" applyAlignment="1">
      <alignment horizontal="center" vertical="center"/>
    </xf>
    <xf numFmtId="0" fontId="11" fillId="33" borderId="32" xfId="0" applyFont="1" applyFill="1" applyBorder="1" applyAlignment="1">
      <alignment horizontal="center" vertical="center"/>
    </xf>
    <xf numFmtId="0" fontId="42" fillId="29" borderId="32" xfId="0" applyFont="1" applyFill="1" applyBorder="1" applyAlignment="1">
      <alignment horizontal="center" vertical="center" wrapText="1"/>
    </xf>
    <xf numFmtId="0" fontId="99" fillId="31" borderId="20" xfId="2" applyFont="1" applyFill="1" applyBorder="1" applyAlignment="1">
      <alignment horizontal="left" vertical="center" wrapText="1"/>
    </xf>
    <xf numFmtId="0" fontId="99" fillId="31" borderId="21" xfId="2" applyFont="1" applyFill="1" applyBorder="1" applyAlignment="1">
      <alignment horizontal="left" vertical="center" wrapText="1"/>
    </xf>
    <xf numFmtId="0" fontId="42" fillId="29" borderId="32" xfId="0" applyFont="1" applyFill="1" applyBorder="1" applyAlignment="1">
      <alignment horizontal="center" vertical="center"/>
    </xf>
    <xf numFmtId="0" fontId="42" fillId="0" borderId="21" xfId="0" applyFont="1" applyBorder="1" applyAlignment="1">
      <alignment horizontal="center"/>
    </xf>
    <xf numFmtId="0" fontId="42" fillId="0" borderId="0" xfId="0" applyFont="1" applyAlignment="1">
      <alignment horizontal="center"/>
    </xf>
    <xf numFmtId="0" fontId="47" fillId="29" borderId="56" xfId="0" applyFont="1" applyFill="1" applyBorder="1" applyAlignment="1">
      <alignment horizontal="center" vertical="center"/>
    </xf>
    <xf numFmtId="0" fontId="47" fillId="29" borderId="58" xfId="0" applyFont="1" applyFill="1" applyBorder="1" applyAlignment="1">
      <alignment horizontal="center" vertical="center"/>
    </xf>
    <xf numFmtId="0" fontId="47" fillId="29" borderId="59" xfId="0" applyFont="1" applyFill="1" applyBorder="1" applyAlignment="1">
      <alignment horizontal="center" vertical="center"/>
    </xf>
    <xf numFmtId="0" fontId="47" fillId="29" borderId="20" xfId="0" applyFont="1" applyFill="1" applyBorder="1" applyAlignment="1">
      <alignment horizontal="center" vertical="center"/>
    </xf>
    <xf numFmtId="0" fontId="47" fillId="29" borderId="21" xfId="0" applyFont="1" applyFill="1" applyBorder="1" applyAlignment="1">
      <alignment horizontal="center" vertical="center"/>
    </xf>
    <xf numFmtId="0" fontId="47" fillId="29" borderId="17" xfId="0" applyFont="1" applyFill="1" applyBorder="1" applyAlignment="1">
      <alignment horizontal="center" vertical="center"/>
    </xf>
    <xf numFmtId="0" fontId="13" fillId="29" borderId="32" xfId="0" applyFont="1" applyFill="1" applyBorder="1" applyAlignment="1">
      <alignment horizontal="center" vertical="center"/>
    </xf>
    <xf numFmtId="195" fontId="13" fillId="33" borderId="32" xfId="0" applyNumberFormat="1" applyFont="1" applyFill="1" applyBorder="1" applyAlignment="1">
      <alignment horizontal="center" vertical="center"/>
    </xf>
    <xf numFmtId="0" fontId="13" fillId="33" borderId="32" xfId="0" applyFont="1" applyFill="1" applyBorder="1" applyAlignment="1">
      <alignment horizontal="center" vertical="center"/>
    </xf>
    <xf numFmtId="0" fontId="15" fillId="29" borderId="32" xfId="0" applyFont="1" applyFill="1" applyBorder="1" applyAlignment="1">
      <alignment horizontal="center" vertical="center"/>
    </xf>
    <xf numFmtId="0" fontId="68" fillId="31" borderId="119" xfId="0" applyFont="1" applyFill="1" applyBorder="1" applyAlignment="1">
      <alignment horizontal="center" vertical="center"/>
    </xf>
    <xf numFmtId="0" fontId="68" fillId="31" borderId="120" xfId="0" applyFont="1" applyFill="1" applyBorder="1" applyAlignment="1">
      <alignment horizontal="center" vertical="center"/>
    </xf>
    <xf numFmtId="0" fontId="68" fillId="31" borderId="121" xfId="0" applyFont="1" applyFill="1" applyBorder="1" applyAlignment="1">
      <alignment horizontal="center" vertical="center"/>
    </xf>
    <xf numFmtId="0" fontId="68" fillId="31" borderId="124" xfId="0" applyFont="1" applyFill="1" applyBorder="1" applyAlignment="1">
      <alignment horizontal="center" vertical="center"/>
    </xf>
    <xf numFmtId="0" fontId="68" fillId="31" borderId="125" xfId="0" applyFont="1" applyFill="1" applyBorder="1" applyAlignment="1">
      <alignment horizontal="center" vertical="center"/>
    </xf>
    <xf numFmtId="0" fontId="68" fillId="31" borderId="126" xfId="0" applyFont="1" applyFill="1" applyBorder="1" applyAlignment="1">
      <alignment horizontal="center" vertical="center"/>
    </xf>
    <xf numFmtId="0" fontId="68" fillId="30" borderId="127" xfId="0" applyFont="1" applyFill="1" applyBorder="1" applyAlignment="1">
      <alignment horizontal="center" vertical="center"/>
    </xf>
    <xf numFmtId="0" fontId="68" fillId="30" borderId="128" xfId="0" applyFont="1" applyFill="1" applyBorder="1" applyAlignment="1">
      <alignment horizontal="center" vertical="center"/>
    </xf>
    <xf numFmtId="0" fontId="68" fillId="30" borderId="129" xfId="0" applyFont="1" applyFill="1" applyBorder="1" applyAlignment="1">
      <alignment horizontal="center" vertical="center"/>
    </xf>
    <xf numFmtId="0" fontId="67" fillId="28" borderId="132" xfId="0" applyFont="1" applyFill="1" applyBorder="1" applyAlignment="1">
      <alignment horizontal="center" vertical="center"/>
    </xf>
    <xf numFmtId="0" fontId="67" fillId="28" borderId="133" xfId="0" applyFont="1" applyFill="1" applyBorder="1" applyAlignment="1">
      <alignment horizontal="center" vertical="center"/>
    </xf>
    <xf numFmtId="0" fontId="67" fillId="28" borderId="134" xfId="0" applyFont="1" applyFill="1" applyBorder="1" applyAlignment="1">
      <alignment horizontal="center" vertical="center"/>
    </xf>
    <xf numFmtId="10" fontId="110" fillId="28" borderId="107" xfId="343" applyNumberFormat="1" applyFont="1" applyFill="1" applyBorder="1" applyAlignment="1">
      <alignment horizontal="center" vertical="center"/>
    </xf>
    <xf numFmtId="10" fontId="110" fillId="28" borderId="109" xfId="343" applyNumberFormat="1" applyFont="1" applyFill="1" applyBorder="1" applyAlignment="1">
      <alignment horizontal="center" vertical="center"/>
    </xf>
    <xf numFmtId="10" fontId="110" fillId="28" borderId="108" xfId="343" applyNumberFormat="1" applyFont="1" applyFill="1" applyBorder="1" applyAlignment="1">
      <alignment horizontal="center" vertical="center"/>
    </xf>
    <xf numFmtId="10" fontId="110" fillId="28" borderId="23" xfId="343" applyNumberFormat="1" applyFont="1" applyFill="1" applyBorder="1" applyAlignment="1">
      <alignment horizontal="center" vertical="center"/>
    </xf>
    <xf numFmtId="10" fontId="110" fillId="28" borderId="25" xfId="343" applyNumberFormat="1" applyFont="1" applyFill="1" applyBorder="1" applyAlignment="1">
      <alignment horizontal="center" vertical="center"/>
    </xf>
    <xf numFmtId="10" fontId="110" fillId="28" borderId="51" xfId="343" applyNumberFormat="1" applyFont="1" applyFill="1" applyBorder="1" applyAlignment="1">
      <alignment horizontal="center" vertical="center"/>
    </xf>
    <xf numFmtId="10" fontId="110" fillId="28" borderId="105" xfId="343" applyNumberFormat="1" applyFont="1" applyFill="1" applyBorder="1" applyAlignment="1">
      <alignment horizontal="center" vertical="center"/>
    </xf>
    <xf numFmtId="10" fontId="110" fillId="28" borderId="87" xfId="343" applyNumberFormat="1" applyFont="1" applyFill="1" applyBorder="1" applyAlignment="1">
      <alignment horizontal="center" vertical="center"/>
    </xf>
    <xf numFmtId="10" fontId="110" fillId="28" borderId="88" xfId="343" applyNumberFormat="1" applyFont="1" applyFill="1" applyBorder="1" applyAlignment="1">
      <alignment horizontal="center" vertical="center"/>
    </xf>
    <xf numFmtId="10" fontId="110" fillId="28" borderId="104" xfId="343" applyNumberFormat="1" applyFont="1" applyFill="1" applyBorder="1" applyAlignment="1">
      <alignment horizontal="center" vertical="center"/>
    </xf>
    <xf numFmtId="10" fontId="110" fillId="28" borderId="102" xfId="343" applyNumberFormat="1" applyFont="1" applyFill="1" applyBorder="1" applyAlignment="1">
      <alignment horizontal="center" vertical="center"/>
    </xf>
    <xf numFmtId="10" fontId="110" fillId="28" borderId="23" xfId="343" applyNumberFormat="1" applyFont="1" applyFill="1" applyBorder="1" applyAlignment="1">
      <alignment horizontal="center" vertical="center" wrapText="1"/>
    </xf>
    <xf numFmtId="10" fontId="110" fillId="28" borderId="25" xfId="343" applyNumberFormat="1" applyFont="1" applyFill="1" applyBorder="1" applyAlignment="1">
      <alignment horizontal="center" vertical="center" wrapText="1"/>
    </xf>
    <xf numFmtId="10" fontId="110" fillId="28" borderId="51" xfId="343" applyNumberFormat="1" applyFont="1" applyFill="1" applyBorder="1" applyAlignment="1">
      <alignment horizontal="center" vertical="center" wrapText="1"/>
    </xf>
    <xf numFmtId="0" fontId="66" fillId="38" borderId="22" xfId="0" applyFont="1" applyFill="1" applyBorder="1" applyAlignment="1">
      <alignment horizontal="center" vertical="center" wrapText="1"/>
    </xf>
    <xf numFmtId="0" fontId="66" fillId="38" borderId="23" xfId="0" applyFont="1" applyFill="1" applyBorder="1" applyAlignment="1">
      <alignment horizontal="center" vertical="center" wrapText="1"/>
    </xf>
    <xf numFmtId="0" fontId="66" fillId="38" borderId="24" xfId="0" applyFont="1" applyFill="1" applyBorder="1" applyAlignment="1">
      <alignment horizontal="center" vertical="center" wrapText="1"/>
    </xf>
    <xf numFmtId="0" fontId="66" fillId="38" borderId="25" xfId="0" applyFont="1" applyFill="1" applyBorder="1" applyAlignment="1">
      <alignment horizontal="center" vertical="center" wrapText="1"/>
    </xf>
    <xf numFmtId="0" fontId="66" fillId="38" borderId="50" xfId="0" applyFont="1" applyFill="1" applyBorder="1" applyAlignment="1">
      <alignment horizontal="center" vertical="center" wrapText="1"/>
    </xf>
    <xf numFmtId="0" fontId="66" fillId="38" borderId="51" xfId="0" applyFont="1" applyFill="1" applyBorder="1" applyAlignment="1">
      <alignment horizontal="center" vertical="center" wrapText="1"/>
    </xf>
    <xf numFmtId="0" fontId="91" fillId="31" borderId="85" xfId="0" quotePrefix="1" applyFont="1" applyFill="1" applyBorder="1" applyAlignment="1">
      <alignment horizontal="center" vertical="center" wrapText="1"/>
    </xf>
    <xf numFmtId="0" fontId="91" fillId="31" borderId="82" xfId="0" quotePrefix="1" applyFont="1" applyFill="1" applyBorder="1" applyAlignment="1">
      <alignment horizontal="center" vertical="center" wrapText="1"/>
    </xf>
    <xf numFmtId="0" fontId="91" fillId="31" borderId="86" xfId="0" quotePrefix="1" applyFont="1" applyFill="1" applyBorder="1" applyAlignment="1">
      <alignment horizontal="center" vertical="center" wrapText="1"/>
    </xf>
    <xf numFmtId="0" fontId="67" fillId="31" borderId="87" xfId="0" applyFont="1" applyFill="1" applyBorder="1" applyAlignment="1">
      <alignment horizontal="center" vertical="center" wrapText="1"/>
    </xf>
    <xf numFmtId="0" fontId="67" fillId="31" borderId="88" xfId="0" applyFont="1" applyFill="1" applyBorder="1" applyAlignment="1">
      <alignment horizontal="center" vertical="center" wrapText="1"/>
    </xf>
    <xf numFmtId="0" fontId="67" fillId="31" borderId="22" xfId="0" applyFont="1" applyFill="1" applyBorder="1" applyAlignment="1">
      <alignment horizontal="center" vertical="center" wrapText="1"/>
    </xf>
    <xf numFmtId="0" fontId="67" fillId="31" borderId="26" xfId="0" applyFont="1" applyFill="1" applyBorder="1" applyAlignment="1">
      <alignment horizontal="center" vertical="center" wrapText="1"/>
    </xf>
    <xf numFmtId="0" fontId="67" fillId="31" borderId="23" xfId="0" applyFont="1" applyFill="1" applyBorder="1" applyAlignment="1">
      <alignment horizontal="center" vertical="center" wrapText="1"/>
    </xf>
    <xf numFmtId="0" fontId="67" fillId="31" borderId="50" xfId="0" applyFont="1" applyFill="1" applyBorder="1" applyAlignment="1">
      <alignment horizontal="center" vertical="center" wrapText="1"/>
    </xf>
    <xf numFmtId="0" fontId="67" fillId="31" borderId="27" xfId="0" applyFont="1" applyFill="1" applyBorder="1" applyAlignment="1">
      <alignment horizontal="center" vertical="center" wrapText="1"/>
    </xf>
    <xf numFmtId="0" fontId="67" fillId="31" borderId="51" xfId="0" applyFont="1" applyFill="1" applyBorder="1" applyAlignment="1">
      <alignment horizontal="center" vertical="center" wrapText="1"/>
    </xf>
    <xf numFmtId="0" fontId="105" fillId="36" borderId="91" xfId="0" applyFont="1" applyFill="1" applyBorder="1" applyAlignment="1">
      <alignment horizontal="left" vertical="center"/>
    </xf>
    <xf numFmtId="0" fontId="105" fillId="36" borderId="90" xfId="0" applyFont="1" applyFill="1" applyBorder="1" applyAlignment="1">
      <alignment horizontal="left" vertical="center"/>
    </xf>
    <xf numFmtId="0" fontId="105" fillId="36" borderId="92" xfId="0" applyFont="1" applyFill="1" applyBorder="1" applyAlignment="1">
      <alignment horizontal="left" vertical="center"/>
    </xf>
    <xf numFmtId="0" fontId="92" fillId="0" borderId="27" xfId="104" applyFont="1" applyBorder="1" applyAlignment="1">
      <alignment horizontal="center"/>
    </xf>
    <xf numFmtId="0" fontId="68" fillId="41" borderId="91" xfId="0" applyFont="1" applyFill="1" applyBorder="1" applyAlignment="1">
      <alignment horizontal="center" vertical="center"/>
    </xf>
    <xf numFmtId="0" fontId="68" fillId="41" borderId="90" xfId="0" applyFont="1" applyFill="1" applyBorder="1" applyAlignment="1">
      <alignment horizontal="center" vertical="center"/>
    </xf>
    <xf numFmtId="0" fontId="68" fillId="41" borderId="116" xfId="0" applyFont="1" applyFill="1" applyBorder="1" applyAlignment="1">
      <alignment horizontal="center" vertical="center"/>
    </xf>
    <xf numFmtId="0" fontId="74" fillId="0" borderId="27" xfId="356" applyFont="1" applyBorder="1" applyAlignment="1">
      <alignment horizontal="center" vertical="center"/>
    </xf>
    <xf numFmtId="0" fontId="11" fillId="0" borderId="145" xfId="356" applyBorder="1" applyAlignment="1">
      <alignment horizontal="center" vertical="center"/>
    </xf>
    <xf numFmtId="0" fontId="11" fillId="0" borderId="146" xfId="356" applyBorder="1" applyAlignment="1">
      <alignment horizontal="center" vertical="center"/>
    </xf>
    <xf numFmtId="0" fontId="11" fillId="0" borderId="3" xfId="356" applyBorder="1" applyAlignment="1">
      <alignment horizontal="center" vertical="center"/>
    </xf>
    <xf numFmtId="0" fontId="11" fillId="0" borderId="147" xfId="356" applyBorder="1" applyAlignment="1">
      <alignment horizontal="center" vertical="center"/>
    </xf>
    <xf numFmtId="0" fontId="11" fillId="0" borderId="76" xfId="356" applyBorder="1" applyAlignment="1">
      <alignment horizontal="center" vertical="center"/>
    </xf>
    <xf numFmtId="0" fontId="11" fillId="0" borderId="78" xfId="356" applyBorder="1" applyAlignment="1">
      <alignment horizontal="center" vertical="center"/>
    </xf>
    <xf numFmtId="199" fontId="13" fillId="0" borderId="148" xfId="357" applyNumberFormat="1" applyFont="1" applyBorder="1" applyAlignment="1">
      <alignment horizontal="center" vertical="center"/>
    </xf>
    <xf numFmtId="0" fontId="11" fillId="50" borderId="142" xfId="356" applyFill="1" applyBorder="1" applyAlignment="1">
      <alignment horizontal="center" vertical="center"/>
    </xf>
    <xf numFmtId="0" fontId="11" fillId="50" borderId="143" xfId="356" applyFill="1" applyBorder="1" applyAlignment="1">
      <alignment horizontal="center" vertical="center"/>
    </xf>
    <xf numFmtId="0" fontId="11" fillId="50" borderId="144" xfId="356" applyFill="1" applyBorder="1" applyAlignment="1">
      <alignment horizontal="center" vertical="center"/>
    </xf>
    <xf numFmtId="0" fontId="69" fillId="38" borderId="85" xfId="356" applyFont="1" applyFill="1" applyBorder="1" applyAlignment="1">
      <alignment horizontal="center" vertical="center" wrapText="1"/>
    </xf>
    <xf numFmtId="0" fontId="69" fillId="38" borderId="86" xfId="356" applyFont="1" applyFill="1" applyBorder="1" applyAlignment="1">
      <alignment horizontal="center" vertical="center" wrapText="1"/>
    </xf>
    <xf numFmtId="0" fontId="67" fillId="33" borderId="82" xfId="356" applyFont="1" applyFill="1" applyBorder="1" applyAlignment="1">
      <alignment horizontal="center" vertical="center" wrapText="1"/>
    </xf>
    <xf numFmtId="0" fontId="67" fillId="33" borderId="86" xfId="356" applyFont="1" applyFill="1" applyBorder="1" applyAlignment="1">
      <alignment horizontal="center" vertical="center" wrapText="1"/>
    </xf>
    <xf numFmtId="0" fontId="69" fillId="33" borderId="85" xfId="356" applyFont="1" applyFill="1" applyBorder="1" applyAlignment="1">
      <alignment horizontal="center" vertical="center" wrapText="1"/>
    </xf>
    <xf numFmtId="0" fontId="69" fillId="33" borderId="82" xfId="356" applyFont="1" applyFill="1" applyBorder="1" applyAlignment="1">
      <alignment horizontal="center" vertical="center" wrapText="1"/>
    </xf>
    <xf numFmtId="0" fontId="69" fillId="33" borderId="136" xfId="356" applyFont="1" applyFill="1" applyBorder="1" applyAlignment="1">
      <alignment horizontal="center" vertical="center" wrapText="1"/>
    </xf>
  </cellXfs>
  <cellStyles count="433">
    <cellStyle name="%" xfId="146"/>
    <cellStyle name="%_ANEXO #7.ITEMS INSTALS. ELECTRICAS GECOLSA 2a.ETAPA." xfId="147"/>
    <cellStyle name="%_Plaza Mayor N 006 2077 DOC95_ANEXO 456" xfId="148"/>
    <cellStyle name="_Book2" xfId="149"/>
    <cellStyle name="20% - Accent1" xfId="150"/>
    <cellStyle name="20% - Accent2" xfId="151"/>
    <cellStyle name="20% - Accent3" xfId="152"/>
    <cellStyle name="20% - Accent4" xfId="153"/>
    <cellStyle name="20% - Accent5" xfId="154"/>
    <cellStyle name="20% - Accent6" xfId="155"/>
    <cellStyle name="20% - Énfasis1 2" xfId="156"/>
    <cellStyle name="20% - Énfasis1 3" xfId="157"/>
    <cellStyle name="20% - Énfasis1 4" xfId="158"/>
    <cellStyle name="20% - Énfasis2 2" xfId="159"/>
    <cellStyle name="20% - Énfasis2 3" xfId="160"/>
    <cellStyle name="20% - Énfasis2 4" xfId="161"/>
    <cellStyle name="20% - Énfasis3 2" xfId="162"/>
    <cellStyle name="20% - Énfasis3 3" xfId="163"/>
    <cellStyle name="20% - Énfasis3 4" xfId="164"/>
    <cellStyle name="20% - Énfasis4 2" xfId="165"/>
    <cellStyle name="20% - Énfasis4 3" xfId="166"/>
    <cellStyle name="20% - Énfasis4 4" xfId="167"/>
    <cellStyle name="20% - Énfasis5 2" xfId="168"/>
    <cellStyle name="20% - Énfasis5 3" xfId="169"/>
    <cellStyle name="20% - Énfasis6 2" xfId="170"/>
    <cellStyle name="20% - Énfasis6 3" xfId="171"/>
    <cellStyle name="20% - Énfasis6 4" xfId="172"/>
    <cellStyle name="40% - Accent1" xfId="173"/>
    <cellStyle name="40% - Accent2" xfId="174"/>
    <cellStyle name="40% - Accent3" xfId="175"/>
    <cellStyle name="40% - Accent4" xfId="176"/>
    <cellStyle name="40% - Accent5" xfId="177"/>
    <cellStyle name="40% - Accent6" xfId="178"/>
    <cellStyle name="40% - Énfasis1 2" xfId="179"/>
    <cellStyle name="40% - Énfasis1 3" xfId="180"/>
    <cellStyle name="40% - Énfasis1 4" xfId="181"/>
    <cellStyle name="40% - Énfasis2 2" xfId="182"/>
    <cellStyle name="40% - Énfasis2 3" xfId="183"/>
    <cellStyle name="40% - Énfasis3 2" xfId="184"/>
    <cellStyle name="40% - Énfasis3 3" xfId="185"/>
    <cellStyle name="40% - Énfasis3 4" xfId="186"/>
    <cellStyle name="40% - Énfasis4 2" xfId="187"/>
    <cellStyle name="40% - Énfasis4 3" xfId="188"/>
    <cellStyle name="40% - Énfasis4 4" xfId="189"/>
    <cellStyle name="40% - Énfasis5 2" xfId="190"/>
    <cellStyle name="40% - Énfasis5 3" xfId="191"/>
    <cellStyle name="40% - Énfasis5 4" xfId="192"/>
    <cellStyle name="40% - Énfasis6 2" xfId="193"/>
    <cellStyle name="40% - Énfasis6 3" xfId="194"/>
    <cellStyle name="40% - Énfasis6 4" xfId="195"/>
    <cellStyle name="60% - Accent1" xfId="196"/>
    <cellStyle name="60% - Accent2" xfId="197"/>
    <cellStyle name="60% - Accent3" xfId="198"/>
    <cellStyle name="60% - Accent4" xfId="199"/>
    <cellStyle name="60% - Accent5" xfId="200"/>
    <cellStyle name="60% - Accent6" xfId="201"/>
    <cellStyle name="60% - Énfasis1 2" xfId="202"/>
    <cellStyle name="60% - Énfasis1 3" xfId="203"/>
    <cellStyle name="60% - Énfasis1 4" xfId="204"/>
    <cellStyle name="60% - Énfasis2 2" xfId="205"/>
    <cellStyle name="60% - Énfasis2 3" xfId="206"/>
    <cellStyle name="60% - Énfasis2 4" xfId="207"/>
    <cellStyle name="60% - Énfasis3 2" xfId="208"/>
    <cellStyle name="60% - Énfasis3 3" xfId="209"/>
    <cellStyle name="60% - Énfasis3 4" xfId="210"/>
    <cellStyle name="60% - Énfasis4 2" xfId="211"/>
    <cellStyle name="60% - Énfasis4 3" xfId="212"/>
    <cellStyle name="60% - Énfasis4 4" xfId="213"/>
    <cellStyle name="60% - Énfasis5 2" xfId="214"/>
    <cellStyle name="60% - Énfasis5 3" xfId="215"/>
    <cellStyle name="60% - Énfasis5 4" xfId="216"/>
    <cellStyle name="60% - Énfasis6 2" xfId="217"/>
    <cellStyle name="60% - Énfasis6 3" xfId="218"/>
    <cellStyle name="60% - Énfasis6 4" xfId="219"/>
    <cellStyle name="Accent1" xfId="220"/>
    <cellStyle name="Accent2" xfId="221"/>
    <cellStyle name="Accent3" xfId="222"/>
    <cellStyle name="Accent4" xfId="223"/>
    <cellStyle name="Accent5" xfId="224"/>
    <cellStyle name="Accent6" xfId="225"/>
    <cellStyle name="ACTAS" xfId="226"/>
    <cellStyle name="Bad" xfId="227"/>
    <cellStyle name="Buena 2" xfId="228"/>
    <cellStyle name="Buena 3" xfId="229"/>
    <cellStyle name="Buena 4" xfId="230"/>
    <cellStyle name="Calculation" xfId="231"/>
    <cellStyle name="Calculation 2" xfId="397"/>
    <cellStyle name="Cálculo 2" xfId="232"/>
    <cellStyle name="Cálculo 2 2" xfId="398"/>
    <cellStyle name="Cálculo 3" xfId="233"/>
    <cellStyle name="Cálculo 3 2" xfId="399"/>
    <cellStyle name="Cálculo 4" xfId="234"/>
    <cellStyle name="Cálculo 4 2" xfId="400"/>
    <cellStyle name="Celda de comprobación 2" xfId="235"/>
    <cellStyle name="Celda de comprobación 3" xfId="236"/>
    <cellStyle name="Celda vinculada 2" xfId="237"/>
    <cellStyle name="Celda vinculada 3" xfId="238"/>
    <cellStyle name="Celda vinculada 4" xfId="239"/>
    <cellStyle name="Check Cell" xfId="240"/>
    <cellStyle name="Ecuación" xfId="241"/>
    <cellStyle name="Encabezado 4 2" xfId="242"/>
    <cellStyle name="Encabezado 4 3" xfId="243"/>
    <cellStyle name="Encabezado 4 4" xfId="244"/>
    <cellStyle name="Énfasis1 2" xfId="245"/>
    <cellStyle name="Énfasis1 3" xfId="246"/>
    <cellStyle name="Énfasis1 4" xfId="247"/>
    <cellStyle name="Énfasis2 2" xfId="248"/>
    <cellStyle name="Énfasis2 3" xfId="249"/>
    <cellStyle name="Énfasis2 4" xfId="250"/>
    <cellStyle name="Énfasis3 2" xfId="251"/>
    <cellStyle name="Énfasis3 3" xfId="252"/>
    <cellStyle name="Énfasis3 4" xfId="253"/>
    <cellStyle name="Énfasis4 2" xfId="254"/>
    <cellStyle name="Énfasis4 3" xfId="255"/>
    <cellStyle name="Énfasis4 4" xfId="256"/>
    <cellStyle name="Énfasis5 2" xfId="257"/>
    <cellStyle name="Énfasis5 3" xfId="258"/>
    <cellStyle name="Énfasis6 2" xfId="259"/>
    <cellStyle name="Énfasis6 3" xfId="260"/>
    <cellStyle name="Énfasis6 4" xfId="261"/>
    <cellStyle name="Entrada 2" xfId="262"/>
    <cellStyle name="Entrada 2 2" xfId="401"/>
    <cellStyle name="Entrada 3" xfId="263"/>
    <cellStyle name="Entrada 3 2" xfId="402"/>
    <cellStyle name="Entrada 4" xfId="264"/>
    <cellStyle name="Entrada 4 2" xfId="403"/>
    <cellStyle name="Estilo 1" xfId="265"/>
    <cellStyle name="Estilo 1 2" xfId="404"/>
    <cellStyle name="Euro" xfId="4"/>
    <cellStyle name="Explanatory Text" xfId="266"/>
    <cellStyle name="FIGURA" xfId="267"/>
    <cellStyle name="Good" xfId="268"/>
    <cellStyle name="Heading 1" xfId="269"/>
    <cellStyle name="Heading 2" xfId="270"/>
    <cellStyle name="Heading 3" xfId="271"/>
    <cellStyle name="Heading 4" xfId="272"/>
    <cellStyle name="Hipervínculo 2" xfId="5"/>
    <cellStyle name="Hipervínculo 3" xfId="6"/>
    <cellStyle name="Hipervínculo 4" xfId="360"/>
    <cellStyle name="Incorrecto 2" xfId="273"/>
    <cellStyle name="Incorrecto 3" xfId="274"/>
    <cellStyle name="Incorrecto 4" xfId="275"/>
    <cellStyle name="Input" xfId="276"/>
    <cellStyle name="Input 2" xfId="405"/>
    <cellStyle name="Linked Cell" xfId="277"/>
    <cellStyle name="Millares" xfId="1" builtinId="3"/>
    <cellStyle name="Millares [0]" xfId="428" builtinId="6"/>
    <cellStyle name="Millares 10" xfId="7"/>
    <cellStyle name="Millares 10 2" xfId="8"/>
    <cellStyle name="Millares 10 2 2" xfId="364"/>
    <cellStyle name="Millares 10 3" xfId="9"/>
    <cellStyle name="Millares 10 3 2" xfId="365"/>
    <cellStyle name="Millares 10 4" xfId="363"/>
    <cellStyle name="Millares 11" xfId="10"/>
    <cellStyle name="Millares 11 2" xfId="11"/>
    <cellStyle name="Millares 11 2 2" xfId="367"/>
    <cellStyle name="Millares 11 3" xfId="12"/>
    <cellStyle name="Millares 11 3 2" xfId="368"/>
    <cellStyle name="Millares 11 4" xfId="366"/>
    <cellStyle name="Millares 12" xfId="13"/>
    <cellStyle name="Millares 12 2" xfId="14"/>
    <cellStyle name="Millares 13" xfId="354"/>
    <cellStyle name="Millares 13 2" xfId="425"/>
    <cellStyle name="Millares 2" xfId="15"/>
    <cellStyle name="Millares 2 10" xfId="16"/>
    <cellStyle name="Millares 2 10 2" xfId="17"/>
    <cellStyle name="Millares 2 10 3" xfId="18"/>
    <cellStyle name="Millares 2 11" xfId="19"/>
    <cellStyle name="Millares 2 11 2" xfId="20"/>
    <cellStyle name="Millares 2 11 2 2" xfId="371"/>
    <cellStyle name="Millares 2 11 3" xfId="370"/>
    <cellStyle name="Millares 2 12" xfId="21"/>
    <cellStyle name="Millares 2 12 2" xfId="22"/>
    <cellStyle name="Millares 2 12 2 2" xfId="373"/>
    <cellStyle name="Millares 2 12 3" xfId="372"/>
    <cellStyle name="Millares 2 13" xfId="23"/>
    <cellStyle name="Millares 2 13 2" xfId="24"/>
    <cellStyle name="Millares 2 13 2 2" xfId="375"/>
    <cellStyle name="Millares 2 13 3" xfId="374"/>
    <cellStyle name="Millares 2 14" xfId="25"/>
    <cellStyle name="Millares 2 14 2" xfId="26"/>
    <cellStyle name="Millares 2 14 2 2" xfId="377"/>
    <cellStyle name="Millares 2 14 3" xfId="376"/>
    <cellStyle name="Millares 2 15" xfId="27"/>
    <cellStyle name="Millares 2 15 2" xfId="28"/>
    <cellStyle name="Millares 2 15 2 2" xfId="379"/>
    <cellStyle name="Millares 2 15 3" xfId="378"/>
    <cellStyle name="Millares 2 16" xfId="369"/>
    <cellStyle name="Millares 2 2" xfId="29"/>
    <cellStyle name="Millares 2 2 2" xfId="30"/>
    <cellStyle name="Millares 2 2 2 2" xfId="31"/>
    <cellStyle name="Millares 2 2 2 3" xfId="32"/>
    <cellStyle name="Millares 2 2 2 4" xfId="380"/>
    <cellStyle name="Millares 2 2 3" xfId="33"/>
    <cellStyle name="Millares 2 2 3 2" xfId="381"/>
    <cellStyle name="Millares 2 2 4" xfId="278"/>
    <cellStyle name="Millares 2 2 5" xfId="279"/>
    <cellStyle name="Millares 2 3" xfId="34"/>
    <cellStyle name="Millares 2 3 2" xfId="35"/>
    <cellStyle name="Millares 2 3 2 2" xfId="36"/>
    <cellStyle name="Millares 2 3 2 3" xfId="37"/>
    <cellStyle name="Millares 2 3 3" xfId="38"/>
    <cellStyle name="Millares 2 3 4" xfId="39"/>
    <cellStyle name="Millares 2 4" xfId="40"/>
    <cellStyle name="Millares 2 4 2" xfId="41"/>
    <cellStyle name="Millares 2 4 3" xfId="42"/>
    <cellStyle name="Millares 2 5" xfId="43"/>
    <cellStyle name="Millares 2 5 2" xfId="44"/>
    <cellStyle name="Millares 2 5 3" xfId="45"/>
    <cellStyle name="Millares 2 6" xfId="46"/>
    <cellStyle name="Millares 2 6 2" xfId="47"/>
    <cellStyle name="Millares 2 6 2 2" xfId="383"/>
    <cellStyle name="Millares 2 6 3" xfId="48"/>
    <cellStyle name="Millares 2 6 3 2" xfId="384"/>
    <cellStyle name="Millares 2 6 4" xfId="382"/>
    <cellStyle name="Millares 2 7" xfId="49"/>
    <cellStyle name="Millares 2 8" xfId="50"/>
    <cellStyle name="Millares 2 9" xfId="51"/>
    <cellStyle name="Millares 2 9 2" xfId="52"/>
    <cellStyle name="Millares 2 9 3" xfId="53"/>
    <cellStyle name="Millares 2 9 3 2" xfId="386"/>
    <cellStyle name="Millares 2 9 4" xfId="385"/>
    <cellStyle name="Millares 3" xfId="54"/>
    <cellStyle name="Millares 3 2" xfId="55"/>
    <cellStyle name="Millares 3 2 2" xfId="56"/>
    <cellStyle name="Millares 3 2 2 2" xfId="57"/>
    <cellStyle name="Millares 3 2 2 3" xfId="58"/>
    <cellStyle name="Millares 3 2 3" xfId="59"/>
    <cellStyle name="Millares 3 2 4" xfId="60"/>
    <cellStyle name="Millares 3 3" xfId="61"/>
    <cellStyle name="Millares 3 3 2" xfId="62"/>
    <cellStyle name="Millares 3 3 2 2" xfId="63"/>
    <cellStyle name="Millares 3 3 2 3" xfId="64"/>
    <cellStyle name="Millares 3 3 3" xfId="65"/>
    <cellStyle name="Millares 3 3 4" xfId="66"/>
    <cellStyle name="Millares 3 4" xfId="67"/>
    <cellStyle name="Millares 3 5" xfId="68"/>
    <cellStyle name="Millares 4" xfId="69"/>
    <cellStyle name="Millares 4 2" xfId="70"/>
    <cellStyle name="Millares 4 2 2" xfId="388"/>
    <cellStyle name="Millares 4 3" xfId="71"/>
    <cellStyle name="Millares 4 3 2" xfId="389"/>
    <cellStyle name="Millares 4 4" xfId="387"/>
    <cellStyle name="Millares 5" xfId="72"/>
    <cellStyle name="Millares 5 2" xfId="73"/>
    <cellStyle name="Millares 5 3" xfId="74"/>
    <cellStyle name="Millares 6" xfId="75"/>
    <cellStyle name="Millares 6 2" xfId="76"/>
    <cellStyle name="Millares 6 2 2" xfId="391"/>
    <cellStyle name="Millares 6 3" xfId="77"/>
    <cellStyle name="Millares 6 3 2" xfId="392"/>
    <cellStyle name="Millares 6 4" xfId="390"/>
    <cellStyle name="Millares 7" xfId="78"/>
    <cellStyle name="Millares 7 2" xfId="79"/>
    <cellStyle name="Millares 7 3" xfId="80"/>
    <cellStyle name="Millares 8" xfId="81"/>
    <cellStyle name="Millares 8 2" xfId="82"/>
    <cellStyle name="Millares 8 2 2" xfId="83"/>
    <cellStyle name="Millares 8 3" xfId="84"/>
    <cellStyle name="Millares 8 4" xfId="85"/>
    <cellStyle name="Millares 9" xfId="86"/>
    <cellStyle name="Millares 9 2" xfId="87"/>
    <cellStyle name="Millares 9 2 2" xfId="394"/>
    <cellStyle name="Millares 9 3" xfId="88"/>
    <cellStyle name="Millares 9 3 2" xfId="395"/>
    <cellStyle name="Millares 9 4" xfId="393"/>
    <cellStyle name="Millares_Formato Evaluacion LP No. 41 Biblioteca Belen" xfId="3"/>
    <cellStyle name="Moneda" xfId="429" builtinId="4"/>
    <cellStyle name="Moneda [0]" xfId="430" builtinId="7"/>
    <cellStyle name="Moneda [0] 10" xfId="280"/>
    <cellStyle name="Moneda [0] 11" xfId="281"/>
    <cellStyle name="Moneda [0] 14" xfId="282"/>
    <cellStyle name="Moneda [0] 2" xfId="283"/>
    <cellStyle name="Moneda [0] 3" xfId="284"/>
    <cellStyle name="Moneda 10" xfId="431"/>
    <cellStyle name="Moneda 2" xfId="89"/>
    <cellStyle name="Moneda 2 2" xfId="90"/>
    <cellStyle name="Moneda 2 2 2" xfId="285"/>
    <cellStyle name="Moneda 2 3" xfId="91"/>
    <cellStyle name="Moneda 2 4" xfId="92"/>
    <cellStyle name="Moneda 2_Tableros" xfId="286"/>
    <cellStyle name="Moneda 3" xfId="93"/>
    <cellStyle name="Moneda 3 2" xfId="94"/>
    <cellStyle name="Moneda 3 3" xfId="95"/>
    <cellStyle name="Moneda 3 4" xfId="340"/>
    <cellStyle name="Moneda 4" xfId="96"/>
    <cellStyle name="Moneda 4 2" xfId="97"/>
    <cellStyle name="Moneda 4 3" xfId="98"/>
    <cellStyle name="Moneda 5" xfId="99"/>
    <cellStyle name="Moneda 5 2" xfId="396"/>
    <cellStyle name="Moneda 6" xfId="100"/>
    <cellStyle name="Moneda 6 2" xfId="101"/>
    <cellStyle name="Moneda 6 3" xfId="102"/>
    <cellStyle name="Moneda 7" xfId="103"/>
    <cellStyle name="Moneda0" xfId="287"/>
    <cellStyle name="Neutral 2" xfId="288"/>
    <cellStyle name="Neutral 3" xfId="289"/>
    <cellStyle name="Neutral 4" xfId="290"/>
    <cellStyle name="Normal" xfId="0" builtinId="0"/>
    <cellStyle name="Normal 10" xfId="104"/>
    <cellStyle name="Normal 10 10 2" xfId="356"/>
    <cellStyle name="Normal 11" xfId="291"/>
    <cellStyle name="Normal 12" xfId="344"/>
    <cellStyle name="Normal 12 2" xfId="350"/>
    <cellStyle name="Normal 12 2 2" xfId="353"/>
    <cellStyle name="Normal 12 2 2 2" xfId="424"/>
    <cellStyle name="Normal 12 2 3" xfId="421"/>
    <cellStyle name="Normal 12 3" xfId="352"/>
    <cellStyle name="Normal 12 3 2" xfId="423"/>
    <cellStyle name="Normal 12 4" xfId="417"/>
    <cellStyle name="Normal 13" xfId="345"/>
    <cellStyle name="Normal 14" xfId="346"/>
    <cellStyle name="Normal 14 2" xfId="349"/>
    <cellStyle name="Normal 14 2 2" xfId="420"/>
    <cellStyle name="Normal 14 2 3" xfId="427"/>
    <cellStyle name="Normal 14 3" xfId="418"/>
    <cellStyle name="Normal 15" xfId="351"/>
    <cellStyle name="Normal 15 2" xfId="358"/>
    <cellStyle name="Normal 15 2 2" xfId="426"/>
    <cellStyle name="Normal 15 3" xfId="422"/>
    <cellStyle name="Normal 2" xfId="105"/>
    <cellStyle name="Normal 2 2" xfId="106"/>
    <cellStyle name="Normal 2 2 2" xfId="107"/>
    <cellStyle name="Normal 2 2 2 2" xfId="108"/>
    <cellStyle name="Normal 2 2 2 2 2" xfId="109"/>
    <cellStyle name="Normal 2 2 2 2 3" xfId="110"/>
    <cellStyle name="Normal 2 2 2 2 4" xfId="111"/>
    <cellStyle name="Normal 2 2 2 3" xfId="112"/>
    <cellStyle name="Normal 2 2 2 4" xfId="113"/>
    <cellStyle name="Normal 2 2 3" xfId="114"/>
    <cellStyle name="Normal 2 2 3 2" xfId="115"/>
    <cellStyle name="Normal 2 2 3 3" xfId="116"/>
    <cellStyle name="Normal 2 2 4" xfId="117"/>
    <cellStyle name="Normal 2 2 5" xfId="118"/>
    <cellStyle name="Normal 2 3" xfId="119"/>
    <cellStyle name="Normal 2 3 2" xfId="120"/>
    <cellStyle name="Normal 2 3 2 2" xfId="348"/>
    <cellStyle name="Normal 2 3 3" xfId="121"/>
    <cellStyle name="Normal 2 4" xfId="122"/>
    <cellStyle name="Normal 2 4 2" xfId="123"/>
    <cellStyle name="Normal 2 4 3" xfId="124"/>
    <cellStyle name="Normal 2 5" xfId="125"/>
    <cellStyle name="Normal 2 6" xfId="126"/>
    <cellStyle name="Normal 2 7" xfId="127"/>
    <cellStyle name="Normal 2_PTO-02060-PARQUE BIBLIOTECA SAN CRISTOBAL" xfId="292"/>
    <cellStyle name="Normal 21" xfId="341"/>
    <cellStyle name="Normal 3" xfId="128"/>
    <cellStyle name="Normal 3 2" xfId="129"/>
    <cellStyle name="Normal 3 2 2" xfId="130"/>
    <cellStyle name="Normal 3 2 2 14" xfId="131"/>
    <cellStyle name="Normal 3 2 3" xfId="132"/>
    <cellStyle name="Normal 3 3" xfId="133"/>
    <cellStyle name="Normal 3 4" xfId="134"/>
    <cellStyle name="Normal 4" xfId="135"/>
    <cellStyle name="Normal 4 2" xfId="136"/>
    <cellStyle name="Normal 4 3" xfId="137"/>
    <cellStyle name="Normal 5" xfId="138"/>
    <cellStyle name="Normal 5 2" xfId="293"/>
    <cellStyle name="Normal 5 3" xfId="294"/>
    <cellStyle name="Normal 5 4" xfId="295"/>
    <cellStyle name="Normal 6" xfId="139"/>
    <cellStyle name="Normal 68" xfId="347"/>
    <cellStyle name="Normal 68 2" xfId="419"/>
    <cellStyle name="Normal 7" xfId="296"/>
    <cellStyle name="Normal 78" xfId="342"/>
    <cellStyle name="Normal 8" xfId="297"/>
    <cellStyle name="Normal 9" xfId="298"/>
    <cellStyle name="Normal_CONSOLIDADO  EVALUACIÓN LP 53 OBRA ADECUACIÓN Y MANTENIMIENTO DEL TEATRO LIDO" xfId="2"/>
    <cellStyle name="Normal_FORM20_1 2" xfId="359"/>
    <cellStyle name="Normal_Hoja1" xfId="432"/>
    <cellStyle name="Normal_SEGUROS FENIX 2" xfId="362"/>
    <cellStyle name="Notas 2" xfId="299"/>
    <cellStyle name="Notas 2 2" xfId="406"/>
    <cellStyle name="Notas 3" xfId="300"/>
    <cellStyle name="Notas 3 2" xfId="407"/>
    <cellStyle name="Notas 4" xfId="301"/>
    <cellStyle name="Notas 4 2" xfId="408"/>
    <cellStyle name="Note" xfId="302"/>
    <cellStyle name="Note 2" xfId="409"/>
    <cellStyle name="Output" xfId="303"/>
    <cellStyle name="Output 2" xfId="410"/>
    <cellStyle name="Porcentaje" xfId="357" builtinId="5"/>
    <cellStyle name="Porcentaje 2" xfId="343"/>
    <cellStyle name="Porcentual 2" xfId="140"/>
    <cellStyle name="Porcentual 2 2" xfId="141"/>
    <cellStyle name="Porcentual 2 2 2" xfId="142"/>
    <cellStyle name="Porcentual 2 2 2 2" xfId="143"/>
    <cellStyle name="Porcentual 2 2 2 3" xfId="361"/>
    <cellStyle name="Porcentual 2 2 3" xfId="144"/>
    <cellStyle name="Porcentual 2 2 4" xfId="355"/>
    <cellStyle name="Porcentual 2 3" xfId="304"/>
    <cellStyle name="Porcentual 2 4" xfId="305"/>
    <cellStyle name="Porcentual 2 5" xfId="306"/>
    <cellStyle name="Porcentual 3" xfId="145"/>
    <cellStyle name="Porcentual 4" xfId="307"/>
    <cellStyle name="Porcentual 5" xfId="308"/>
    <cellStyle name="Porcentual 6" xfId="309"/>
    <cellStyle name="Punto0" xfId="310"/>
    <cellStyle name="Salida 2" xfId="311"/>
    <cellStyle name="Salida 2 2" xfId="411"/>
    <cellStyle name="Salida 3" xfId="312"/>
    <cellStyle name="Salida 3 2" xfId="412"/>
    <cellStyle name="Salida 4" xfId="313"/>
    <cellStyle name="Salida 4 2" xfId="413"/>
    <cellStyle name="Texto de advertencia 2" xfId="314"/>
    <cellStyle name="Texto de advertencia 3" xfId="315"/>
    <cellStyle name="Texto explicativo 2" xfId="316"/>
    <cellStyle name="Texto explicativo 3" xfId="317"/>
    <cellStyle name="Tit. tabla" xfId="318"/>
    <cellStyle name="Title" xfId="319"/>
    <cellStyle name="TITULO 1" xfId="320"/>
    <cellStyle name="Título 1 2" xfId="321"/>
    <cellStyle name="Título 1 3" xfId="322"/>
    <cellStyle name="Título 1 4" xfId="323"/>
    <cellStyle name="TITULO 2" xfId="324"/>
    <cellStyle name="Título 2 2" xfId="325"/>
    <cellStyle name="Título 2 3" xfId="326"/>
    <cellStyle name="Título 2 4" xfId="327"/>
    <cellStyle name="TITULO 3" xfId="328"/>
    <cellStyle name="Título 3 2" xfId="329"/>
    <cellStyle name="Título 3 3" xfId="330"/>
    <cellStyle name="Título 3 4" xfId="331"/>
    <cellStyle name="Título 4" xfId="332"/>
    <cellStyle name="Título 5" xfId="333"/>
    <cellStyle name="Título 6" xfId="334"/>
    <cellStyle name="Total 2" xfId="335"/>
    <cellStyle name="Total 2 2" xfId="414"/>
    <cellStyle name="Total 3" xfId="336"/>
    <cellStyle name="Total 3 2" xfId="415"/>
    <cellStyle name="Total 4" xfId="337"/>
    <cellStyle name="Total 4 2" xfId="416"/>
    <cellStyle name="Viñeta" xfId="338"/>
    <cellStyle name="Warning Text" xfId="339"/>
  </cellStyles>
  <dxfs count="19">
    <dxf>
      <fill>
        <patternFill>
          <bgColor rgb="FF92D05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820154</xdr:colOff>
      <xdr:row>2</xdr:row>
      <xdr:rowOff>19050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28600"/>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xdr:colOff>
      <xdr:row>0</xdr:row>
      <xdr:rowOff>15875</xdr:rowOff>
    </xdr:from>
    <xdr:to>
      <xdr:col>1</xdr:col>
      <xdr:colOff>49737</xdr:colOff>
      <xdr:row>2</xdr:row>
      <xdr:rowOff>164041</xdr:rowOff>
    </xdr:to>
    <xdr:pic>
      <xdr:nvPicPr>
        <xdr:cNvPr id="3" name="3 Imagen" descr="log-udea2.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 y="15875"/>
          <a:ext cx="81173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107749</xdr:colOff>
      <xdr:row>0</xdr:row>
      <xdr:rowOff>31654</xdr:rowOff>
    </xdr:from>
    <xdr:ext cx="811133" cy="1000615"/>
    <xdr:pic>
      <xdr:nvPicPr>
        <xdr:cNvPr id="2" name="3 Imagen" descr="log-udea2.GI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9" y="31654"/>
          <a:ext cx="811133" cy="1000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20Bloque_09/Laboratorio%20de%20Psicologia-%20Bloque%209/Presupuesto%20Oficial/Presupuesto%20Oficial_B09_Lab.Psicologia_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Marle/ayudas/varios%20presupuestos/GP-617%20-%20Ppto%20La%20Victoria%20V17%20(1)ca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leja.Portocarrero/Desktop/Escritorio/ALE/POYECTOS/PROYECTOS%202019/OBRA%20CIVIL/5.%20SIU-20230015-01-2019%20Biofabrica/EVALUACI&#211;N/Evaluaci&#243;n_SIU20230015-01-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 Polizas"/>
      <sheetName val="F.P. Profesional Nivel 1"/>
      <sheetName val="F.P. Profesional Nivel 2"/>
      <sheetName val="F.P. Profesional Nivel 3"/>
      <sheetName val="F.P. Mano de Obra"/>
      <sheetName val="Analisis A.I.U."/>
      <sheetName val="A.P.U."/>
      <sheetName val="Presupuesto Consolidado"/>
      <sheetName val="Memorias de Calculo Cantidades"/>
      <sheetName val="F.P. Profesionales"/>
      <sheetName val="MA"/>
      <sheetName val="EQ"/>
    </sheetNames>
    <sheetDataSet>
      <sheetData sheetId="0">
        <row r="18">
          <cell r="H18">
            <v>2071262.3695850959</v>
          </cell>
        </row>
      </sheetData>
      <sheetData sheetId="1"/>
      <sheetData sheetId="2"/>
      <sheetData sheetId="3"/>
      <sheetData sheetId="4">
        <row r="1">
          <cell r="G1">
            <v>737717</v>
          </cell>
        </row>
      </sheetData>
      <sheetData sheetId="5">
        <row r="3">
          <cell r="D3" t="str">
            <v>Andamio  multidireccional certificado de( 1.4 x1.4 m, altura de plataforma 2 m)</v>
          </cell>
        </row>
      </sheetData>
      <sheetData sheetId="6">
        <row r="2">
          <cell r="H2">
            <v>0</v>
          </cell>
        </row>
      </sheetData>
      <sheetData sheetId="7">
        <row r="14">
          <cell r="C14" t="str">
            <v>Demolición manual de muros internos divisorios en ladrillo y/ó Bloque de concreto, revocado y/ó estucado, y/ó enchapado  hasta un espesor de 25 cm,  Incluye corte con pulidora, retiro de refuerzo y cualquier tipo instalaciones embebidas, o sobrepuestas en el muro, acarreo interno hasta el punto de acopio de escombros, además recuperación de los materiales aprovechables o su transporte hasta el sitio que lo indique la interventoría.</v>
          </cell>
        </row>
      </sheetData>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Aux"/>
      <sheetName val="Insumos"/>
      <sheetName val="CO Edificio"/>
      <sheetName val="CO Urbanismo"/>
      <sheetName val="CANT ZAPATAS"/>
      <sheetName val="CANT VIGAS FUND"/>
      <sheetName val="CANT COLUMNAS"/>
      <sheetName val="CANT VIGAS AEREAS"/>
      <sheetName val="CANT MUROS"/>
      <sheetName val="CANT-REF"/>
      <sheetName val="PPTO-ELE"/>
      <sheetName val="PPTO-HID"/>
      <sheetName val="cantacad"/>
      <sheetName val="Sectores"/>
    </sheetNames>
    <sheetDataSet>
      <sheetData sheetId="0">
        <row r="1">
          <cell r="E1">
            <v>866130091.93409562</v>
          </cell>
          <cell r="F1">
            <v>0</v>
          </cell>
          <cell r="G1">
            <v>1534548.9031821971</v>
          </cell>
          <cell r="H1">
            <v>0</v>
          </cell>
          <cell r="I1">
            <v>733783955.99153006</v>
          </cell>
          <cell r="J1">
            <v>0</v>
          </cell>
          <cell r="K1">
            <v>865469940</v>
          </cell>
          <cell r="L1">
            <v>564.41999999999996</v>
          </cell>
          <cell r="M1">
            <v>587.79499999999996</v>
          </cell>
          <cell r="O1">
            <v>0</v>
          </cell>
        </row>
        <row r="2">
          <cell r="D2" t="str">
            <v xml:space="preserve"> </v>
          </cell>
          <cell r="E2">
            <v>0</v>
          </cell>
          <cell r="F2">
            <v>0</v>
          </cell>
          <cell r="G2">
            <v>0</v>
          </cell>
          <cell r="H2">
            <v>0</v>
          </cell>
          <cell r="I2">
            <v>0</v>
          </cell>
          <cell r="J2">
            <v>0</v>
          </cell>
          <cell r="K2">
            <v>0</v>
          </cell>
          <cell r="L2">
            <v>0</v>
          </cell>
          <cell r="M2">
            <v>0</v>
          </cell>
          <cell r="N2">
            <v>0</v>
          </cell>
          <cell r="O2">
            <v>0</v>
          </cell>
          <cell r="P2">
            <v>0</v>
          </cell>
        </row>
        <row r="3">
          <cell r="D3">
            <v>0</v>
          </cell>
          <cell r="E3" t="str">
            <v>FONDO ADAPTACION
ESTIMATIVO PRESUPUESTAL
I.E. LA VICTORIA - MUNICIPIO DE CAUCASIA - ANTIOQUIA</v>
          </cell>
          <cell r="F3">
            <v>0</v>
          </cell>
          <cell r="G3">
            <v>0</v>
          </cell>
          <cell r="H3">
            <v>0</v>
          </cell>
          <cell r="I3">
            <v>0</v>
          </cell>
          <cell r="J3">
            <v>0</v>
          </cell>
          <cell r="K3">
            <v>0</v>
          </cell>
          <cell r="L3">
            <v>0</v>
          </cell>
          <cell r="M3">
            <v>0</v>
          </cell>
          <cell r="N3">
            <v>0</v>
          </cell>
          <cell r="O3">
            <v>0</v>
          </cell>
          <cell r="P3">
            <v>0</v>
          </cell>
        </row>
        <row r="4">
          <cell r="D4">
            <v>0</v>
          </cell>
          <cell r="E4">
            <v>0</v>
          </cell>
          <cell r="F4">
            <v>0</v>
          </cell>
          <cell r="G4" t="str">
            <v>VR UNITARIO</v>
          </cell>
          <cell r="H4">
            <v>0</v>
          </cell>
          <cell r="I4">
            <v>0</v>
          </cell>
          <cell r="J4">
            <v>0</v>
          </cell>
          <cell r="K4">
            <v>0</v>
          </cell>
          <cell r="L4">
            <v>0</v>
          </cell>
          <cell r="M4">
            <v>0</v>
          </cell>
          <cell r="N4" t="str">
            <v>CANT TOTAL</v>
          </cell>
          <cell r="O4" t="str">
            <v>SUBTOTAL</v>
          </cell>
          <cell r="P4" t="str">
            <v>VR CAPITULO</v>
          </cell>
        </row>
        <row r="5">
          <cell r="D5" t="str">
            <v>ITEM</v>
          </cell>
          <cell r="E5" t="str">
            <v>DESCRIPCION</v>
          </cell>
          <cell r="F5" t="str">
            <v>UN</v>
          </cell>
          <cell r="G5">
            <v>0</v>
          </cell>
          <cell r="H5" t="str">
            <v>Edificacion</v>
          </cell>
          <cell r="I5">
            <v>0</v>
          </cell>
          <cell r="J5" t="str">
            <v>Urbanismo</v>
          </cell>
          <cell r="K5">
            <v>0</v>
          </cell>
          <cell r="L5" t="str">
            <v>Mitigación</v>
          </cell>
          <cell r="M5">
            <v>0</v>
          </cell>
          <cell r="N5">
            <v>0</v>
          </cell>
          <cell r="O5">
            <v>0</v>
          </cell>
          <cell r="P5">
            <v>0</v>
          </cell>
        </row>
        <row r="6">
          <cell r="D6" t="str">
            <v>01</v>
          </cell>
          <cell r="E6" t="str">
            <v>PRELIMINARES</v>
          </cell>
          <cell r="F6">
            <v>0</v>
          </cell>
          <cell r="G6">
            <v>0</v>
          </cell>
          <cell r="H6">
            <v>0</v>
          </cell>
          <cell r="I6">
            <v>1975149.6916499997</v>
          </cell>
          <cell r="J6">
            <v>0</v>
          </cell>
          <cell r="K6">
            <v>5079304.8136536563</v>
          </cell>
          <cell r="L6">
            <v>0</v>
          </cell>
          <cell r="M6">
            <v>0</v>
          </cell>
          <cell r="N6">
            <v>0</v>
          </cell>
          <cell r="O6">
            <v>0</v>
          </cell>
          <cell r="P6">
            <v>7054454.5053036558</v>
          </cell>
        </row>
        <row r="7">
          <cell r="D7" t="str">
            <v>01-01</v>
          </cell>
          <cell r="E7" t="str">
            <v>INSTALACIONES PROVISIONALES</v>
          </cell>
          <cell r="F7">
            <v>0</v>
          </cell>
          <cell r="G7">
            <v>0</v>
          </cell>
          <cell r="H7">
            <v>0</v>
          </cell>
          <cell r="I7">
            <v>0</v>
          </cell>
          <cell r="J7">
            <v>0</v>
          </cell>
          <cell r="K7">
            <v>5054688.3228036566</v>
          </cell>
          <cell r="L7">
            <v>0</v>
          </cell>
          <cell r="M7">
            <v>0</v>
          </cell>
          <cell r="N7">
            <v>0</v>
          </cell>
          <cell r="O7">
            <v>5054688.3228036566</v>
          </cell>
          <cell r="P7">
            <v>0</v>
          </cell>
        </row>
        <row r="8">
          <cell r="D8" t="str">
            <v>01-01-010</v>
          </cell>
          <cell r="E8" t="str">
            <v>CERRAMIENTO PROVISIONAL EN TELA DE CERRAMIENTO VERDE H: 2.10 M. INCLUYE ESTRUCTURA DE MADERA COMUN, ANCLAJES DE PARALES AL PISO Y TELA VERDE</v>
          </cell>
          <cell r="F8" t="str">
            <v>M</v>
          </cell>
          <cell r="G8">
            <v>22348.078180226617</v>
          </cell>
          <cell r="H8">
            <v>0</v>
          </cell>
          <cell r="I8">
            <v>0</v>
          </cell>
          <cell r="J8">
            <v>226.18</v>
          </cell>
          <cell r="K8">
            <v>5054688.3228036566</v>
          </cell>
          <cell r="L8">
            <v>0</v>
          </cell>
          <cell r="M8">
            <v>0</v>
          </cell>
          <cell r="N8">
            <v>226.18</v>
          </cell>
          <cell r="O8">
            <v>5054688.3228036566</v>
          </cell>
          <cell r="P8">
            <v>0</v>
          </cell>
        </row>
        <row r="9">
          <cell r="D9" t="str">
            <v>01-02</v>
          </cell>
          <cell r="E9" t="str">
            <v>LOCALIZACION Y REPLANTEO</v>
          </cell>
          <cell r="F9">
            <v>0</v>
          </cell>
          <cell r="G9">
            <v>0</v>
          </cell>
          <cell r="H9">
            <v>0</v>
          </cell>
          <cell r="I9">
            <v>1975149.6916499997</v>
          </cell>
          <cell r="J9">
            <v>0</v>
          </cell>
          <cell r="K9">
            <v>24616.490849999998</v>
          </cell>
          <cell r="L9">
            <v>0</v>
          </cell>
          <cell r="M9">
            <v>0</v>
          </cell>
          <cell r="N9">
            <v>0</v>
          </cell>
          <cell r="O9">
            <v>1999766.1824999996</v>
          </cell>
          <cell r="P9">
            <v>0</v>
          </cell>
        </row>
        <row r="10">
          <cell r="D10" t="str">
            <v>01-02-010</v>
          </cell>
          <cell r="E10" t="str">
            <v>LOCALIZACION Y REPLANTEO DE EDIFICACIONES. INCLUYE HILADEROS Y SEÑALIZACION NECESARIA</v>
          </cell>
          <cell r="F10" t="str">
            <v>M2</v>
          </cell>
          <cell r="G10">
            <v>3499.4324999999999</v>
          </cell>
          <cell r="H10">
            <v>564.41999999999996</v>
          </cell>
          <cell r="I10">
            <v>1975149.6916499997</v>
          </cell>
          <cell r="J10">
            <v>0</v>
          </cell>
          <cell r="K10">
            <v>0</v>
          </cell>
          <cell r="L10">
            <v>0</v>
          </cell>
          <cell r="M10">
            <v>0</v>
          </cell>
          <cell r="N10">
            <v>564.41999999999996</v>
          </cell>
          <cell r="O10">
            <v>1975149.6916499997</v>
          </cell>
          <cell r="P10">
            <v>0</v>
          </cell>
        </row>
        <row r="11">
          <cell r="D11" t="str">
            <v>01-02-020</v>
          </cell>
          <cell r="E11" t="str">
            <v>LOCALIZACION Y REPLANTEO DE URBANISMO. INCLUYE HILADEROS Y SEÑALIZACION NECESARIA</v>
          </cell>
          <cell r="F11" t="str">
            <v>M2</v>
          </cell>
          <cell r="G11">
            <v>1005.165</v>
          </cell>
          <cell r="H11">
            <v>0</v>
          </cell>
          <cell r="I11">
            <v>0</v>
          </cell>
          <cell r="J11">
            <v>24.49</v>
          </cell>
          <cell r="K11">
            <v>24616.490849999998</v>
          </cell>
          <cell r="L11">
            <v>0</v>
          </cell>
          <cell r="M11">
            <v>0</v>
          </cell>
          <cell r="N11">
            <v>24.49</v>
          </cell>
          <cell r="O11">
            <v>24616.490849999998</v>
          </cell>
          <cell r="P11">
            <v>0</v>
          </cell>
        </row>
        <row r="12">
          <cell r="D12" t="str">
            <v>02</v>
          </cell>
          <cell r="E12" t="str">
            <v>RETIROS Y DEMOLICIONES</v>
          </cell>
          <cell r="F12">
            <v>0</v>
          </cell>
          <cell r="G12">
            <v>0</v>
          </cell>
          <cell r="H12">
            <v>0</v>
          </cell>
          <cell r="I12">
            <v>0</v>
          </cell>
          <cell r="J12">
            <v>0</v>
          </cell>
          <cell r="K12">
            <v>0</v>
          </cell>
          <cell r="L12">
            <v>0</v>
          </cell>
          <cell r="M12">
            <v>0</v>
          </cell>
          <cell r="N12">
            <v>0</v>
          </cell>
          <cell r="O12">
            <v>0</v>
          </cell>
          <cell r="P12">
            <v>0</v>
          </cell>
        </row>
        <row r="13">
          <cell r="D13" t="str">
            <v>02-01</v>
          </cell>
          <cell r="E13" t="str">
            <v>TALAS DE ARBOLES</v>
          </cell>
          <cell r="F13">
            <v>0</v>
          </cell>
          <cell r="G13">
            <v>0</v>
          </cell>
          <cell r="H13">
            <v>0</v>
          </cell>
          <cell r="I13">
            <v>0</v>
          </cell>
          <cell r="J13">
            <v>0</v>
          </cell>
          <cell r="K13">
            <v>0</v>
          </cell>
          <cell r="L13">
            <v>0</v>
          </cell>
          <cell r="M13">
            <v>0</v>
          </cell>
          <cell r="N13">
            <v>0</v>
          </cell>
          <cell r="O13">
            <v>0</v>
          </cell>
          <cell r="P13">
            <v>0</v>
          </cell>
        </row>
        <row r="14">
          <cell r="D14" t="str">
            <v>02-02</v>
          </cell>
          <cell r="E14" t="str">
            <v>DEMOLICIONES</v>
          </cell>
          <cell r="F14">
            <v>0</v>
          </cell>
          <cell r="G14">
            <v>0</v>
          </cell>
          <cell r="H14">
            <v>0</v>
          </cell>
          <cell r="I14">
            <v>0</v>
          </cell>
          <cell r="J14">
            <v>0</v>
          </cell>
          <cell r="K14">
            <v>0</v>
          </cell>
          <cell r="L14">
            <v>0</v>
          </cell>
          <cell r="M14">
            <v>0</v>
          </cell>
          <cell r="N14">
            <v>0</v>
          </cell>
          <cell r="O14">
            <v>0</v>
          </cell>
          <cell r="P14">
            <v>0</v>
          </cell>
        </row>
        <row r="15">
          <cell r="D15" t="str">
            <v>03</v>
          </cell>
          <cell r="E15" t="str">
            <v>MOVIMIENTOS DE TIERRA</v>
          </cell>
          <cell r="F15">
            <v>0</v>
          </cell>
          <cell r="G15">
            <v>0</v>
          </cell>
          <cell r="H15">
            <v>0</v>
          </cell>
          <cell r="I15">
            <v>10521354.391651817</v>
          </cell>
          <cell r="J15">
            <v>0</v>
          </cell>
          <cell r="K15">
            <v>0</v>
          </cell>
          <cell r="L15">
            <v>0</v>
          </cell>
          <cell r="M15">
            <v>87044561.855248868</v>
          </cell>
          <cell r="N15">
            <v>0</v>
          </cell>
          <cell r="O15">
            <v>0</v>
          </cell>
          <cell r="P15">
            <v>97565916.246900693</v>
          </cell>
        </row>
        <row r="16">
          <cell r="D16" t="str">
            <v>03-01</v>
          </cell>
          <cell r="E16" t="str">
            <v>CORTES</v>
          </cell>
          <cell r="F16">
            <v>0</v>
          </cell>
          <cell r="G16">
            <v>0</v>
          </cell>
          <cell r="H16">
            <v>0</v>
          </cell>
          <cell r="I16">
            <v>7623282.3851793893</v>
          </cell>
          <cell r="J16">
            <v>0</v>
          </cell>
          <cell r="K16">
            <v>0</v>
          </cell>
          <cell r="L16">
            <v>0</v>
          </cell>
          <cell r="M16">
            <v>28558279.502307691</v>
          </cell>
          <cell r="N16">
            <v>0</v>
          </cell>
          <cell r="O16">
            <v>36181561.887487084</v>
          </cell>
          <cell r="P16">
            <v>0</v>
          </cell>
        </row>
        <row r="17">
          <cell r="D17" t="str">
            <v>03-01-005</v>
          </cell>
          <cell r="E17" t="str">
            <v>EXCAVACIONES MASIVAS PARA TERRACEO LOTE. INCLUYE CARGUE, TRANSPORTE Y DISPOSICION FINAL DE MATERIAL SOBRANTE EN BOTADEROS OFICIALES. MEDIDO EN PLANOS</v>
          </cell>
          <cell r="F17" t="str">
            <v>M3</v>
          </cell>
          <cell r="G17">
            <v>25831.038461538461</v>
          </cell>
          <cell r="H17">
            <v>0</v>
          </cell>
          <cell r="I17">
            <v>0</v>
          </cell>
          <cell r="J17">
            <v>0</v>
          </cell>
          <cell r="K17">
            <v>0</v>
          </cell>
          <cell r="L17">
            <v>1105.58</v>
          </cell>
          <cell r="M17">
            <v>28558279.502307691</v>
          </cell>
          <cell r="N17">
            <v>1105.58</v>
          </cell>
          <cell r="O17">
            <v>28558279.502307691</v>
          </cell>
          <cell r="P17">
            <v>0</v>
          </cell>
        </row>
        <row r="18">
          <cell r="D18" t="str">
            <v>03-01-010</v>
          </cell>
          <cell r="E18" t="str">
            <v>EXCAVACIONES MANUALES PARA FUNDACIONES. INCLUYE ACARREO INTERNO, CARGUE, TRANSPORTE Y DISPOSICION FINAL DE MATERIAL SOBRANTE EN BOTADEROS OFICIALES. MEDIDO EN PLANOS</v>
          </cell>
          <cell r="F18" t="str">
            <v>M3</v>
          </cell>
          <cell r="G18">
            <v>55927.032599999999</v>
          </cell>
          <cell r="H18">
            <v>136.30765</v>
          </cell>
          <cell r="I18">
            <v>7623282.3851793893</v>
          </cell>
          <cell r="J18">
            <v>0</v>
          </cell>
          <cell r="K18">
            <v>0</v>
          </cell>
          <cell r="L18">
            <v>0</v>
          </cell>
          <cell r="M18">
            <v>0</v>
          </cell>
          <cell r="N18">
            <v>136.30765</v>
          </cell>
          <cell r="O18">
            <v>7623282.3851793893</v>
          </cell>
          <cell r="P18">
            <v>0</v>
          </cell>
        </row>
        <row r="19">
          <cell r="D19" t="str">
            <v>03-02</v>
          </cell>
          <cell r="E19" t="str">
            <v>LLENOS</v>
          </cell>
          <cell r="F19">
            <v>0</v>
          </cell>
          <cell r="G19">
            <v>0</v>
          </cell>
          <cell r="H19">
            <v>0</v>
          </cell>
          <cell r="I19">
            <v>2898072.0064724269</v>
          </cell>
          <cell r="J19">
            <v>0</v>
          </cell>
          <cell r="K19">
            <v>0</v>
          </cell>
          <cell r="L19">
            <v>0</v>
          </cell>
          <cell r="M19">
            <v>58486282.352941178</v>
          </cell>
          <cell r="N19">
            <v>0</v>
          </cell>
          <cell r="O19">
            <v>61384354.359413601</v>
          </cell>
          <cell r="P19">
            <v>0</v>
          </cell>
        </row>
        <row r="20">
          <cell r="D20" t="str">
            <v>03-02-005</v>
          </cell>
          <cell r="E20" t="str">
            <v>LLENOS MASIVOS COMPACTADOS PARA TERRACEO LOTE. INCLUYE SUMINISTRO DE MATERIAL DE PRESTAMO, TRANSPORTE INTERNO Y COMPACTACION. MEDIDO EN PLANOS</v>
          </cell>
          <cell r="F20" t="str">
            <v>M3</v>
          </cell>
          <cell r="G20">
            <v>45019.922988593185</v>
          </cell>
          <cell r="H20">
            <v>0</v>
          </cell>
          <cell r="I20">
            <v>0</v>
          </cell>
          <cell r="J20">
            <v>0</v>
          </cell>
          <cell r="K20">
            <v>0</v>
          </cell>
          <cell r="L20">
            <v>1299.1199999999999</v>
          </cell>
          <cell r="M20">
            <v>58486282.352941178</v>
          </cell>
          <cell r="N20">
            <v>1299.1199999999999</v>
          </cell>
          <cell r="O20">
            <v>58486282.352941178</v>
          </cell>
          <cell r="P20">
            <v>0</v>
          </cell>
        </row>
        <row r="21">
          <cell r="D21" t="str">
            <v>03-02-010</v>
          </cell>
          <cell r="E21" t="str">
            <v>LLENOS COMPACTADOS EN MATERIAL DE PRESTAMO ALREDEDOR DE ESTRUCTURAS. INCLUYE SUMINISTRO, TRANSPORTE INTERNO Y COMPACTACION.</v>
          </cell>
          <cell r="F21" t="str">
            <v>M3</v>
          </cell>
          <cell r="G21">
            <v>42378.225130151899</v>
          </cell>
          <cell r="H21">
            <v>68.385875000000013</v>
          </cell>
          <cell r="I21">
            <v>2898072.0064724269</v>
          </cell>
          <cell r="J21">
            <v>0</v>
          </cell>
          <cell r="K21">
            <v>0</v>
          </cell>
          <cell r="L21">
            <v>0</v>
          </cell>
          <cell r="M21">
            <v>0</v>
          </cell>
          <cell r="N21">
            <v>68.385875000000013</v>
          </cell>
          <cell r="O21">
            <v>2898072.0064724269</v>
          </cell>
          <cell r="P21">
            <v>0</v>
          </cell>
        </row>
        <row r="22">
          <cell r="D22" t="str">
            <v>04</v>
          </cell>
          <cell r="E22" t="str">
            <v>CONCRETOS ESTRUCTURALES</v>
          </cell>
          <cell r="F22">
            <v>0</v>
          </cell>
          <cell r="G22">
            <v>0</v>
          </cell>
          <cell r="H22">
            <v>0</v>
          </cell>
          <cell r="I22">
            <v>102127719.93310952</v>
          </cell>
          <cell r="J22">
            <v>0</v>
          </cell>
          <cell r="K22">
            <v>0</v>
          </cell>
          <cell r="L22">
            <v>0</v>
          </cell>
          <cell r="M22">
            <v>0</v>
          </cell>
          <cell r="N22">
            <v>0</v>
          </cell>
          <cell r="O22">
            <v>0</v>
          </cell>
          <cell r="P22">
            <v>102127719.93310952</v>
          </cell>
        </row>
        <row r="23">
          <cell r="D23" t="str">
            <v>04-02</v>
          </cell>
          <cell r="E23" t="str">
            <v>ZAPATAS Y DADOS</v>
          </cell>
          <cell r="F23">
            <v>0</v>
          </cell>
          <cell r="G23">
            <v>0</v>
          </cell>
          <cell r="H23">
            <v>0</v>
          </cell>
          <cell r="I23">
            <v>18310132.806687891</v>
          </cell>
          <cell r="J23">
            <v>0</v>
          </cell>
          <cell r="K23">
            <v>0</v>
          </cell>
          <cell r="L23">
            <v>0</v>
          </cell>
          <cell r="M23">
            <v>0</v>
          </cell>
          <cell r="N23">
            <v>0</v>
          </cell>
          <cell r="O23">
            <v>18310132.806687891</v>
          </cell>
          <cell r="P23">
            <v>0</v>
          </cell>
        </row>
        <row r="24">
          <cell r="D24" t="str">
            <v>04-02-010</v>
          </cell>
          <cell r="E24" t="str">
            <v>ARMADO Y VACIADO DE ZAPATAS AISLADAS Y/O CORRIDAS EN CONCRETO F'C 21 MPA</v>
          </cell>
          <cell r="F24" t="str">
            <v>M3</v>
          </cell>
          <cell r="G24">
            <v>582419.4867552967</v>
          </cell>
          <cell r="H24">
            <v>27.703499999999998</v>
          </cell>
          <cell r="I24">
            <v>16135058.251325361</v>
          </cell>
          <cell r="J24">
            <v>0</v>
          </cell>
          <cell r="K24">
            <v>0</v>
          </cell>
          <cell r="L24">
            <v>0</v>
          </cell>
          <cell r="M24">
            <v>0</v>
          </cell>
          <cell r="N24">
            <v>27.703499999999998</v>
          </cell>
          <cell r="O24">
            <v>16135058.251325361</v>
          </cell>
          <cell r="P24">
            <v>0</v>
          </cell>
        </row>
        <row r="25">
          <cell r="D25" t="str">
            <v>04-02-100</v>
          </cell>
          <cell r="E25" t="str">
            <v>VACIADO DE SOLADO E: 0.10 M. - F'C 14 MPA</v>
          </cell>
          <cell r="F25" t="str">
            <v>M2</v>
          </cell>
          <cell r="G25">
            <v>37013.095471156783</v>
          </cell>
          <cell r="H25">
            <v>58.765000000000001</v>
          </cell>
          <cell r="I25">
            <v>2175074.5553625282</v>
          </cell>
          <cell r="J25">
            <v>0</v>
          </cell>
          <cell r="K25">
            <v>0</v>
          </cell>
          <cell r="L25">
            <v>0</v>
          </cell>
          <cell r="M25">
            <v>0</v>
          </cell>
          <cell r="N25">
            <v>58.765000000000001</v>
          </cell>
          <cell r="O25">
            <v>2175074.5553625282</v>
          </cell>
          <cell r="P25">
            <v>0</v>
          </cell>
        </row>
        <row r="26">
          <cell r="D26" t="str">
            <v>04-03</v>
          </cell>
          <cell r="E26" t="str">
            <v>VIGAS DE FUNDACION</v>
          </cell>
          <cell r="F26">
            <v>0</v>
          </cell>
          <cell r="G26">
            <v>0</v>
          </cell>
          <cell r="H26">
            <v>0</v>
          </cell>
          <cell r="I26">
            <v>23423907.083683375</v>
          </cell>
          <cell r="J26">
            <v>0</v>
          </cell>
          <cell r="K26">
            <v>0</v>
          </cell>
          <cell r="L26">
            <v>0</v>
          </cell>
          <cell r="M26">
            <v>0</v>
          </cell>
          <cell r="N26">
            <v>0</v>
          </cell>
          <cell r="O26">
            <v>23423907.083683375</v>
          </cell>
          <cell r="P26">
            <v>0</v>
          </cell>
        </row>
        <row r="27">
          <cell r="D27" t="str">
            <v>04-03-010</v>
          </cell>
          <cell r="E27" t="str">
            <v>ARMADO Y VACIADO DE VIGAS DE FUNDACION EN CONCRETO F'C 21 MPA</v>
          </cell>
          <cell r="F27" t="str">
            <v>M3</v>
          </cell>
          <cell r="G27">
            <v>582419.4867552967</v>
          </cell>
          <cell r="H27">
            <v>40.218274999999991</v>
          </cell>
          <cell r="I27">
            <v>23423907.083683375</v>
          </cell>
          <cell r="J27">
            <v>0</v>
          </cell>
          <cell r="K27">
            <v>0</v>
          </cell>
          <cell r="L27">
            <v>0</v>
          </cell>
          <cell r="M27">
            <v>0</v>
          </cell>
          <cell r="N27">
            <v>40.218274999999991</v>
          </cell>
          <cell r="O27">
            <v>23423907.083683375</v>
          </cell>
          <cell r="P27">
            <v>0</v>
          </cell>
        </row>
        <row r="28">
          <cell r="D28" t="str">
            <v>04-05</v>
          </cell>
          <cell r="E28" t="str">
            <v>LOSAS DE FUNDACIÓN</v>
          </cell>
          <cell r="F28">
            <v>0</v>
          </cell>
          <cell r="G28">
            <v>0</v>
          </cell>
          <cell r="H28">
            <v>0</v>
          </cell>
          <cell r="I28">
            <v>35085057.341048427</v>
          </cell>
          <cell r="J28">
            <v>0</v>
          </cell>
          <cell r="K28">
            <v>0</v>
          </cell>
          <cell r="L28">
            <v>0</v>
          </cell>
          <cell r="M28">
            <v>0</v>
          </cell>
          <cell r="N28">
            <v>0</v>
          </cell>
          <cell r="O28">
            <v>35085057.341048427</v>
          </cell>
          <cell r="P28">
            <v>0</v>
          </cell>
        </row>
        <row r="29">
          <cell r="D29" t="str">
            <v>04-05-010</v>
          </cell>
          <cell r="E29" t="str">
            <v>LOSA DE CONTRAPISO PARA EDIFICACION EN CONCRETO F'C 21 MPA. - E: 0.08 M.</v>
          </cell>
          <cell r="F29" t="str">
            <v>M2</v>
          </cell>
          <cell r="G29">
            <v>63376.187393512329</v>
          </cell>
          <cell r="H29">
            <v>553.6</v>
          </cell>
          <cell r="I29">
            <v>35085057.341048427</v>
          </cell>
          <cell r="J29">
            <v>0</v>
          </cell>
          <cell r="K29">
            <v>0</v>
          </cell>
          <cell r="L29">
            <v>0</v>
          </cell>
          <cell r="M29">
            <v>0</v>
          </cell>
          <cell r="N29">
            <v>553.6</v>
          </cell>
          <cell r="O29">
            <v>35085057.341048427</v>
          </cell>
          <cell r="P29">
            <v>0</v>
          </cell>
        </row>
        <row r="30">
          <cell r="D30" t="str">
            <v>04-07</v>
          </cell>
          <cell r="E30" t="str">
            <v>COLUMNAS Y PANTALLAS</v>
          </cell>
          <cell r="F30">
            <v>0</v>
          </cell>
          <cell r="G30">
            <v>0</v>
          </cell>
          <cell r="H30">
            <v>0</v>
          </cell>
          <cell r="I30">
            <v>5910193.5255564013</v>
          </cell>
          <cell r="J30">
            <v>0</v>
          </cell>
          <cell r="K30">
            <v>0</v>
          </cell>
          <cell r="L30">
            <v>0</v>
          </cell>
          <cell r="M30">
            <v>0</v>
          </cell>
          <cell r="N30">
            <v>0</v>
          </cell>
          <cell r="O30">
            <v>5910193.5255564013</v>
          </cell>
          <cell r="P30">
            <v>0</v>
          </cell>
        </row>
        <row r="31">
          <cell r="D31" t="str">
            <v>04-07-020</v>
          </cell>
          <cell r="E31" t="str">
            <v>COLUMNAS CUADRADAS 0.35 M. x 0.35 M. EN CONCRETO VISTO F'C 21 MPA.</v>
          </cell>
          <cell r="F31" t="str">
            <v>M3</v>
          </cell>
          <cell r="G31">
            <v>704533.84578919527</v>
          </cell>
          <cell r="H31">
            <v>8.3887999999999998</v>
          </cell>
          <cell r="I31">
            <v>5910193.5255564013</v>
          </cell>
          <cell r="J31">
            <v>0</v>
          </cell>
          <cell r="K31">
            <v>0</v>
          </cell>
          <cell r="L31">
            <v>0</v>
          </cell>
          <cell r="M31">
            <v>0</v>
          </cell>
          <cell r="N31">
            <v>8.3887999999999998</v>
          </cell>
          <cell r="O31">
            <v>5910193.5255564013</v>
          </cell>
          <cell r="P31">
            <v>0</v>
          </cell>
        </row>
        <row r="32">
          <cell r="D32" t="str">
            <v>04-09</v>
          </cell>
          <cell r="E32" t="str">
            <v>VIGAS AEREAS</v>
          </cell>
          <cell r="F32">
            <v>0</v>
          </cell>
          <cell r="G32">
            <v>0</v>
          </cell>
          <cell r="H32">
            <v>0</v>
          </cell>
          <cell r="I32">
            <v>19398429.176133439</v>
          </cell>
          <cell r="J32">
            <v>0</v>
          </cell>
          <cell r="K32">
            <v>0</v>
          </cell>
          <cell r="L32">
            <v>0</v>
          </cell>
          <cell r="M32">
            <v>0</v>
          </cell>
          <cell r="N32">
            <v>0</v>
          </cell>
          <cell r="O32">
            <v>19398429.176133439</v>
          </cell>
          <cell r="P32">
            <v>0</v>
          </cell>
        </row>
        <row r="33">
          <cell r="D33" t="str">
            <v>04-09-030</v>
          </cell>
          <cell r="E33" t="str">
            <v>VIGAS AEREAS EN CONCRETO VISTO F'C 21 MPA - 0.35 M. x 0.35 M.</v>
          </cell>
          <cell r="F33" t="str">
            <v>M3</v>
          </cell>
          <cell r="G33">
            <v>741498.98804459453</v>
          </cell>
          <cell r="H33">
            <v>26.161099999999998</v>
          </cell>
          <cell r="I33">
            <v>19398429.176133439</v>
          </cell>
          <cell r="J33">
            <v>0</v>
          </cell>
          <cell r="K33">
            <v>0</v>
          </cell>
          <cell r="L33">
            <v>0</v>
          </cell>
          <cell r="M33">
            <v>0</v>
          </cell>
          <cell r="N33">
            <v>26.161099999999998</v>
          </cell>
          <cell r="O33">
            <v>19398429.176133439</v>
          </cell>
          <cell r="P33">
            <v>0</v>
          </cell>
        </row>
        <row r="34">
          <cell r="D34" t="str">
            <v>05</v>
          </cell>
          <cell r="E34" t="str">
            <v>ACERO DE REFUERZO</v>
          </cell>
          <cell r="F34">
            <v>0</v>
          </cell>
          <cell r="G34">
            <v>0</v>
          </cell>
          <cell r="H34">
            <v>0</v>
          </cell>
          <cell r="I34">
            <v>60502943.351899199</v>
          </cell>
          <cell r="J34">
            <v>0</v>
          </cell>
          <cell r="K34">
            <v>0</v>
          </cell>
          <cell r="L34">
            <v>0</v>
          </cell>
          <cell r="M34">
            <v>0</v>
          </cell>
          <cell r="N34">
            <v>0</v>
          </cell>
          <cell r="O34">
            <v>0</v>
          </cell>
          <cell r="P34">
            <v>60502943.351899199</v>
          </cell>
        </row>
        <row r="35">
          <cell r="D35" t="str">
            <v>05-01</v>
          </cell>
          <cell r="E35" t="str">
            <v>ACERO DE REFUERZO PARA ESTRUCTURAS</v>
          </cell>
          <cell r="F35">
            <v>0</v>
          </cell>
          <cell r="G35">
            <v>0</v>
          </cell>
          <cell r="H35">
            <v>0</v>
          </cell>
          <cell r="I35">
            <v>57193602.398457356</v>
          </cell>
          <cell r="J35">
            <v>0</v>
          </cell>
          <cell r="K35">
            <v>0</v>
          </cell>
          <cell r="L35">
            <v>0</v>
          </cell>
          <cell r="M35">
            <v>0</v>
          </cell>
          <cell r="N35">
            <v>0</v>
          </cell>
          <cell r="O35">
            <v>57193602.398457356</v>
          </cell>
          <cell r="P35">
            <v>0</v>
          </cell>
        </row>
        <row r="36">
          <cell r="D36" t="str">
            <v>05-01-010</v>
          </cell>
          <cell r="E36" t="str">
            <v>ACERO DE REFUERZO FY 420 MPA - BARRAS DE REFUERZO</v>
          </cell>
          <cell r="F36" t="str">
            <v>KG</v>
          </cell>
          <cell r="G36">
            <v>4099.9879852941176</v>
          </cell>
          <cell r="H36">
            <v>13949.7</v>
          </cell>
          <cell r="I36">
            <v>57193602.398457356</v>
          </cell>
          <cell r="J36">
            <v>0</v>
          </cell>
          <cell r="K36">
            <v>0</v>
          </cell>
          <cell r="L36">
            <v>0</v>
          </cell>
          <cell r="M36">
            <v>0</v>
          </cell>
          <cell r="N36">
            <v>13949.7</v>
          </cell>
          <cell r="O36">
            <v>57193602.398457356</v>
          </cell>
          <cell r="P36">
            <v>0</v>
          </cell>
        </row>
        <row r="37">
          <cell r="D37" t="str">
            <v>05-02</v>
          </cell>
          <cell r="E37" t="str">
            <v>MALLAS ELECTROSOLDADAS</v>
          </cell>
          <cell r="F37">
            <v>0</v>
          </cell>
          <cell r="G37">
            <v>0</v>
          </cell>
          <cell r="H37">
            <v>0</v>
          </cell>
          <cell r="I37">
            <v>3309340.9534418467</v>
          </cell>
          <cell r="J37">
            <v>0</v>
          </cell>
          <cell r="K37">
            <v>0</v>
          </cell>
          <cell r="L37">
            <v>0</v>
          </cell>
          <cell r="M37">
            <v>0</v>
          </cell>
          <cell r="N37">
            <v>0</v>
          </cell>
          <cell r="O37">
            <v>3309340.9534418467</v>
          </cell>
          <cell r="P37">
            <v>0</v>
          </cell>
        </row>
        <row r="38">
          <cell r="D38" t="str">
            <v>05-02-040</v>
          </cell>
          <cell r="E38" t="str">
            <v>MALLA ELECTROSOLDADA F'Y 490 MPA - D-106</v>
          </cell>
          <cell r="F38" t="str">
            <v>M2</v>
          </cell>
          <cell r="G38">
            <v>5977.8557685004453</v>
          </cell>
          <cell r="H38">
            <v>553.6</v>
          </cell>
          <cell r="I38">
            <v>3309340.9534418467</v>
          </cell>
          <cell r="J38">
            <v>0</v>
          </cell>
          <cell r="K38">
            <v>0</v>
          </cell>
          <cell r="L38">
            <v>0</v>
          </cell>
          <cell r="M38">
            <v>0</v>
          </cell>
          <cell r="N38">
            <v>553.6</v>
          </cell>
          <cell r="O38">
            <v>3309340.9534418467</v>
          </cell>
          <cell r="P38">
            <v>0</v>
          </cell>
        </row>
        <row r="39">
          <cell r="D39" t="str">
            <v>06</v>
          </cell>
          <cell r="E39" t="str">
            <v>ESTRUCTURAS METALICAS</v>
          </cell>
          <cell r="F39">
            <v>0</v>
          </cell>
          <cell r="G39">
            <v>0</v>
          </cell>
          <cell r="H39">
            <v>0</v>
          </cell>
          <cell r="I39">
            <v>86370913.833319232</v>
          </cell>
          <cell r="J39">
            <v>0</v>
          </cell>
          <cell r="K39">
            <v>0</v>
          </cell>
          <cell r="L39">
            <v>0</v>
          </cell>
          <cell r="M39">
            <v>0</v>
          </cell>
          <cell r="N39">
            <v>0</v>
          </cell>
          <cell r="O39">
            <v>0</v>
          </cell>
          <cell r="P39">
            <v>86370913.833319232</v>
          </cell>
        </row>
        <row r="40">
          <cell r="D40" t="str">
            <v>06-01</v>
          </cell>
          <cell r="E40" t="str">
            <v>ESTRUCTURAS METALICAS</v>
          </cell>
          <cell r="F40">
            <v>0</v>
          </cell>
          <cell r="G40">
            <v>0</v>
          </cell>
          <cell r="H40">
            <v>0</v>
          </cell>
          <cell r="I40">
            <v>86370913.833319232</v>
          </cell>
          <cell r="J40">
            <v>0</v>
          </cell>
          <cell r="K40">
            <v>0</v>
          </cell>
          <cell r="L40">
            <v>0</v>
          </cell>
          <cell r="M40">
            <v>0</v>
          </cell>
          <cell r="N40">
            <v>0</v>
          </cell>
          <cell r="O40">
            <v>86370913.833319232</v>
          </cell>
          <cell r="P40">
            <v>0</v>
          </cell>
        </row>
        <row r="41">
          <cell r="D41" t="str">
            <v>06-01-010</v>
          </cell>
          <cell r="E41" t="str">
            <v>ESTRUCTURA METALICA DE CUBIERTA. PERFILES, ACCESORIOS Y ACABADOS SEGÚN PLANOS ESTRUCTURALES</v>
          </cell>
          <cell r="F41" t="str">
            <v>KG</v>
          </cell>
          <cell r="G41">
            <v>7831.1487134837425</v>
          </cell>
          <cell r="H41">
            <v>6853.0000000000009</v>
          </cell>
          <cell r="I41">
            <v>53666862.133504093</v>
          </cell>
          <cell r="J41">
            <v>0</v>
          </cell>
          <cell r="K41">
            <v>0</v>
          </cell>
          <cell r="L41">
            <v>0</v>
          </cell>
          <cell r="M41">
            <v>0</v>
          </cell>
          <cell r="N41">
            <v>6853.0000000000009</v>
          </cell>
          <cell r="O41">
            <v>53666862.133504093</v>
          </cell>
          <cell r="P41">
            <v>0</v>
          </cell>
        </row>
        <row r="42">
          <cell r="D42" t="str">
            <v>06-01-020</v>
          </cell>
          <cell r="E42" t="str">
            <v>ESTRUCTURA METALICA PARA PERGOLAS EN CIRCULACIONES. PERFILES, ACCESORIOS Y ACABADOS SEGÚN PLANOS ESTRUCTURALES</v>
          </cell>
          <cell r="F42" t="str">
            <v>KG</v>
          </cell>
          <cell r="G42">
            <v>7831.1487134837425</v>
          </cell>
          <cell r="H42">
            <v>4176.1500000000005</v>
          </cell>
          <cell r="I42">
            <v>32704051.699815135</v>
          </cell>
          <cell r="J42">
            <v>0</v>
          </cell>
          <cell r="K42">
            <v>0</v>
          </cell>
          <cell r="L42">
            <v>0</v>
          </cell>
          <cell r="M42">
            <v>0</v>
          </cell>
          <cell r="N42">
            <v>4176.1500000000005</v>
          </cell>
          <cell r="O42">
            <v>32704051.699815135</v>
          </cell>
          <cell r="P42">
            <v>0</v>
          </cell>
        </row>
        <row r="43">
          <cell r="D43" t="str">
            <v>06-02</v>
          </cell>
          <cell r="E43" t="str">
            <v>LOSAS EN LAMINA COLABORANTE</v>
          </cell>
          <cell r="F43">
            <v>0</v>
          </cell>
          <cell r="G43">
            <v>0</v>
          </cell>
          <cell r="H43">
            <v>0</v>
          </cell>
          <cell r="I43">
            <v>0</v>
          </cell>
          <cell r="J43">
            <v>0</v>
          </cell>
          <cell r="K43">
            <v>0</v>
          </cell>
          <cell r="L43">
            <v>0</v>
          </cell>
          <cell r="M43">
            <v>0</v>
          </cell>
          <cell r="N43">
            <v>0</v>
          </cell>
          <cell r="O43">
            <v>0</v>
          </cell>
          <cell r="P43">
            <v>0</v>
          </cell>
        </row>
        <row r="44">
          <cell r="D44" t="str">
            <v>06-03</v>
          </cell>
          <cell r="E44" t="str">
            <v>ESTRUCTURAS METALICAS MENORES</v>
          </cell>
          <cell r="F44">
            <v>0</v>
          </cell>
          <cell r="G44">
            <v>0</v>
          </cell>
          <cell r="H44">
            <v>0</v>
          </cell>
          <cell r="I44">
            <v>0</v>
          </cell>
          <cell r="J44">
            <v>0</v>
          </cell>
          <cell r="K44">
            <v>0</v>
          </cell>
          <cell r="L44">
            <v>0</v>
          </cell>
          <cell r="M44">
            <v>0</v>
          </cell>
          <cell r="N44">
            <v>0</v>
          </cell>
          <cell r="O44">
            <v>0</v>
          </cell>
          <cell r="P44">
            <v>0</v>
          </cell>
        </row>
        <row r="45">
          <cell r="D45" t="str">
            <v>07</v>
          </cell>
          <cell r="E45" t="str">
            <v>MAMPOSTERIAS, DIVISIONES Y ELEMENTOS NO ESTRUCTURALES</v>
          </cell>
          <cell r="F45">
            <v>0</v>
          </cell>
          <cell r="G45">
            <v>0</v>
          </cell>
          <cell r="H45">
            <v>0</v>
          </cell>
          <cell r="I45">
            <v>137817456.54619929</v>
          </cell>
          <cell r="J45">
            <v>0</v>
          </cell>
          <cell r="K45">
            <v>0</v>
          </cell>
          <cell r="L45">
            <v>0</v>
          </cell>
          <cell r="M45">
            <v>0</v>
          </cell>
          <cell r="N45">
            <v>0</v>
          </cell>
          <cell r="O45">
            <v>0</v>
          </cell>
          <cell r="P45">
            <v>137817456.54619929</v>
          </cell>
        </row>
        <row r="46">
          <cell r="D46" t="str">
            <v>07-01</v>
          </cell>
          <cell r="E46" t="str">
            <v>MUROS EN BLOQUE DE CONCRETO</v>
          </cell>
          <cell r="F46">
            <v>0</v>
          </cell>
          <cell r="G46">
            <v>0</v>
          </cell>
          <cell r="H46">
            <v>0</v>
          </cell>
          <cell r="I46">
            <v>114175869.54437225</v>
          </cell>
          <cell r="J46">
            <v>0</v>
          </cell>
          <cell r="K46">
            <v>0</v>
          </cell>
          <cell r="L46">
            <v>0</v>
          </cell>
          <cell r="M46">
            <v>0</v>
          </cell>
          <cell r="N46">
            <v>0</v>
          </cell>
          <cell r="O46">
            <v>114175869.54437225</v>
          </cell>
          <cell r="P46">
            <v>0</v>
          </cell>
        </row>
        <row r="47">
          <cell r="D47" t="str">
            <v>07-01-010</v>
          </cell>
          <cell r="E47" t="str">
            <v>MURO EN BLOQUE DE CONCRETO 12x12x50 -  F'C 13 MPA COLOR ARENA / AMARILLO. INCLUYE REFUERZO HORIZONTAL</v>
          </cell>
          <cell r="F47" t="str">
            <v>M2</v>
          </cell>
          <cell r="G47">
            <v>110909.74394967036</v>
          </cell>
          <cell r="H47">
            <v>1029.4485000000002</v>
          </cell>
          <cell r="I47">
            <v>114175869.54437225</v>
          </cell>
          <cell r="J47">
            <v>0</v>
          </cell>
          <cell r="K47">
            <v>0</v>
          </cell>
          <cell r="L47">
            <v>0</v>
          </cell>
          <cell r="M47">
            <v>0</v>
          </cell>
          <cell r="N47">
            <v>1029.4485000000002</v>
          </cell>
          <cell r="O47">
            <v>114175869.54437225</v>
          </cell>
          <cell r="P47">
            <v>0</v>
          </cell>
        </row>
        <row r="48">
          <cell r="D48" t="str">
            <v>07-04</v>
          </cell>
          <cell r="E48" t="str">
            <v>ELEMENTOS NO ESTRUCTURALES</v>
          </cell>
          <cell r="F48">
            <v>0</v>
          </cell>
          <cell r="G48">
            <v>0</v>
          </cell>
          <cell r="H48">
            <v>0</v>
          </cell>
          <cell r="I48">
            <v>0</v>
          </cell>
          <cell r="J48">
            <v>0</v>
          </cell>
          <cell r="K48">
            <v>0</v>
          </cell>
          <cell r="L48">
            <v>0</v>
          </cell>
          <cell r="M48">
            <v>0</v>
          </cell>
          <cell r="N48">
            <v>0</v>
          </cell>
          <cell r="O48">
            <v>0</v>
          </cell>
          <cell r="P48">
            <v>0</v>
          </cell>
        </row>
        <row r="49">
          <cell r="D49" t="str">
            <v>07-04-010</v>
          </cell>
          <cell r="E49" t="str">
            <v>GROUT PARA MUROS EN BLOQUE Y LADRILLO F'C 12 MPA</v>
          </cell>
          <cell r="F49" t="str">
            <v>M</v>
          </cell>
          <cell r="G49">
            <v>14402.786940264714</v>
          </cell>
          <cell r="H49">
            <v>0</v>
          </cell>
          <cell r="I49">
            <v>0</v>
          </cell>
          <cell r="J49">
            <v>0</v>
          </cell>
          <cell r="K49">
            <v>0</v>
          </cell>
          <cell r="L49">
            <v>0</v>
          </cell>
          <cell r="M49">
            <v>0</v>
          </cell>
          <cell r="N49">
            <v>0</v>
          </cell>
          <cell r="O49">
            <v>0</v>
          </cell>
          <cell r="P49">
            <v>0</v>
          </cell>
        </row>
        <row r="50">
          <cell r="D50" t="str">
            <v>07-04-040</v>
          </cell>
          <cell r="E50" t="str">
            <v>ANCLAJES PARA REFUERZO DOVELAS Ø 1/2" TIPO HIT-RE 500 DE HILTI O EQUIVALENTE</v>
          </cell>
          <cell r="F50" t="str">
            <v>U</v>
          </cell>
          <cell r="G50">
            <v>6370.3690134146682</v>
          </cell>
          <cell r="H50">
            <v>0</v>
          </cell>
          <cell r="I50">
            <v>0</v>
          </cell>
          <cell r="J50">
            <v>0</v>
          </cell>
          <cell r="K50">
            <v>0</v>
          </cell>
          <cell r="L50">
            <v>0</v>
          </cell>
          <cell r="M50">
            <v>0</v>
          </cell>
          <cell r="N50">
            <v>0</v>
          </cell>
          <cell r="O50">
            <v>0</v>
          </cell>
          <cell r="P50">
            <v>0</v>
          </cell>
        </row>
        <row r="51">
          <cell r="D51" t="str">
            <v>07-05</v>
          </cell>
          <cell r="E51" t="str">
            <v>CONCRETOS MENORES</v>
          </cell>
          <cell r="F51">
            <v>0</v>
          </cell>
          <cell r="G51">
            <v>0</v>
          </cell>
          <cell r="H51">
            <v>0</v>
          </cell>
          <cell r="I51">
            <v>23641587.001827072</v>
          </cell>
          <cell r="J51">
            <v>0</v>
          </cell>
          <cell r="K51">
            <v>0</v>
          </cell>
          <cell r="L51">
            <v>0</v>
          </cell>
          <cell r="M51">
            <v>0</v>
          </cell>
          <cell r="N51">
            <v>0</v>
          </cell>
          <cell r="O51">
            <v>23641587.001827072</v>
          </cell>
          <cell r="P51">
            <v>0</v>
          </cell>
        </row>
        <row r="52">
          <cell r="D52" t="str">
            <v>07-05-010</v>
          </cell>
          <cell r="E52" t="str">
            <v>CUELGA/DINTEL EN CONCRETO VISTO F'C 21 MPA PARA FACHADAS A: 0.08 M. x H: 0.25 M. INCLUYE ACERO DE REFUERZO.</v>
          </cell>
          <cell r="F52" t="str">
            <v>M</v>
          </cell>
          <cell r="G52">
            <v>52526.318198897352</v>
          </cell>
          <cell r="H52">
            <v>77.830000000000013</v>
          </cell>
          <cell r="I52">
            <v>4088123.3454201818</v>
          </cell>
          <cell r="J52">
            <v>0</v>
          </cell>
          <cell r="K52">
            <v>0</v>
          </cell>
          <cell r="L52">
            <v>0</v>
          </cell>
          <cell r="M52">
            <v>0</v>
          </cell>
          <cell r="N52">
            <v>77.830000000000013</v>
          </cell>
          <cell r="O52">
            <v>4088123.3454201818</v>
          </cell>
          <cell r="P52">
            <v>0</v>
          </cell>
        </row>
        <row r="53">
          <cell r="D53" t="str">
            <v>07-05-030</v>
          </cell>
          <cell r="E53" t="str">
            <v>LOSETA SILLAR / ESTANTERIA EN CONCRETO VISTO F'C 21 MPA ANCHO VARIABLE A: 0.30 M. A A: 0.40 M. x H: 0.08 M. INCLUYE ACERO DE REFUERZO Y TALON DE BORDE</v>
          </cell>
          <cell r="F53" t="str">
            <v>M</v>
          </cell>
          <cell r="G53">
            <v>60134.516827911095</v>
          </cell>
          <cell r="H53">
            <v>58.960000000000008</v>
          </cell>
          <cell r="I53">
            <v>3545531.1121736388</v>
          </cell>
          <cell r="J53">
            <v>0</v>
          </cell>
          <cell r="K53">
            <v>0</v>
          </cell>
          <cell r="L53">
            <v>0</v>
          </cell>
          <cell r="M53">
            <v>0</v>
          </cell>
          <cell r="N53">
            <v>58.960000000000008</v>
          </cell>
          <cell r="O53">
            <v>3545531.1121736388</v>
          </cell>
          <cell r="P53">
            <v>0</v>
          </cell>
        </row>
        <row r="54">
          <cell r="D54" t="str">
            <v>07-05-040</v>
          </cell>
          <cell r="E54" t="str">
            <v>PLACA DINTEL EN CONCRETO VISTO F'C 21 MPA.  INCLUYE ACERO DE REFUERZO Y TALON DE BORDE</v>
          </cell>
          <cell r="F54" t="str">
            <v>M2</v>
          </cell>
          <cell r="G54">
            <v>121778.92073830303</v>
          </cell>
          <cell r="H54">
            <v>7.8000000000000007</v>
          </cell>
          <cell r="I54">
            <v>949875.58175876376</v>
          </cell>
          <cell r="J54">
            <v>0</v>
          </cell>
          <cell r="K54">
            <v>0</v>
          </cell>
          <cell r="L54">
            <v>0</v>
          </cell>
          <cell r="M54">
            <v>0</v>
          </cell>
          <cell r="N54">
            <v>7.8000000000000007</v>
          </cell>
          <cell r="O54">
            <v>949875.58175876376</v>
          </cell>
          <cell r="P54">
            <v>0</v>
          </cell>
        </row>
        <row r="55">
          <cell r="D55" t="str">
            <v>07-05-050</v>
          </cell>
          <cell r="E55" t="str">
            <v>VIGA TALON EN CONCRETO VISTO F'C 21 MPA A: 0.12 M. x H: 0.21 M. BASE MUROS. INCLUYE ACERO DE REFUERZO</v>
          </cell>
          <cell r="F55" t="str">
            <v>M</v>
          </cell>
          <cell r="G55">
            <v>37349.844070036605</v>
          </cell>
          <cell r="H55">
            <v>241.45999999999989</v>
          </cell>
          <cell r="I55">
            <v>9018493.3491510339</v>
          </cell>
          <cell r="J55">
            <v>0</v>
          </cell>
          <cell r="K55">
            <v>0</v>
          </cell>
          <cell r="L55">
            <v>0</v>
          </cell>
          <cell r="M55">
            <v>0</v>
          </cell>
          <cell r="N55">
            <v>241.45999999999989</v>
          </cell>
          <cell r="O55">
            <v>9018493.3491510339</v>
          </cell>
          <cell r="P55">
            <v>0</v>
          </cell>
        </row>
        <row r="56">
          <cell r="D56" t="str">
            <v>07-05-060</v>
          </cell>
          <cell r="E56" t="str">
            <v>MESON EN CONCRETO F'C 21 MPA - A: 0.35 M. x E: 0.08 M. + TALON LATERAL FORRADO EN GRANO PULIDO. INCLUYE ACERO DE REFUERZO</v>
          </cell>
          <cell r="F56" t="str">
            <v>M</v>
          </cell>
          <cell r="G56">
            <v>125230.05476533581</v>
          </cell>
          <cell r="H56">
            <v>6.69</v>
          </cell>
          <cell r="I56">
            <v>837789.0663800966</v>
          </cell>
          <cell r="J56">
            <v>0</v>
          </cell>
          <cell r="K56">
            <v>0</v>
          </cell>
          <cell r="L56">
            <v>0</v>
          </cell>
          <cell r="M56">
            <v>0</v>
          </cell>
          <cell r="N56">
            <v>6.69</v>
          </cell>
          <cell r="O56">
            <v>837789.0663800966</v>
          </cell>
          <cell r="P56">
            <v>0</v>
          </cell>
        </row>
        <row r="57">
          <cell r="D57" t="str">
            <v>07-05-070</v>
          </cell>
          <cell r="E57" t="str">
            <v>BEBEDERO / POZUELO EN CONCRETO VISTO F'C 21 MPA ACABADO PULIDO - A: 0.45 M. x E: 0.08 M. SEGÚN DETALLE DE PLANOS. INCLUYE ACERO DE REFUERZO</v>
          </cell>
          <cell r="F57" t="str">
            <v>M</v>
          </cell>
          <cell r="G57">
            <v>147733.5893733578</v>
          </cell>
          <cell r="H57">
            <v>2.12</v>
          </cell>
          <cell r="I57">
            <v>313195.20947151852</v>
          </cell>
          <cell r="J57">
            <v>0</v>
          </cell>
          <cell r="K57">
            <v>0</v>
          </cell>
          <cell r="L57">
            <v>0</v>
          </cell>
          <cell r="M57">
            <v>0</v>
          </cell>
          <cell r="N57">
            <v>2.12</v>
          </cell>
          <cell r="O57">
            <v>313195.20947151852</v>
          </cell>
          <cell r="P57">
            <v>0</v>
          </cell>
        </row>
        <row r="58">
          <cell r="D58" t="str">
            <v>07-05-080</v>
          </cell>
          <cell r="E58" t="str">
            <v>LOSETA DINTEL / ALERO EN CONCRETO VISTO F'C 21 MPA A: 0.40 M. - 0.50 M. x H: 0.10 M. INCLUYE ACERO DE REFUERZO Y TALON DE BORDE</v>
          </cell>
          <cell r="F58" t="str">
            <v>M</v>
          </cell>
          <cell r="G58">
            <v>76193.462701690776</v>
          </cell>
          <cell r="H58">
            <v>30.48</v>
          </cell>
          <cell r="I58">
            <v>2322376.7431475348</v>
          </cell>
          <cell r="J58">
            <v>0</v>
          </cell>
          <cell r="K58">
            <v>0</v>
          </cell>
          <cell r="L58">
            <v>0</v>
          </cell>
          <cell r="M58">
            <v>0</v>
          </cell>
          <cell r="N58">
            <v>30.48</v>
          </cell>
          <cell r="O58">
            <v>2322376.7431475348</v>
          </cell>
          <cell r="P58">
            <v>0</v>
          </cell>
        </row>
        <row r="59">
          <cell r="D59" t="str">
            <v>07-05-100</v>
          </cell>
          <cell r="E59" t="str">
            <v>LOSETA + MURETE BANCA EN CONCRETO VISTO F'C 21 MPA A: 0.45 M. x H: 0.52 M. - E: 0.10 M. INCLUYE ACERO DE REFUERZO</v>
          </cell>
          <cell r="F59" t="str">
            <v>M</v>
          </cell>
          <cell r="G59">
            <v>111283.72048240679</v>
          </cell>
          <cell r="H59">
            <v>23.060000000000002</v>
          </cell>
          <cell r="I59">
            <v>2566202.594324301</v>
          </cell>
          <cell r="J59">
            <v>0</v>
          </cell>
          <cell r="K59">
            <v>0</v>
          </cell>
          <cell r="L59">
            <v>0</v>
          </cell>
          <cell r="M59">
            <v>0</v>
          </cell>
          <cell r="N59">
            <v>23.060000000000002</v>
          </cell>
          <cell r="O59">
            <v>2566202.594324301</v>
          </cell>
          <cell r="P59">
            <v>0</v>
          </cell>
        </row>
        <row r="60">
          <cell r="D60" t="str">
            <v>07-06</v>
          </cell>
          <cell r="E60" t="str">
            <v>ACERO DE REFUERZO PARA MAMPOSTERIAS</v>
          </cell>
          <cell r="F60">
            <v>0</v>
          </cell>
          <cell r="G60">
            <v>0</v>
          </cell>
          <cell r="H60">
            <v>0</v>
          </cell>
          <cell r="I60">
            <v>0</v>
          </cell>
          <cell r="J60">
            <v>0</v>
          </cell>
          <cell r="K60">
            <v>0</v>
          </cell>
          <cell r="L60">
            <v>0</v>
          </cell>
          <cell r="M60">
            <v>0</v>
          </cell>
          <cell r="N60">
            <v>0</v>
          </cell>
          <cell r="O60">
            <v>0</v>
          </cell>
          <cell r="P60">
            <v>0</v>
          </cell>
        </row>
        <row r="61">
          <cell r="D61" t="str">
            <v>07-06-010</v>
          </cell>
          <cell r="E61" t="str">
            <v>ACERO DE REFUERZO FY 420 MPA PARA MAMPOSTERIAS</v>
          </cell>
          <cell r="F61" t="str">
            <v>KG</v>
          </cell>
          <cell r="G61">
            <v>4099.9879852941176</v>
          </cell>
          <cell r="H61">
            <v>0</v>
          </cell>
          <cell r="I61">
            <v>0</v>
          </cell>
          <cell r="J61">
            <v>0</v>
          </cell>
          <cell r="K61">
            <v>0</v>
          </cell>
          <cell r="L61">
            <v>0</v>
          </cell>
          <cell r="M61">
            <v>0</v>
          </cell>
          <cell r="N61">
            <v>0</v>
          </cell>
          <cell r="O61">
            <v>0</v>
          </cell>
          <cell r="P61">
            <v>0</v>
          </cell>
        </row>
        <row r="62">
          <cell r="D62" t="str">
            <v>08</v>
          </cell>
          <cell r="E62" t="str">
            <v>CUBIERTAS Y CIELOS</v>
          </cell>
          <cell r="F62">
            <v>0</v>
          </cell>
          <cell r="G62">
            <v>0</v>
          </cell>
          <cell r="H62">
            <v>0</v>
          </cell>
          <cell r="I62">
            <v>80716307.223664641</v>
          </cell>
          <cell r="J62">
            <v>0</v>
          </cell>
          <cell r="K62">
            <v>0</v>
          </cell>
          <cell r="L62">
            <v>0</v>
          </cell>
          <cell r="M62">
            <v>0</v>
          </cell>
          <cell r="N62">
            <v>0</v>
          </cell>
          <cell r="O62">
            <v>0</v>
          </cell>
          <cell r="P62">
            <v>80716307.223664641</v>
          </cell>
        </row>
        <row r="63">
          <cell r="D63" t="str">
            <v>08-01</v>
          </cell>
          <cell r="E63" t="str">
            <v>CUBIERTAS</v>
          </cell>
          <cell r="F63">
            <v>0</v>
          </cell>
          <cell r="G63">
            <v>0</v>
          </cell>
          <cell r="H63">
            <v>0</v>
          </cell>
          <cell r="I63">
            <v>72198679.560000002</v>
          </cell>
          <cell r="J63">
            <v>0</v>
          </cell>
          <cell r="K63">
            <v>0</v>
          </cell>
          <cell r="L63">
            <v>0</v>
          </cell>
          <cell r="M63">
            <v>0</v>
          </cell>
          <cell r="N63">
            <v>0</v>
          </cell>
          <cell r="O63">
            <v>72198679.560000002</v>
          </cell>
          <cell r="P63">
            <v>0</v>
          </cell>
        </row>
        <row r="64">
          <cell r="D64" t="str">
            <v>08-01-010</v>
          </cell>
          <cell r="E64" t="str">
            <v>TEJA DE CUBIERTA TIPO STANDING SEAM ROOF DE CUBIERTEC O EQUIVALENTE. LAMINA DE ALUZINC CAL 26 + AISLAMIENTO TERMOACUSTICO EN POLIURETANO 38 MM. INCLUYE FIJACIONES A ESTRUCTURA METALICA.</v>
          </cell>
          <cell r="F64" t="str">
            <v>M2</v>
          </cell>
          <cell r="G64">
            <v>101094</v>
          </cell>
          <cell r="H64">
            <v>563.34</v>
          </cell>
          <cell r="I64">
            <v>56950293.960000001</v>
          </cell>
          <cell r="J64">
            <v>0</v>
          </cell>
          <cell r="K64">
            <v>0</v>
          </cell>
          <cell r="L64">
            <v>0</v>
          </cell>
          <cell r="M64">
            <v>0</v>
          </cell>
          <cell r="N64">
            <v>563.34</v>
          </cell>
          <cell r="O64">
            <v>56950293.960000001</v>
          </cell>
          <cell r="P64">
            <v>0</v>
          </cell>
        </row>
        <row r="65">
          <cell r="D65" t="str">
            <v>08-01-020</v>
          </cell>
          <cell r="E65" t="str">
            <v>TEJA DE CUBIERTA PERGOLAS EN POLICARBONATO ALVEOLAR 6 MM. POLISHADE DE ARKOS O EQUIVALENTE. INCLUYE FIJACIONES A ESTRUCTURA METALICA.</v>
          </cell>
          <cell r="F65" t="str">
            <v>M2</v>
          </cell>
          <cell r="G65">
            <v>97440</v>
          </cell>
          <cell r="H65">
            <v>156.49</v>
          </cell>
          <cell r="I65">
            <v>15248385.600000001</v>
          </cell>
          <cell r="J65">
            <v>0</v>
          </cell>
          <cell r="K65">
            <v>0</v>
          </cell>
          <cell r="L65">
            <v>0</v>
          </cell>
          <cell r="M65">
            <v>0</v>
          </cell>
          <cell r="N65">
            <v>156.49</v>
          </cell>
          <cell r="O65">
            <v>15248385.600000001</v>
          </cell>
          <cell r="P65">
            <v>0</v>
          </cell>
        </row>
        <row r="66">
          <cell r="D66" t="str">
            <v>08-02</v>
          </cell>
          <cell r="E66" t="str">
            <v>CIELO FALSO</v>
          </cell>
          <cell r="F66">
            <v>0</v>
          </cell>
          <cell r="G66">
            <v>0</v>
          </cell>
          <cell r="H66">
            <v>0</v>
          </cell>
          <cell r="I66">
            <v>0</v>
          </cell>
          <cell r="J66">
            <v>0</v>
          </cell>
          <cell r="K66">
            <v>0</v>
          </cell>
          <cell r="L66">
            <v>0</v>
          </cell>
          <cell r="M66">
            <v>0</v>
          </cell>
          <cell r="N66">
            <v>0</v>
          </cell>
          <cell r="O66">
            <v>0</v>
          </cell>
          <cell r="P66">
            <v>0</v>
          </cell>
        </row>
        <row r="67">
          <cell r="D67" t="str">
            <v>08-04</v>
          </cell>
          <cell r="E67" t="str">
            <v>ACCESORIOS</v>
          </cell>
          <cell r="F67">
            <v>0</v>
          </cell>
          <cell r="G67">
            <v>0</v>
          </cell>
          <cell r="H67">
            <v>0</v>
          </cell>
          <cell r="I67">
            <v>8517627.663664639</v>
          </cell>
          <cell r="J67">
            <v>0</v>
          </cell>
          <cell r="K67">
            <v>0</v>
          </cell>
          <cell r="L67">
            <v>0</v>
          </cell>
          <cell r="M67">
            <v>0</v>
          </cell>
          <cell r="N67">
            <v>0</v>
          </cell>
          <cell r="O67">
            <v>8517627.663664639</v>
          </cell>
          <cell r="P67">
            <v>0</v>
          </cell>
        </row>
        <row r="68">
          <cell r="D68" t="str">
            <v>08-04-010</v>
          </cell>
          <cell r="E68" t="str">
            <v>RUANA EN LAMINA DE ALUZINC CAL 18. DESARROLLO L: 0.30 M. INCLUYE ANCLAJES A MUROS Y/O ESTRUCTURA Y PINTURA DE ACABADO.</v>
          </cell>
          <cell r="F68" t="str">
            <v>M</v>
          </cell>
          <cell r="G68">
            <v>40107.863704574847</v>
          </cell>
          <cell r="H68">
            <v>118.11000000000001</v>
          </cell>
          <cell r="I68">
            <v>4737139.7821473358</v>
          </cell>
          <cell r="J68">
            <v>0</v>
          </cell>
          <cell r="K68">
            <v>0</v>
          </cell>
          <cell r="L68">
            <v>0</v>
          </cell>
          <cell r="M68">
            <v>0</v>
          </cell>
          <cell r="N68">
            <v>118.11000000000001</v>
          </cell>
          <cell r="O68">
            <v>4737139.7821473358</v>
          </cell>
          <cell r="P68">
            <v>0</v>
          </cell>
        </row>
        <row r="69">
          <cell r="D69" t="str">
            <v>08-04-030</v>
          </cell>
          <cell r="E69" t="str">
            <v>CANOA EN LAMINA DE ALUZINC CAL 18. DESARROLLO L: 0.70 M. INCLUYE ANCLAJES A MUROS Y/O ESTRUCTURA Y PINTURA DE ACABADO.</v>
          </cell>
          <cell r="F69" t="str">
            <v>M</v>
          </cell>
          <cell r="G69">
            <v>54789.679442279768</v>
          </cell>
          <cell r="H69">
            <v>69</v>
          </cell>
          <cell r="I69">
            <v>3780487.8815173041</v>
          </cell>
          <cell r="J69">
            <v>0</v>
          </cell>
          <cell r="K69">
            <v>0</v>
          </cell>
          <cell r="L69">
            <v>0</v>
          </cell>
          <cell r="M69">
            <v>0</v>
          </cell>
          <cell r="N69">
            <v>69</v>
          </cell>
          <cell r="O69">
            <v>3780487.8815173041</v>
          </cell>
          <cell r="P69">
            <v>0</v>
          </cell>
        </row>
        <row r="70">
          <cell r="D70" t="str">
            <v>09</v>
          </cell>
          <cell r="E70" t="str">
            <v>RECUBRIMIENTOS</v>
          </cell>
          <cell r="F70">
            <v>0</v>
          </cell>
          <cell r="G70">
            <v>0</v>
          </cell>
          <cell r="H70">
            <v>0</v>
          </cell>
          <cell r="I70">
            <v>28990540.590956412</v>
          </cell>
          <cell r="J70">
            <v>0</v>
          </cell>
          <cell r="K70">
            <v>0</v>
          </cell>
          <cell r="L70">
            <v>0</v>
          </cell>
          <cell r="M70">
            <v>0</v>
          </cell>
          <cell r="N70">
            <v>0</v>
          </cell>
          <cell r="O70">
            <v>0</v>
          </cell>
          <cell r="P70">
            <v>28990540.590956412</v>
          </cell>
        </row>
        <row r="71">
          <cell r="D71" t="str">
            <v>09-01</v>
          </cell>
          <cell r="E71" t="str">
            <v>REVOQUES</v>
          </cell>
          <cell r="F71">
            <v>0</v>
          </cell>
          <cell r="G71">
            <v>0</v>
          </cell>
          <cell r="H71">
            <v>0</v>
          </cell>
          <cell r="I71">
            <v>656972.96707885864</v>
          </cell>
          <cell r="J71">
            <v>0</v>
          </cell>
          <cell r="K71">
            <v>0</v>
          </cell>
          <cell r="L71">
            <v>0</v>
          </cell>
          <cell r="M71">
            <v>0</v>
          </cell>
          <cell r="N71">
            <v>0</v>
          </cell>
          <cell r="O71">
            <v>656972.96707885864</v>
          </cell>
          <cell r="P71">
            <v>0</v>
          </cell>
        </row>
        <row r="72">
          <cell r="D72" t="str">
            <v>09-01-010</v>
          </cell>
          <cell r="E72" t="str">
            <v>REVOQUE PARA MUROS. INCLUYE FAJAS, RANURAS Y FILETES</v>
          </cell>
          <cell r="F72" t="str">
            <v>M2</v>
          </cell>
          <cell r="G72">
            <v>21583.121996598416</v>
          </cell>
          <cell r="H72">
            <v>30.439200000000003</v>
          </cell>
          <cell r="I72">
            <v>656972.96707885864</v>
          </cell>
          <cell r="J72">
            <v>0</v>
          </cell>
          <cell r="K72">
            <v>0</v>
          </cell>
          <cell r="L72">
            <v>0</v>
          </cell>
          <cell r="M72">
            <v>0</v>
          </cell>
          <cell r="N72">
            <v>30.439200000000003</v>
          </cell>
          <cell r="O72">
            <v>656972.96707885864</v>
          </cell>
          <cell r="P72">
            <v>0</v>
          </cell>
        </row>
        <row r="73">
          <cell r="D73" t="str">
            <v>09-02</v>
          </cell>
          <cell r="E73" t="str">
            <v>ENCHAPES</v>
          </cell>
          <cell r="F73">
            <v>0</v>
          </cell>
          <cell r="G73">
            <v>0</v>
          </cell>
          <cell r="H73">
            <v>0</v>
          </cell>
          <cell r="I73">
            <v>14726115.904298436</v>
          </cell>
          <cell r="J73">
            <v>0</v>
          </cell>
          <cell r="K73">
            <v>0</v>
          </cell>
          <cell r="L73">
            <v>0</v>
          </cell>
          <cell r="M73">
            <v>0</v>
          </cell>
          <cell r="N73">
            <v>0</v>
          </cell>
          <cell r="O73">
            <v>14726115.904298436</v>
          </cell>
          <cell r="P73">
            <v>0</v>
          </cell>
        </row>
        <row r="74">
          <cell r="D74" t="str">
            <v>09-02-010</v>
          </cell>
          <cell r="E74" t="str">
            <v>ENCHAPE DE BAÑOS EN CERAMICA REF. MIRAFLORES 35x25 DE CORONA O EQUIVALENTE COLOR BLANCO.</v>
          </cell>
          <cell r="F74" t="str">
            <v>M2</v>
          </cell>
          <cell r="G74">
            <v>54307.843925216599</v>
          </cell>
          <cell r="H74">
            <v>248.5575</v>
          </cell>
          <cell r="I74">
            <v>13498621.916442025</v>
          </cell>
          <cell r="J74">
            <v>0</v>
          </cell>
          <cell r="K74">
            <v>0</v>
          </cell>
          <cell r="L74">
            <v>0</v>
          </cell>
          <cell r="M74">
            <v>0</v>
          </cell>
          <cell r="N74">
            <v>248.5575</v>
          </cell>
          <cell r="O74">
            <v>13498621.916442025</v>
          </cell>
          <cell r="P74">
            <v>0</v>
          </cell>
        </row>
        <row r="75">
          <cell r="D75" t="str">
            <v>09-02-020</v>
          </cell>
          <cell r="E75" t="str">
            <v>REMATE SUPERIOR DE ENCHAPES EN DILATACION DE ALUMINIO 1x2 CM.</v>
          </cell>
          <cell r="F75" t="str">
            <v>M</v>
          </cell>
          <cell r="G75">
            <v>7353.3456410256422</v>
          </cell>
          <cell r="H75">
            <v>104.68</v>
          </cell>
          <cell r="I75">
            <v>769748.22170256427</v>
          </cell>
          <cell r="J75">
            <v>0</v>
          </cell>
          <cell r="K75">
            <v>0</v>
          </cell>
          <cell r="L75">
            <v>0</v>
          </cell>
          <cell r="M75">
            <v>0</v>
          </cell>
          <cell r="N75">
            <v>104.68</v>
          </cell>
          <cell r="O75">
            <v>769748.22170256427</v>
          </cell>
          <cell r="P75">
            <v>0</v>
          </cell>
        </row>
        <row r="76">
          <cell r="D76" t="str">
            <v>09-02-030</v>
          </cell>
          <cell r="E76" t="str">
            <v>REMATE ESQUINEROS ENCHAPES EN DILATACION DE ALUMINIO</v>
          </cell>
          <cell r="F76" t="str">
            <v>M</v>
          </cell>
          <cell r="G76">
            <v>7353.3456410256422</v>
          </cell>
          <cell r="H76">
            <v>62.25</v>
          </cell>
          <cell r="I76">
            <v>457745.76615384623</v>
          </cell>
          <cell r="J76">
            <v>0</v>
          </cell>
          <cell r="K76">
            <v>0</v>
          </cell>
          <cell r="L76">
            <v>0</v>
          </cell>
          <cell r="M76">
            <v>0</v>
          </cell>
          <cell r="N76">
            <v>62.25</v>
          </cell>
          <cell r="O76">
            <v>457745.76615384623</v>
          </cell>
          <cell r="P76">
            <v>0</v>
          </cell>
        </row>
        <row r="77">
          <cell r="D77" t="str">
            <v>09-03</v>
          </cell>
          <cell r="E77" t="str">
            <v>ESTUCOS Y PINTURAS</v>
          </cell>
          <cell r="F77">
            <v>0</v>
          </cell>
          <cell r="G77">
            <v>0</v>
          </cell>
          <cell r="H77">
            <v>0</v>
          </cell>
          <cell r="I77">
            <v>352560.59500310366</v>
          </cell>
          <cell r="J77">
            <v>0</v>
          </cell>
          <cell r="K77">
            <v>0</v>
          </cell>
          <cell r="L77">
            <v>0</v>
          </cell>
          <cell r="M77">
            <v>0</v>
          </cell>
          <cell r="N77">
            <v>0</v>
          </cell>
          <cell r="O77">
            <v>352560.59500310366</v>
          </cell>
          <cell r="P77">
            <v>0</v>
          </cell>
        </row>
        <row r="78">
          <cell r="D78" t="str">
            <v>09-03-010</v>
          </cell>
          <cell r="E78" t="str">
            <v xml:space="preserve">PINTURA ACRILICA PARA MUROS TIPO SIKACOLOR F DE SIKA O EQUIVALENTE - 3 MANOS. </v>
          </cell>
          <cell r="F78" t="str">
            <v>M2</v>
          </cell>
          <cell r="G78">
            <v>11582.452725534955</v>
          </cell>
          <cell r="H78">
            <v>30.439200000000003</v>
          </cell>
          <cell r="I78">
            <v>352560.59500310366</v>
          </cell>
          <cell r="J78">
            <v>0</v>
          </cell>
          <cell r="K78">
            <v>0</v>
          </cell>
          <cell r="L78">
            <v>0</v>
          </cell>
          <cell r="M78">
            <v>0</v>
          </cell>
          <cell r="N78">
            <v>30.439200000000003</v>
          </cell>
          <cell r="O78">
            <v>352560.59500310366</v>
          </cell>
          <cell r="P78">
            <v>0</v>
          </cell>
        </row>
        <row r="79">
          <cell r="D79" t="str">
            <v>09-04</v>
          </cell>
          <cell r="E79" t="str">
            <v>LAVADO + HIDROFUGO FACHADAS Y/O CONCRETOS</v>
          </cell>
          <cell r="F79">
            <v>0</v>
          </cell>
          <cell r="G79">
            <v>0</v>
          </cell>
          <cell r="H79">
            <v>0</v>
          </cell>
          <cell r="I79">
            <v>13254891.12457601</v>
          </cell>
          <cell r="J79">
            <v>0</v>
          </cell>
          <cell r="K79">
            <v>0</v>
          </cell>
          <cell r="L79">
            <v>0</v>
          </cell>
          <cell r="M79">
            <v>0</v>
          </cell>
          <cell r="N79">
            <v>0</v>
          </cell>
          <cell r="O79">
            <v>13254891.12457601</v>
          </cell>
          <cell r="P79">
            <v>0</v>
          </cell>
        </row>
        <row r="80">
          <cell r="D80" t="str">
            <v>09-04-010</v>
          </cell>
          <cell r="E80" t="str">
            <v>LAVADO DE MUROS/CONCRETOS CON AGUA A PRESION</v>
          </cell>
          <cell r="F80" t="str">
            <v>M2</v>
          </cell>
          <cell r="G80">
            <v>3307.2</v>
          </cell>
          <cell r="H80">
            <v>2058.8970000000004</v>
          </cell>
          <cell r="I80">
            <v>6809184.158400001</v>
          </cell>
          <cell r="J80">
            <v>0</v>
          </cell>
          <cell r="K80">
            <v>0</v>
          </cell>
          <cell r="L80">
            <v>0</v>
          </cell>
          <cell r="M80">
            <v>0</v>
          </cell>
          <cell r="N80">
            <v>2058.8970000000004</v>
          </cell>
          <cell r="O80">
            <v>6809184.158400001</v>
          </cell>
          <cell r="P80">
            <v>0</v>
          </cell>
        </row>
        <row r="81">
          <cell r="D81" t="str">
            <v>09-04-020</v>
          </cell>
          <cell r="E81" t="str">
            <v>HIDROFUGO CON SIKA TRANSPARENTE 10 DE SIKA O EQUIVALENTE</v>
          </cell>
          <cell r="F81" t="str">
            <v>M2</v>
          </cell>
          <cell r="G81">
            <v>6261.3204703061965</v>
          </cell>
          <cell r="H81">
            <v>1029.4485000000002</v>
          </cell>
          <cell r="I81">
            <v>6445706.9661760097</v>
          </cell>
          <cell r="J81">
            <v>0</v>
          </cell>
          <cell r="K81">
            <v>0</v>
          </cell>
          <cell r="L81">
            <v>0</v>
          </cell>
          <cell r="M81">
            <v>0</v>
          </cell>
          <cell r="N81">
            <v>1029.4485000000002</v>
          </cell>
          <cell r="O81">
            <v>6445706.9661760097</v>
          </cell>
          <cell r="P81">
            <v>0</v>
          </cell>
        </row>
        <row r="82">
          <cell r="D82" t="str">
            <v>10</v>
          </cell>
          <cell r="E82" t="str">
            <v>PISOS Y ZOCALOS</v>
          </cell>
          <cell r="F82">
            <v>0</v>
          </cell>
          <cell r="G82">
            <v>0</v>
          </cell>
          <cell r="H82">
            <v>0</v>
          </cell>
          <cell r="I82">
            <v>60774550.980118699</v>
          </cell>
          <cell r="J82">
            <v>0</v>
          </cell>
          <cell r="K82">
            <v>0</v>
          </cell>
          <cell r="L82">
            <v>0</v>
          </cell>
          <cell r="M82">
            <v>0</v>
          </cell>
          <cell r="N82">
            <v>0</v>
          </cell>
          <cell r="O82">
            <v>0</v>
          </cell>
          <cell r="P82">
            <v>60774550.980118699</v>
          </cell>
        </row>
        <row r="83">
          <cell r="D83" t="str">
            <v>10-01</v>
          </cell>
          <cell r="E83" t="str">
            <v>ACABADOS DE PISO</v>
          </cell>
          <cell r="F83">
            <v>0</v>
          </cell>
          <cell r="G83">
            <v>0</v>
          </cell>
          <cell r="H83">
            <v>0</v>
          </cell>
          <cell r="I83">
            <v>56098410.014191508</v>
          </cell>
          <cell r="J83">
            <v>0</v>
          </cell>
          <cell r="K83">
            <v>0</v>
          </cell>
          <cell r="L83">
            <v>0</v>
          </cell>
          <cell r="M83">
            <v>0</v>
          </cell>
          <cell r="N83">
            <v>0</v>
          </cell>
          <cell r="O83">
            <v>56098410.014191508</v>
          </cell>
          <cell r="P83">
            <v>0</v>
          </cell>
        </row>
        <row r="84">
          <cell r="D84" t="str">
            <v>10-01-020</v>
          </cell>
          <cell r="E84" t="str">
            <v>PISO EN BALDOSA DE GRANO FORMATO 30x30 TONALIDADES BLANCO, GRIS, OCRES + GRANO PIEDRA SAN GIL. INCLUYE CONCRETO DE BASE F'C 21 MPA E: 0.04 M., PULIDA Y BRILLADA.</v>
          </cell>
          <cell r="F84" t="str">
            <v>M2</v>
          </cell>
          <cell r="G84">
            <v>119885.12741130406</v>
          </cell>
          <cell r="H84">
            <v>398.78</v>
          </cell>
          <cell r="I84">
            <v>47807791.10907983</v>
          </cell>
          <cell r="J84">
            <v>0</v>
          </cell>
          <cell r="K84">
            <v>0</v>
          </cell>
          <cell r="L84">
            <v>0</v>
          </cell>
          <cell r="M84">
            <v>0</v>
          </cell>
          <cell r="N84">
            <v>398.78</v>
          </cell>
          <cell r="O84">
            <v>47807791.10907983</v>
          </cell>
          <cell r="P84">
            <v>0</v>
          </cell>
        </row>
        <row r="85">
          <cell r="D85" t="str">
            <v>10-01-300</v>
          </cell>
          <cell r="E85" t="str">
            <v>PISO EN CONCRETO PULIDO Y ENDURECIDO E: 0.10 M. CON SIKAFLOOR 3-QUARTZ TOP DE SIKA O EQUIVALENTE.</v>
          </cell>
          <cell r="F85" t="str">
            <v>M2</v>
          </cell>
          <cell r="G85">
            <v>74475.556100536094</v>
          </cell>
          <cell r="H85">
            <v>111.32</v>
          </cell>
          <cell r="I85">
            <v>8290618.9051116779</v>
          </cell>
          <cell r="J85">
            <v>0</v>
          </cell>
          <cell r="K85">
            <v>0</v>
          </cell>
          <cell r="L85">
            <v>0</v>
          </cell>
          <cell r="M85">
            <v>0</v>
          </cell>
          <cell r="N85">
            <v>111.32</v>
          </cell>
          <cell r="O85">
            <v>8290618.9051116779</v>
          </cell>
          <cell r="P85">
            <v>0</v>
          </cell>
        </row>
        <row r="86">
          <cell r="D86" t="str">
            <v>10-02</v>
          </cell>
          <cell r="E86" t="str">
            <v>ZOCALOS Y ENCHARQUES</v>
          </cell>
          <cell r="F86">
            <v>0</v>
          </cell>
          <cell r="G86">
            <v>0</v>
          </cell>
          <cell r="H86">
            <v>0</v>
          </cell>
          <cell r="I86">
            <v>4676140.965927192</v>
          </cell>
          <cell r="J86">
            <v>0</v>
          </cell>
          <cell r="K86">
            <v>0</v>
          </cell>
          <cell r="L86">
            <v>0</v>
          </cell>
          <cell r="M86">
            <v>0</v>
          </cell>
          <cell r="N86">
            <v>0</v>
          </cell>
          <cell r="O86">
            <v>4676140.965927192</v>
          </cell>
          <cell r="P86">
            <v>0</v>
          </cell>
        </row>
        <row r="87">
          <cell r="D87" t="str">
            <v>10-02-020</v>
          </cell>
          <cell r="E87" t="str">
            <v>ZOCALO MEDIA CAÑA EN GRANITO VACIADO, PULIDO Y BRILLADO TONALIDADES BLANCO, GRIS, OCRES + GRANO PIEDRA SAN GIL H: 0.10 M. INCLUYE DILATACIONES EN ALUMINIO</v>
          </cell>
          <cell r="F87" t="str">
            <v>M</v>
          </cell>
          <cell r="G87">
            <v>44670.815494145885</v>
          </cell>
          <cell r="H87">
            <v>104.68</v>
          </cell>
          <cell r="I87">
            <v>4676140.965927192</v>
          </cell>
          <cell r="J87">
            <v>0</v>
          </cell>
          <cell r="K87">
            <v>0</v>
          </cell>
          <cell r="L87">
            <v>0</v>
          </cell>
          <cell r="M87">
            <v>0</v>
          </cell>
          <cell r="N87">
            <v>104.68</v>
          </cell>
          <cell r="O87">
            <v>4676140.965927192</v>
          </cell>
          <cell r="P87">
            <v>0</v>
          </cell>
        </row>
        <row r="88">
          <cell r="D88" t="str">
            <v>11</v>
          </cell>
          <cell r="E88" t="str">
            <v>CARPINTERIA METALICA / PVC (Todas las puertas y vidrieras incluyen cerraduras y haladeras según los detalles arquitectonicos)</v>
          </cell>
          <cell r="F88">
            <v>0</v>
          </cell>
          <cell r="G88">
            <v>0</v>
          </cell>
          <cell r="H88">
            <v>0</v>
          </cell>
          <cell r="I88">
            <v>1343106.0000000002</v>
          </cell>
          <cell r="J88">
            <v>0</v>
          </cell>
          <cell r="K88">
            <v>0</v>
          </cell>
          <cell r="L88">
            <v>0</v>
          </cell>
          <cell r="M88">
            <v>0</v>
          </cell>
          <cell r="N88">
            <v>0</v>
          </cell>
          <cell r="O88">
            <v>0</v>
          </cell>
          <cell r="P88">
            <v>1343106.0000000002</v>
          </cell>
        </row>
        <row r="89">
          <cell r="D89" t="str">
            <v>11-01</v>
          </cell>
          <cell r="E89" t="str">
            <v>VENTANAS</v>
          </cell>
          <cell r="F89">
            <v>0</v>
          </cell>
          <cell r="G89">
            <v>0</v>
          </cell>
          <cell r="H89">
            <v>0</v>
          </cell>
          <cell r="I89">
            <v>0</v>
          </cell>
          <cell r="J89">
            <v>0</v>
          </cell>
          <cell r="K89">
            <v>0</v>
          </cell>
          <cell r="L89">
            <v>0</v>
          </cell>
          <cell r="M89">
            <v>0</v>
          </cell>
          <cell r="N89">
            <v>0</v>
          </cell>
          <cell r="O89">
            <v>0</v>
          </cell>
          <cell r="P89">
            <v>0</v>
          </cell>
        </row>
        <row r="90">
          <cell r="D90" t="str">
            <v>11-01-010</v>
          </cell>
          <cell r="E90" t="str">
            <v>VENTANA V-1 (3.95x0.50).  MARCO + ALA EN ALUMINIO ANODIZADO NATURAL. VIDRIO TEMPLADO LAMINADO. CUERPOS BASCULANTES</v>
          </cell>
          <cell r="F90" t="str">
            <v>UN</v>
          </cell>
          <cell r="G90">
            <v>0</v>
          </cell>
          <cell r="H90">
            <v>4</v>
          </cell>
          <cell r="I90">
            <v>0</v>
          </cell>
          <cell r="J90">
            <v>0</v>
          </cell>
          <cell r="K90">
            <v>0</v>
          </cell>
          <cell r="L90">
            <v>0</v>
          </cell>
          <cell r="M90">
            <v>0</v>
          </cell>
          <cell r="N90">
            <v>4</v>
          </cell>
          <cell r="O90">
            <v>0</v>
          </cell>
          <cell r="P90">
            <v>0</v>
          </cell>
        </row>
        <row r="91">
          <cell r="D91" t="str">
            <v>11-01-020</v>
          </cell>
          <cell r="E91" t="str">
            <v>VENTANA V-2 (5.95x0.45).  MARCO + ALA EN ALUMINIO ANODIZADO NATURAL. VIDRIO TEMPLADO LAMINADO. CUERPOS BASCULANTES</v>
          </cell>
          <cell r="F91" t="str">
            <v>UN</v>
          </cell>
          <cell r="G91">
            <v>0</v>
          </cell>
          <cell r="H91">
            <v>4</v>
          </cell>
          <cell r="I91">
            <v>0</v>
          </cell>
          <cell r="J91">
            <v>0</v>
          </cell>
          <cell r="K91">
            <v>0</v>
          </cell>
          <cell r="L91">
            <v>0</v>
          </cell>
          <cell r="M91">
            <v>0</v>
          </cell>
          <cell r="N91">
            <v>4</v>
          </cell>
          <cell r="O91">
            <v>0</v>
          </cell>
          <cell r="P91">
            <v>0</v>
          </cell>
        </row>
        <row r="92">
          <cell r="D92" t="str">
            <v>11-01-030</v>
          </cell>
          <cell r="E92" t="str">
            <v>VENTANA V-3 (4.17x0.45).  MARCO + ALA EN ALUMINIO ANODIZADO NATURAL. VIDRIO TEMPLADO LAMINADO. CUERPOS BASCULANTES</v>
          </cell>
          <cell r="F92" t="str">
            <v>UN</v>
          </cell>
          <cell r="G92">
            <v>0</v>
          </cell>
          <cell r="H92">
            <v>1</v>
          </cell>
          <cell r="I92">
            <v>0</v>
          </cell>
          <cell r="J92">
            <v>0</v>
          </cell>
          <cell r="K92">
            <v>0</v>
          </cell>
          <cell r="L92">
            <v>0</v>
          </cell>
          <cell r="M92">
            <v>0</v>
          </cell>
          <cell r="N92">
            <v>1</v>
          </cell>
          <cell r="O92">
            <v>0</v>
          </cell>
          <cell r="P92">
            <v>0</v>
          </cell>
        </row>
        <row r="93">
          <cell r="D93" t="str">
            <v>11-01-040</v>
          </cell>
          <cell r="E93" t="str">
            <v>VENTANA V-4 (5.25x0.50).  MARCO + ALA EN ALUMINIO ANODIZADO NATURAL. VIDRIO TEMPLADO LAMINADO. CUERPOS BASCULANTES</v>
          </cell>
          <cell r="F93" t="str">
            <v>UN</v>
          </cell>
          <cell r="G93">
            <v>0</v>
          </cell>
          <cell r="H93">
            <v>1</v>
          </cell>
          <cell r="I93">
            <v>0</v>
          </cell>
          <cell r="J93">
            <v>0</v>
          </cell>
          <cell r="K93">
            <v>0</v>
          </cell>
          <cell r="L93">
            <v>0</v>
          </cell>
          <cell r="M93">
            <v>0</v>
          </cell>
          <cell r="N93">
            <v>1</v>
          </cell>
          <cell r="O93">
            <v>0</v>
          </cell>
          <cell r="P93">
            <v>0</v>
          </cell>
        </row>
        <row r="94">
          <cell r="D94" t="str">
            <v>11-01-050</v>
          </cell>
          <cell r="E94" t="str">
            <v>VENTANA V-5 (2.00x0.45).  MARCO + ALA EN ALUMINIO ANODIZADO NATURAL. VIDRIO TEMPLADO LAMINADO. CUERPOS BASCULANTES</v>
          </cell>
          <cell r="F94" t="str">
            <v>UN</v>
          </cell>
          <cell r="G94">
            <v>0</v>
          </cell>
          <cell r="H94">
            <v>1</v>
          </cell>
          <cell r="I94">
            <v>0</v>
          </cell>
          <cell r="J94">
            <v>0</v>
          </cell>
          <cell r="K94">
            <v>0</v>
          </cell>
          <cell r="L94">
            <v>0</v>
          </cell>
          <cell r="M94">
            <v>0</v>
          </cell>
          <cell r="N94">
            <v>1</v>
          </cell>
          <cell r="O94">
            <v>0</v>
          </cell>
          <cell r="P94">
            <v>0</v>
          </cell>
        </row>
        <row r="95">
          <cell r="D95" t="str">
            <v>11-01-060</v>
          </cell>
          <cell r="E95" t="str">
            <v>VENTANA V-6 (4.85x0.45).  MARCO + ALA EN ALUMINIO ANODIZADO NATURAL. VIDRIO TEMPLADO LAMINADO. CUERPOS BASCULANTES</v>
          </cell>
          <cell r="F95" t="str">
            <v>UN</v>
          </cell>
          <cell r="G95">
            <v>0</v>
          </cell>
          <cell r="H95">
            <v>1</v>
          </cell>
          <cell r="I95">
            <v>0</v>
          </cell>
          <cell r="J95">
            <v>0</v>
          </cell>
          <cell r="K95">
            <v>0</v>
          </cell>
          <cell r="L95">
            <v>0</v>
          </cell>
          <cell r="M95">
            <v>0</v>
          </cell>
          <cell r="N95">
            <v>1</v>
          </cell>
          <cell r="O95">
            <v>0</v>
          </cell>
          <cell r="P95">
            <v>0</v>
          </cell>
        </row>
        <row r="96">
          <cell r="D96" t="str">
            <v>11-01-070</v>
          </cell>
          <cell r="E96" t="str">
            <v>VENTANA V-7 (5.41x0.45).  MARCO + ALA EN ALUMINIO ANODIZADO NATURAL. VIDRIO TEMPLADO LAMINADO. CUERPOS BASCULANTES</v>
          </cell>
          <cell r="F96" t="str">
            <v>UN</v>
          </cell>
          <cell r="G96">
            <v>0</v>
          </cell>
          <cell r="H96">
            <v>2</v>
          </cell>
          <cell r="I96">
            <v>0</v>
          </cell>
          <cell r="J96">
            <v>0</v>
          </cell>
          <cell r="K96">
            <v>0</v>
          </cell>
          <cell r="L96">
            <v>0</v>
          </cell>
          <cell r="M96">
            <v>0</v>
          </cell>
          <cell r="N96">
            <v>2</v>
          </cell>
          <cell r="O96">
            <v>0</v>
          </cell>
          <cell r="P96">
            <v>0</v>
          </cell>
        </row>
        <row r="97">
          <cell r="D97" t="str">
            <v>11-01-080</v>
          </cell>
          <cell r="E97" t="str">
            <v>VENTANA V-8 (2.85x0.50).  MARCO + ALA EN ALUMINIO ANODIZADO NATURAL. VIDRIO TEMPLADO LAMINADO. CUERPOS BASCULANTES</v>
          </cell>
          <cell r="F97" t="str">
            <v>UN</v>
          </cell>
          <cell r="G97">
            <v>0</v>
          </cell>
          <cell r="H97">
            <v>1</v>
          </cell>
          <cell r="I97">
            <v>0</v>
          </cell>
          <cell r="J97">
            <v>0</v>
          </cell>
          <cell r="K97">
            <v>0</v>
          </cell>
          <cell r="L97">
            <v>0</v>
          </cell>
          <cell r="M97">
            <v>0</v>
          </cell>
          <cell r="N97">
            <v>1</v>
          </cell>
          <cell r="O97">
            <v>0</v>
          </cell>
          <cell r="P97">
            <v>0</v>
          </cell>
        </row>
        <row r="98">
          <cell r="D98" t="str">
            <v>11-01-090</v>
          </cell>
          <cell r="E98" t="str">
            <v>VENTANA V-9 (4.41x0.50).  MARCO + ALA EN ALUMINIO ANODIZADO NATURAL. VIDRIO TEMPLADO LAMINADO. CUERPOS BASCULANTES</v>
          </cell>
          <cell r="F98" t="str">
            <v>UN</v>
          </cell>
          <cell r="G98">
            <v>0</v>
          </cell>
          <cell r="H98">
            <v>1</v>
          </cell>
          <cell r="I98">
            <v>0</v>
          </cell>
          <cell r="J98">
            <v>0</v>
          </cell>
          <cell r="K98">
            <v>0</v>
          </cell>
          <cell r="L98">
            <v>0</v>
          </cell>
          <cell r="M98">
            <v>0</v>
          </cell>
          <cell r="N98">
            <v>1</v>
          </cell>
          <cell r="O98">
            <v>0</v>
          </cell>
          <cell r="P98">
            <v>0</v>
          </cell>
        </row>
        <row r="99">
          <cell r="D99" t="str">
            <v>11-01-100</v>
          </cell>
          <cell r="E99" t="str">
            <v>CORTINA ENROLLABLE  CAFETERIA (3.45x1.60).  CORTINA ENROLLABLE EN FLEJES MICROPERFORADOS. INCLUYE TAPAROLLOS, ANTICORROSIVO + PINTURA DE ACABADO</v>
          </cell>
          <cell r="F99" t="str">
            <v>UN</v>
          </cell>
          <cell r="G99">
            <v>0</v>
          </cell>
          <cell r="H99">
            <v>1</v>
          </cell>
          <cell r="I99">
            <v>0</v>
          </cell>
          <cell r="J99">
            <v>0</v>
          </cell>
          <cell r="K99">
            <v>0</v>
          </cell>
          <cell r="L99">
            <v>0</v>
          </cell>
          <cell r="M99">
            <v>0</v>
          </cell>
          <cell r="N99">
            <v>1</v>
          </cell>
          <cell r="O99">
            <v>0</v>
          </cell>
          <cell r="P99">
            <v>0</v>
          </cell>
        </row>
        <row r="100">
          <cell r="D100" t="str">
            <v>11-01-110</v>
          </cell>
          <cell r="E100" t="str">
            <v>CORTINA ENROLLABLE  COCINA (1.45x1.60).  CORTINA ENROLLABLE EN FLEJES MICROPERFORADOS. INCLUYE TAPAROLLOS, ANTICORROSIVO + PINTURA DE ACABADO</v>
          </cell>
          <cell r="F100" t="str">
            <v>UN</v>
          </cell>
          <cell r="G100">
            <v>0</v>
          </cell>
          <cell r="H100">
            <v>1</v>
          </cell>
          <cell r="I100">
            <v>0</v>
          </cell>
          <cell r="J100">
            <v>0</v>
          </cell>
          <cell r="K100">
            <v>0</v>
          </cell>
          <cell r="L100">
            <v>0</v>
          </cell>
          <cell r="M100">
            <v>0</v>
          </cell>
          <cell r="N100">
            <v>1</v>
          </cell>
          <cell r="O100">
            <v>0</v>
          </cell>
          <cell r="P100">
            <v>0</v>
          </cell>
        </row>
        <row r="101">
          <cell r="D101" t="str">
            <v>11-01-120</v>
          </cell>
          <cell r="E101" t="str">
            <v>REJA R-1 (16.56x0.48).  MARCO + CUERPO FIJO EN CELOSIA ALUMINIO ANODIZADO NATURAL. CUERPOS FIJOS</v>
          </cell>
          <cell r="F101" t="str">
            <v>UN</v>
          </cell>
          <cell r="G101">
            <v>0</v>
          </cell>
          <cell r="H101">
            <v>1</v>
          </cell>
          <cell r="I101">
            <v>0</v>
          </cell>
          <cell r="J101">
            <v>0</v>
          </cell>
          <cell r="K101">
            <v>0</v>
          </cell>
          <cell r="L101">
            <v>0</v>
          </cell>
          <cell r="M101">
            <v>0</v>
          </cell>
          <cell r="N101">
            <v>1</v>
          </cell>
          <cell r="O101">
            <v>0</v>
          </cell>
          <cell r="P101">
            <v>0</v>
          </cell>
        </row>
        <row r="102">
          <cell r="D102" t="str">
            <v>11-01-130</v>
          </cell>
          <cell r="E102" t="str">
            <v>REJA R-2 (20.10x0.48).  MARCO + CUERPO FIJO EN CELOSIA ALUMINIO ANODIZADO NATURAL. CUERPOS FIJOS</v>
          </cell>
          <cell r="F102" t="str">
            <v>UN</v>
          </cell>
          <cell r="G102">
            <v>0</v>
          </cell>
          <cell r="H102">
            <v>1</v>
          </cell>
          <cell r="I102">
            <v>0</v>
          </cell>
          <cell r="J102">
            <v>0</v>
          </cell>
          <cell r="K102">
            <v>0</v>
          </cell>
          <cell r="L102">
            <v>0</v>
          </cell>
          <cell r="M102">
            <v>0</v>
          </cell>
          <cell r="N102">
            <v>1</v>
          </cell>
          <cell r="O102">
            <v>0</v>
          </cell>
          <cell r="P102">
            <v>0</v>
          </cell>
        </row>
        <row r="103">
          <cell r="D103" t="str">
            <v>11-01-140</v>
          </cell>
          <cell r="E103" t="str">
            <v>REJA R-3 (21.36x0.48).  MARCO + CUERPO FIJO EN CELOSIA ALUMINIO ANODIZADO NATURAL. CUERPOS FIJOS</v>
          </cell>
          <cell r="F103" t="str">
            <v>UN</v>
          </cell>
          <cell r="G103">
            <v>0</v>
          </cell>
          <cell r="H103">
            <v>1</v>
          </cell>
          <cell r="I103">
            <v>0</v>
          </cell>
          <cell r="J103">
            <v>0</v>
          </cell>
          <cell r="K103">
            <v>0</v>
          </cell>
          <cell r="L103">
            <v>0</v>
          </cell>
          <cell r="M103">
            <v>0</v>
          </cell>
          <cell r="N103">
            <v>1</v>
          </cell>
          <cell r="O103">
            <v>0</v>
          </cell>
          <cell r="P103">
            <v>0</v>
          </cell>
        </row>
        <row r="104">
          <cell r="D104" t="str">
            <v>11-02</v>
          </cell>
          <cell r="E104" t="str">
            <v>PUERTAS VIDRIERAS</v>
          </cell>
          <cell r="F104">
            <v>0</v>
          </cell>
          <cell r="G104">
            <v>0</v>
          </cell>
          <cell r="H104">
            <v>0</v>
          </cell>
          <cell r="I104">
            <v>0</v>
          </cell>
          <cell r="J104">
            <v>0</v>
          </cell>
          <cell r="K104">
            <v>0</v>
          </cell>
          <cell r="L104">
            <v>0</v>
          </cell>
          <cell r="M104">
            <v>0</v>
          </cell>
          <cell r="N104">
            <v>0</v>
          </cell>
          <cell r="O104">
            <v>0</v>
          </cell>
          <cell r="P104">
            <v>0</v>
          </cell>
        </row>
        <row r="105">
          <cell r="D105" t="str">
            <v>11-03</v>
          </cell>
          <cell r="E105" t="str">
            <v>PUERTAS</v>
          </cell>
          <cell r="F105">
            <v>0</v>
          </cell>
          <cell r="G105">
            <v>0</v>
          </cell>
          <cell r="H105">
            <v>0</v>
          </cell>
          <cell r="I105">
            <v>0</v>
          </cell>
          <cell r="J105">
            <v>0</v>
          </cell>
          <cell r="K105">
            <v>0</v>
          </cell>
          <cell r="L105">
            <v>0</v>
          </cell>
          <cell r="M105">
            <v>0</v>
          </cell>
          <cell r="N105">
            <v>0</v>
          </cell>
          <cell r="O105">
            <v>0</v>
          </cell>
          <cell r="P105">
            <v>0</v>
          </cell>
        </row>
        <row r="106">
          <cell r="D106" t="str">
            <v>11-03-010</v>
          </cell>
          <cell r="E106" t="str">
            <v>PUERTA P-1 (0.70x2.37). MARCO EN LAMINA CR CAL 16 + ALA ENTAMBORADA EN LAMINA CR CAL 16 CON CELOSIAS INFERIOR Y SUPERIOR. INCLUYE PINTURA ANTICORROSIVA + ACABADO Y CHAPA TIPO MANIJA DE USO INSTITUCIONAL</v>
          </cell>
          <cell r="F106" t="str">
            <v>UN</v>
          </cell>
          <cell r="G106">
            <v>0</v>
          </cell>
          <cell r="H106">
            <v>2</v>
          </cell>
          <cell r="I106">
            <v>0</v>
          </cell>
          <cell r="J106">
            <v>0</v>
          </cell>
          <cell r="K106">
            <v>0</v>
          </cell>
          <cell r="L106">
            <v>0</v>
          </cell>
          <cell r="M106">
            <v>0</v>
          </cell>
          <cell r="N106">
            <v>2</v>
          </cell>
          <cell r="O106">
            <v>0</v>
          </cell>
          <cell r="P106">
            <v>0</v>
          </cell>
        </row>
        <row r="107">
          <cell r="D107" t="str">
            <v>11-03-020</v>
          </cell>
          <cell r="E107" t="str">
            <v>PUERTA P-2 (0.80x2.37). MARCO EN LAMINA CR CAL 16 + ALA ENTAMBORADA EN LAMINA CR CAL 16 CON CELOSIAS INFERIOR Y SUPERIOR. INCLUYE PINTURA ANTICORROSIVA + ACABADO Y CHAPA TIPO MANIJA DE USO INSTITUCIONAL</v>
          </cell>
          <cell r="F107" t="str">
            <v>UN</v>
          </cell>
          <cell r="G107">
            <v>0</v>
          </cell>
          <cell r="H107">
            <v>1</v>
          </cell>
          <cell r="I107">
            <v>0</v>
          </cell>
          <cell r="J107">
            <v>0</v>
          </cell>
          <cell r="K107">
            <v>0</v>
          </cell>
          <cell r="L107">
            <v>0</v>
          </cell>
          <cell r="M107">
            <v>0</v>
          </cell>
          <cell r="N107">
            <v>1</v>
          </cell>
          <cell r="O107">
            <v>0</v>
          </cell>
          <cell r="P107">
            <v>0</v>
          </cell>
        </row>
        <row r="108">
          <cell r="D108" t="str">
            <v>11-03-030</v>
          </cell>
          <cell r="E108" t="str">
            <v>PUERTA P-3 (1.00x2.37). MARCO EN LAMINA CR CAL 16 + ALA ENTAMBORADA EN LAMINA CR CAL 16 CON CELOSIAS INFERIOR Y SUPERIOR. INCLUYE PINTURA ANTICORROSIVA + ACABADO Y CHAPA TIPO MANIJA DE USO INSTITUCIONAL</v>
          </cell>
          <cell r="F108" t="str">
            <v>UN</v>
          </cell>
          <cell r="G108">
            <v>0</v>
          </cell>
          <cell r="H108">
            <v>4</v>
          </cell>
          <cell r="I108">
            <v>0</v>
          </cell>
          <cell r="J108">
            <v>0</v>
          </cell>
          <cell r="K108">
            <v>0</v>
          </cell>
          <cell r="L108">
            <v>0</v>
          </cell>
          <cell r="M108">
            <v>0</v>
          </cell>
          <cell r="N108">
            <v>4</v>
          </cell>
          <cell r="O108">
            <v>0</v>
          </cell>
          <cell r="P108">
            <v>0</v>
          </cell>
        </row>
        <row r="109">
          <cell r="D109" t="str">
            <v>11-03-040</v>
          </cell>
          <cell r="E109" t="str">
            <v>PUERTA P-4 (1.00x2.31). MARCO EN LAMINA CR CAL 16 + ALA ENTAMBORADA EN LAMINA CR CAL 16 Y MIRILLA EN VIDRIO TEMPLADO LAMINADO. INCLUYE PINTURA ANTICORROSIVA + ACABADO Y CHAPA TIPO MANIJA DE USO INSTITUCIONAL</v>
          </cell>
          <cell r="F109" t="str">
            <v>UN</v>
          </cell>
          <cell r="G109">
            <v>0</v>
          </cell>
          <cell r="H109">
            <v>8</v>
          </cell>
          <cell r="I109">
            <v>0</v>
          </cell>
          <cell r="J109">
            <v>0</v>
          </cell>
          <cell r="K109">
            <v>0</v>
          </cell>
          <cell r="L109">
            <v>0</v>
          </cell>
          <cell r="M109">
            <v>0</v>
          </cell>
          <cell r="N109">
            <v>8</v>
          </cell>
          <cell r="O109">
            <v>0</v>
          </cell>
          <cell r="P109">
            <v>0</v>
          </cell>
        </row>
        <row r="110">
          <cell r="D110" t="str">
            <v>11-03-050</v>
          </cell>
          <cell r="E110" t="str">
            <v>PUERTAS SANITARIOS (0.80x1.80). PUERTA A: 0.70 M. + PARAL LATERAL A: 0.10 M. EN ACERO INOXIDABLE TIPO SOCODA O EQUIVALENTE. INCLUYE ANCLAJES A MUROS</v>
          </cell>
          <cell r="F110" t="str">
            <v>UN</v>
          </cell>
          <cell r="G110">
            <v>0</v>
          </cell>
          <cell r="H110">
            <v>6</v>
          </cell>
          <cell r="I110">
            <v>0</v>
          </cell>
          <cell r="J110">
            <v>0</v>
          </cell>
          <cell r="K110">
            <v>0</v>
          </cell>
          <cell r="L110">
            <v>0</v>
          </cell>
          <cell r="M110">
            <v>0</v>
          </cell>
          <cell r="N110">
            <v>6</v>
          </cell>
          <cell r="O110">
            <v>0</v>
          </cell>
          <cell r="P110">
            <v>0</v>
          </cell>
        </row>
        <row r="111">
          <cell r="D111" t="str">
            <v>11-04</v>
          </cell>
          <cell r="E111" t="str">
            <v>CERRAMIENTOS</v>
          </cell>
          <cell r="F111">
            <v>0</v>
          </cell>
          <cell r="G111">
            <v>0</v>
          </cell>
          <cell r="H111">
            <v>0</v>
          </cell>
          <cell r="I111">
            <v>1343106.0000000002</v>
          </cell>
          <cell r="J111">
            <v>0</v>
          </cell>
          <cell r="K111">
            <v>0</v>
          </cell>
          <cell r="L111">
            <v>0</v>
          </cell>
          <cell r="M111">
            <v>0</v>
          </cell>
          <cell r="N111">
            <v>0</v>
          </cell>
          <cell r="O111">
            <v>1343106.0000000002</v>
          </cell>
          <cell r="P111">
            <v>0</v>
          </cell>
        </row>
        <row r="112">
          <cell r="D112" t="str">
            <v>11-04-010</v>
          </cell>
          <cell r="E112" t="str">
            <v>PROVISION PARA CERRAMIENTO DE SEGURIDAD EN VENTANAS DEL CENTRO DE RECURSOS</v>
          </cell>
          <cell r="F112" t="str">
            <v>M2</v>
          </cell>
          <cell r="G112">
            <v>348000</v>
          </cell>
          <cell r="H112">
            <v>3.8595000000000006</v>
          </cell>
          <cell r="I112">
            <v>1343106.0000000002</v>
          </cell>
          <cell r="J112">
            <v>0</v>
          </cell>
          <cell r="K112">
            <v>0</v>
          </cell>
          <cell r="L112">
            <v>0</v>
          </cell>
          <cell r="M112">
            <v>0</v>
          </cell>
          <cell r="N112">
            <v>3.8595000000000006</v>
          </cell>
          <cell r="O112">
            <v>1343106.0000000002</v>
          </cell>
          <cell r="P112">
            <v>0</v>
          </cell>
        </row>
        <row r="113">
          <cell r="D113" t="str">
            <v>13</v>
          </cell>
          <cell r="E113" t="str">
            <v>APARATOS SANITARIOS, MUEBLES Y GRIFERIAS</v>
          </cell>
          <cell r="F113">
            <v>0</v>
          </cell>
          <cell r="G113">
            <v>0</v>
          </cell>
          <cell r="H113">
            <v>0</v>
          </cell>
          <cell r="I113">
            <v>10353151.562553551</v>
          </cell>
          <cell r="J113">
            <v>0</v>
          </cell>
          <cell r="K113">
            <v>0</v>
          </cell>
          <cell r="L113">
            <v>0</v>
          </cell>
          <cell r="M113">
            <v>0</v>
          </cell>
          <cell r="N113">
            <v>0</v>
          </cell>
          <cell r="O113">
            <v>0</v>
          </cell>
          <cell r="P113">
            <v>10353151.562553551</v>
          </cell>
        </row>
        <row r="114">
          <cell r="D114" t="str">
            <v>13-01</v>
          </cell>
          <cell r="E114" t="str">
            <v>APARATOS SANITARIOS</v>
          </cell>
          <cell r="F114">
            <v>0</v>
          </cell>
          <cell r="G114">
            <v>0</v>
          </cell>
          <cell r="H114">
            <v>0</v>
          </cell>
          <cell r="I114">
            <v>2413291.1329411766</v>
          </cell>
          <cell r="J114">
            <v>0</v>
          </cell>
          <cell r="K114">
            <v>0</v>
          </cell>
          <cell r="L114">
            <v>0</v>
          </cell>
          <cell r="M114">
            <v>0</v>
          </cell>
          <cell r="N114">
            <v>0</v>
          </cell>
          <cell r="O114">
            <v>2413291.1329411766</v>
          </cell>
          <cell r="P114">
            <v>0</v>
          </cell>
        </row>
        <row r="115">
          <cell r="D115" t="str">
            <v>13-01-010</v>
          </cell>
          <cell r="E115" t="str">
            <v>SANITARIO COLOR BLANCO REF. 302431001 ACUARIO DE CORONA O EQUIVALENTE. INCLUYE GRIFERIA COMPLETA + ASIENTO SANITARIO COLOR BLANCO</v>
          </cell>
          <cell r="F115" t="str">
            <v>UN</v>
          </cell>
          <cell r="G115">
            <v>203388.17235294115</v>
          </cell>
          <cell r="H115">
            <v>8</v>
          </cell>
          <cell r="I115">
            <v>1627105.3788235292</v>
          </cell>
          <cell r="J115">
            <v>0</v>
          </cell>
          <cell r="K115">
            <v>0</v>
          </cell>
          <cell r="L115">
            <v>0</v>
          </cell>
          <cell r="M115">
            <v>0</v>
          </cell>
          <cell r="N115">
            <v>8</v>
          </cell>
          <cell r="O115">
            <v>1627105.3788235292</v>
          </cell>
          <cell r="P115">
            <v>0</v>
          </cell>
        </row>
        <row r="116">
          <cell r="D116" t="str">
            <v>13-01-050</v>
          </cell>
          <cell r="E116" t="str">
            <v>ORINAL INSTITUCIONAL REF. 088611001 DE CORONA O EQUIVALENTE COLOR BLANCO. INCLUYE GRIFERIA.</v>
          </cell>
          <cell r="F116" t="str">
            <v>UN</v>
          </cell>
          <cell r="G116">
            <v>301073.87588235299</v>
          </cell>
          <cell r="H116">
            <v>2</v>
          </cell>
          <cell r="I116">
            <v>602147.75176470599</v>
          </cell>
          <cell r="J116">
            <v>0</v>
          </cell>
          <cell r="K116">
            <v>0</v>
          </cell>
          <cell r="L116">
            <v>0</v>
          </cell>
          <cell r="M116">
            <v>0</v>
          </cell>
          <cell r="N116">
            <v>2</v>
          </cell>
          <cell r="O116">
            <v>602147.75176470599</v>
          </cell>
          <cell r="P116">
            <v>0</v>
          </cell>
        </row>
        <row r="117">
          <cell r="D117" t="str">
            <v>13-01-100</v>
          </cell>
          <cell r="E117" t="str">
            <v>LAVAMANOS EN CERAMICA REF. MILANO COLOR BLANCO DE  CORONA O EQUIVALENTE.</v>
          </cell>
          <cell r="F117" t="str">
            <v>UN</v>
          </cell>
          <cell r="G117">
            <v>92019.00117647057</v>
          </cell>
          <cell r="H117">
            <v>2</v>
          </cell>
          <cell r="I117">
            <v>184038.00235294114</v>
          </cell>
          <cell r="J117">
            <v>0</v>
          </cell>
          <cell r="K117">
            <v>0</v>
          </cell>
          <cell r="L117">
            <v>0</v>
          </cell>
          <cell r="M117">
            <v>0</v>
          </cell>
          <cell r="N117">
            <v>2</v>
          </cell>
          <cell r="O117">
            <v>184038.00235294114</v>
          </cell>
          <cell r="P117">
            <v>0</v>
          </cell>
        </row>
        <row r="118">
          <cell r="D118" t="str">
            <v>13-02</v>
          </cell>
          <cell r="E118" t="str">
            <v>GRIFERIAS</v>
          </cell>
          <cell r="F118">
            <v>0</v>
          </cell>
          <cell r="G118">
            <v>0</v>
          </cell>
          <cell r="H118">
            <v>0</v>
          </cell>
          <cell r="I118">
            <v>950495.28941176459</v>
          </cell>
          <cell r="J118">
            <v>0</v>
          </cell>
          <cell r="K118">
            <v>0</v>
          </cell>
          <cell r="L118">
            <v>0</v>
          </cell>
          <cell r="M118">
            <v>0</v>
          </cell>
          <cell r="N118">
            <v>0</v>
          </cell>
          <cell r="O118">
            <v>950495.28941176459</v>
          </cell>
          <cell r="P118">
            <v>0</v>
          </cell>
        </row>
        <row r="119">
          <cell r="D119" t="str">
            <v>13-02-010</v>
          </cell>
          <cell r="E119" t="str">
            <v>GRIFERIA PARA LAVAMANOS REF. BALTA DE PALANCA DE GRIVAL O EQUIVALENTE. INCLUYE ABASTOS.</v>
          </cell>
          <cell r="F119" t="str">
            <v>UN</v>
          </cell>
          <cell r="G119">
            <v>88842.193529411757</v>
          </cell>
          <cell r="H119">
            <v>6</v>
          </cell>
          <cell r="I119">
            <v>533053.16117647057</v>
          </cell>
          <cell r="J119">
            <v>0</v>
          </cell>
          <cell r="K119">
            <v>0</v>
          </cell>
          <cell r="L119">
            <v>0</v>
          </cell>
          <cell r="M119">
            <v>0</v>
          </cell>
          <cell r="N119">
            <v>6</v>
          </cell>
          <cell r="O119">
            <v>533053.16117647057</v>
          </cell>
          <cell r="P119">
            <v>0</v>
          </cell>
        </row>
        <row r="120">
          <cell r="D120" t="str">
            <v>13-02-030</v>
          </cell>
          <cell r="E120" t="str">
            <v>GRIFERIA PARA LAVAPLATOS REF. 415040001 PALANCA BALTA 4" DE GRIVAL O EQUIVALENTE. INCLUYE ABASTOS.</v>
          </cell>
          <cell r="F120" t="str">
            <v>UN</v>
          </cell>
          <cell r="G120">
            <v>74147.393529411755</v>
          </cell>
          <cell r="H120">
            <v>4</v>
          </cell>
          <cell r="I120">
            <v>296589.57411764702</v>
          </cell>
          <cell r="J120">
            <v>0</v>
          </cell>
          <cell r="K120">
            <v>0</v>
          </cell>
          <cell r="L120">
            <v>0</v>
          </cell>
          <cell r="M120">
            <v>0</v>
          </cell>
          <cell r="N120">
            <v>4</v>
          </cell>
          <cell r="O120">
            <v>296589.57411764702</v>
          </cell>
          <cell r="P120">
            <v>0</v>
          </cell>
        </row>
        <row r="121">
          <cell r="D121" t="str">
            <v>13-02-040</v>
          </cell>
          <cell r="E121" t="str">
            <v>LLAVE DE JARDIN PESADA ECONOMICA CROMO REF: 97721000 DE GRIVAL O EQUIVALENTE. PARA LAVAESCOBAS Y BEBEDEROS</v>
          </cell>
          <cell r="F121" t="str">
            <v>UN</v>
          </cell>
          <cell r="G121">
            <v>30213.138529411764</v>
          </cell>
          <cell r="H121">
            <v>4</v>
          </cell>
          <cell r="I121">
            <v>120852.55411764706</v>
          </cell>
          <cell r="J121">
            <v>0</v>
          </cell>
          <cell r="K121">
            <v>0</v>
          </cell>
          <cell r="L121">
            <v>0</v>
          </cell>
          <cell r="M121">
            <v>0</v>
          </cell>
          <cell r="N121">
            <v>4</v>
          </cell>
          <cell r="O121">
            <v>120852.55411764706</v>
          </cell>
          <cell r="P121">
            <v>0</v>
          </cell>
        </row>
        <row r="122">
          <cell r="D122" t="str">
            <v>13-03</v>
          </cell>
          <cell r="E122" t="str">
            <v>ACCESORIOS</v>
          </cell>
          <cell r="F122">
            <v>0</v>
          </cell>
          <cell r="G122">
            <v>0</v>
          </cell>
          <cell r="H122">
            <v>0</v>
          </cell>
          <cell r="I122">
            <v>900822.26257918542</v>
          </cell>
          <cell r="J122">
            <v>0</v>
          </cell>
          <cell r="K122">
            <v>0</v>
          </cell>
          <cell r="L122">
            <v>0</v>
          </cell>
          <cell r="M122">
            <v>0</v>
          </cell>
          <cell r="N122">
            <v>0</v>
          </cell>
          <cell r="O122">
            <v>900822.26257918542</v>
          </cell>
          <cell r="P122">
            <v>0</v>
          </cell>
        </row>
        <row r="123">
          <cell r="D123" t="str">
            <v>13-03-010</v>
          </cell>
          <cell r="E123" t="str">
            <v>ACCESORIOS PARA BAÑOS. COMBO 4 PIEZAS REF. 54639888 ALCALÁ DE CORONA O EQUIVALENTE</v>
          </cell>
          <cell r="F123" t="str">
            <v>UN</v>
          </cell>
          <cell r="G123">
            <v>46460.883529411767</v>
          </cell>
          <cell r="H123">
            <v>2</v>
          </cell>
          <cell r="I123">
            <v>92921.767058823534</v>
          </cell>
          <cell r="J123">
            <v>0</v>
          </cell>
          <cell r="K123">
            <v>0</v>
          </cell>
          <cell r="L123">
            <v>0</v>
          </cell>
          <cell r="M123">
            <v>0</v>
          </cell>
          <cell r="N123">
            <v>2</v>
          </cell>
          <cell r="O123">
            <v>92921.767058823534</v>
          </cell>
          <cell r="P123">
            <v>0</v>
          </cell>
        </row>
        <row r="124">
          <cell r="D124" t="str">
            <v>13-03-020</v>
          </cell>
          <cell r="E124" t="str">
            <v>PORTAROLLO PAPEL HIGIENICO REF. ALCALA DE CORONA O EQUIVALENTE</v>
          </cell>
          <cell r="F124" t="str">
            <v>UN</v>
          </cell>
          <cell r="G124">
            <v>15876.98088235294</v>
          </cell>
          <cell r="H124">
            <v>6</v>
          </cell>
          <cell r="I124">
            <v>95261.885294117645</v>
          </cell>
          <cell r="J124">
            <v>0</v>
          </cell>
          <cell r="K124">
            <v>0</v>
          </cell>
          <cell r="L124">
            <v>0</v>
          </cell>
          <cell r="M124">
            <v>0</v>
          </cell>
          <cell r="N124">
            <v>6</v>
          </cell>
          <cell r="O124">
            <v>95261.885294117645</v>
          </cell>
          <cell r="P124">
            <v>0</v>
          </cell>
        </row>
        <row r="125">
          <cell r="D125" t="str">
            <v>13-03-030</v>
          </cell>
          <cell r="E125" t="str">
            <v>JABONERA DE BARRA REF. ALCALA DE CORONA O EQUIVALENTE</v>
          </cell>
          <cell r="F125" t="str">
            <v>UN</v>
          </cell>
          <cell r="G125">
            <v>16776.980882352942</v>
          </cell>
          <cell r="H125">
            <v>1</v>
          </cell>
          <cell r="I125">
            <v>16776.980882352942</v>
          </cell>
          <cell r="J125">
            <v>0</v>
          </cell>
          <cell r="K125">
            <v>0</v>
          </cell>
          <cell r="L125">
            <v>0</v>
          </cell>
          <cell r="M125">
            <v>0</v>
          </cell>
          <cell r="N125">
            <v>1</v>
          </cell>
          <cell r="O125">
            <v>16776.980882352942</v>
          </cell>
          <cell r="P125">
            <v>0</v>
          </cell>
        </row>
        <row r="126">
          <cell r="D126" t="str">
            <v>13-03-040</v>
          </cell>
          <cell r="E126" t="str">
            <v>TOALLERO BARRA REF. ALCALA DE CORONA O EQUIVALENTE</v>
          </cell>
          <cell r="F126" t="str">
            <v>UN</v>
          </cell>
          <cell r="G126">
            <v>21176.980882352942</v>
          </cell>
          <cell r="H126">
            <v>1</v>
          </cell>
          <cell r="I126">
            <v>21176.980882352942</v>
          </cell>
          <cell r="J126">
            <v>0</v>
          </cell>
          <cell r="K126">
            <v>0</v>
          </cell>
          <cell r="L126">
            <v>0</v>
          </cell>
          <cell r="M126">
            <v>0</v>
          </cell>
          <cell r="N126">
            <v>1</v>
          </cell>
          <cell r="O126">
            <v>21176.980882352942</v>
          </cell>
          <cell r="P126">
            <v>0</v>
          </cell>
        </row>
        <row r="127">
          <cell r="D127" t="str">
            <v>13-03-100</v>
          </cell>
          <cell r="E127" t="str">
            <v>BARRA DE SEGURIDAD EN ACERO INOXIDABLE PARA BAÑOS DISCAPACITADOS REF. 231809 DE SOCODA O EQUIVALENTE</v>
          </cell>
          <cell r="F127" t="str">
            <v>UN</v>
          </cell>
          <cell r="G127">
            <v>120412.78529411765</v>
          </cell>
          <cell r="H127">
            <v>1</v>
          </cell>
          <cell r="I127">
            <v>120412.78529411765</v>
          </cell>
          <cell r="J127">
            <v>0</v>
          </cell>
          <cell r="K127">
            <v>0</v>
          </cell>
          <cell r="L127">
            <v>0</v>
          </cell>
          <cell r="M127">
            <v>0</v>
          </cell>
          <cell r="N127">
            <v>1</v>
          </cell>
          <cell r="O127">
            <v>120412.78529411765</v>
          </cell>
          <cell r="P127">
            <v>0</v>
          </cell>
        </row>
        <row r="128">
          <cell r="D128" t="str">
            <v>13-03-110</v>
          </cell>
          <cell r="E128" t="str">
            <v>REJILLA DE PISO REDONDA EN PLASTICO + ACERO INOXIDABLE Ø 3" TIPO EASYFLOW O EQUIVALENTE</v>
          </cell>
          <cell r="F128" t="str">
            <v>UN</v>
          </cell>
          <cell r="G128">
            <v>16380.924072398191</v>
          </cell>
          <cell r="H128">
            <v>8</v>
          </cell>
          <cell r="I128">
            <v>131047.39257918553</v>
          </cell>
          <cell r="J128">
            <v>0</v>
          </cell>
          <cell r="K128">
            <v>0</v>
          </cell>
          <cell r="L128">
            <v>0</v>
          </cell>
          <cell r="M128">
            <v>0</v>
          </cell>
          <cell r="N128">
            <v>8</v>
          </cell>
          <cell r="O128">
            <v>131047.39257918553</v>
          </cell>
          <cell r="P128">
            <v>0</v>
          </cell>
        </row>
        <row r="129">
          <cell r="D129" t="str">
            <v>13-03-120</v>
          </cell>
          <cell r="E129" t="str">
            <v>ESPEJO 4 MM. CALIDAD PELDAR O EQUIVALENTE PULIDO. INCLUYE FIJACIONES A MUROS</v>
          </cell>
          <cell r="F129" t="str">
            <v>M2</v>
          </cell>
          <cell r="G129">
            <v>117562.35294117646</v>
          </cell>
          <cell r="H129">
            <v>3.6</v>
          </cell>
          <cell r="I129">
            <v>423224.47058823524</v>
          </cell>
          <cell r="J129">
            <v>0</v>
          </cell>
          <cell r="K129">
            <v>0</v>
          </cell>
          <cell r="L129">
            <v>0</v>
          </cell>
          <cell r="M129">
            <v>0</v>
          </cell>
          <cell r="N129">
            <v>3.6</v>
          </cell>
          <cell r="O129">
            <v>423224.47058823524</v>
          </cell>
          <cell r="P129">
            <v>0</v>
          </cell>
        </row>
        <row r="130">
          <cell r="D130" t="str">
            <v>13-04</v>
          </cell>
          <cell r="E130" t="str">
            <v>MUEBLES</v>
          </cell>
          <cell r="F130">
            <v>0</v>
          </cell>
          <cell r="G130">
            <v>0</v>
          </cell>
          <cell r="H130">
            <v>0</v>
          </cell>
          <cell r="I130">
            <v>6088542.8776214253</v>
          </cell>
          <cell r="J130">
            <v>0</v>
          </cell>
          <cell r="K130">
            <v>0</v>
          </cell>
          <cell r="L130">
            <v>0</v>
          </cell>
          <cell r="M130">
            <v>0</v>
          </cell>
          <cell r="N130">
            <v>0</v>
          </cell>
          <cell r="O130">
            <v>6088542.8776214253</v>
          </cell>
          <cell r="P130">
            <v>0</v>
          </cell>
        </row>
        <row r="131">
          <cell r="D131" t="str">
            <v>13-04-010</v>
          </cell>
          <cell r="E131" t="str">
            <v>LAVAESCOBAS EN MAMPOSTERIA DE BLOQUE + FORRO EN GRANO PULIDO NEGRO SAN GIL - FONDO AZUL.</v>
          </cell>
          <cell r="F131" t="str">
            <v>M</v>
          </cell>
          <cell r="G131">
            <v>338442.28938613198</v>
          </cell>
          <cell r="H131">
            <v>1</v>
          </cell>
          <cell r="I131">
            <v>338442.28938613198</v>
          </cell>
          <cell r="J131">
            <v>0</v>
          </cell>
          <cell r="K131">
            <v>0</v>
          </cell>
          <cell r="L131">
            <v>0</v>
          </cell>
          <cell r="M131">
            <v>0</v>
          </cell>
          <cell r="N131">
            <v>1</v>
          </cell>
          <cell r="O131">
            <v>338442.28938613198</v>
          </cell>
          <cell r="P131">
            <v>0</v>
          </cell>
        </row>
        <row r="132">
          <cell r="D132" t="str">
            <v>13-04-180</v>
          </cell>
          <cell r="E132" t="str">
            <v>MESON DE LAVAMANOS EN ACERO INOXIDABLE CON LAVAMANOS ESFÉRICOS INTEGRADOS. A: 0.60 M. x L: 3.95 M. + SALPICADERO + FALDON SEGÚN DETALLE DE PLANOS. INCLUYE PIEAMIGOS DE SOPORTE Y ANCLAJE A MUROS</v>
          </cell>
          <cell r="F132" t="str">
            <v>UN</v>
          </cell>
          <cell r="G132">
            <v>1346574.1176470588</v>
          </cell>
          <cell r="H132">
            <v>1</v>
          </cell>
          <cell r="I132">
            <v>1346574.1176470588</v>
          </cell>
          <cell r="J132">
            <v>0</v>
          </cell>
          <cell r="K132">
            <v>0</v>
          </cell>
          <cell r="L132">
            <v>0</v>
          </cell>
          <cell r="M132">
            <v>0</v>
          </cell>
          <cell r="N132">
            <v>1</v>
          </cell>
          <cell r="O132">
            <v>1346574.1176470588</v>
          </cell>
          <cell r="P132">
            <v>0</v>
          </cell>
        </row>
        <row r="133">
          <cell r="D133" t="str">
            <v>13-04-360</v>
          </cell>
          <cell r="E133" t="str">
            <v>MESON DE COCINA EN "L" ACERO INOXIDABLE CON POZUELO INTEGRADO L: 4.35 - 2.60 M. x A: 0.50 M. + SALPICADERO SEGÚN DETALLE DE PLANOS. INCLUYE SOPORTES EN TUBULARES DE ACERO INOXIDABLE.</v>
          </cell>
          <cell r="F133" t="str">
            <v>UN</v>
          </cell>
          <cell r="G133">
            <v>2388088.2352941171</v>
          </cell>
          <cell r="H133">
            <v>1</v>
          </cell>
          <cell r="I133">
            <v>2388088.2352941171</v>
          </cell>
          <cell r="J133">
            <v>0</v>
          </cell>
          <cell r="K133">
            <v>0</v>
          </cell>
          <cell r="L133">
            <v>0</v>
          </cell>
          <cell r="M133">
            <v>0</v>
          </cell>
          <cell r="N133">
            <v>1</v>
          </cell>
          <cell r="O133">
            <v>2388088.2352941171</v>
          </cell>
          <cell r="P133">
            <v>0</v>
          </cell>
        </row>
        <row r="134">
          <cell r="D134" t="str">
            <v>13-04-370</v>
          </cell>
          <cell r="E134" t="str">
            <v>MESON DE CAFETERIA EN "L" ACERO INOXIDABLE CON POZUELO INTEGRADO L: 2.85 - 1.65 M. x A: 0.50 M. + SALPICADERO SEGÚN DETALLE DE PLANOS. INCLUYE SOPORTES EN TUBULARES DE ACERO INOXIDABLE.</v>
          </cell>
          <cell r="F134" t="str">
            <v>UN</v>
          </cell>
          <cell r="G134">
            <v>1563908.2352941176</v>
          </cell>
          <cell r="H134">
            <v>1</v>
          </cell>
          <cell r="I134">
            <v>1563908.2352941176</v>
          </cell>
          <cell r="J134">
            <v>0</v>
          </cell>
          <cell r="K134">
            <v>0</v>
          </cell>
          <cell r="L134">
            <v>0</v>
          </cell>
          <cell r="M134">
            <v>0</v>
          </cell>
          <cell r="N134">
            <v>1</v>
          </cell>
          <cell r="O134">
            <v>1563908.2352941176</v>
          </cell>
          <cell r="P134">
            <v>0</v>
          </cell>
        </row>
        <row r="135">
          <cell r="D135" t="str">
            <v>13-04-500</v>
          </cell>
          <cell r="E135" t="str">
            <v>DIVISION DE ORINAL EN ACERO INOXIDABLE TIPO SOCODA O EQUIVALENTE - A: 0.46 M. x H: 0.96 M. INCLUYE ANCLAJES A MUROS</v>
          </cell>
          <cell r="F135" t="str">
            <v>UN</v>
          </cell>
          <cell r="G135">
            <v>225764.99999999997</v>
          </cell>
          <cell r="H135">
            <v>2</v>
          </cell>
          <cell r="I135">
            <v>451529.99999999994</v>
          </cell>
          <cell r="J135">
            <v>0</v>
          </cell>
          <cell r="K135">
            <v>0</v>
          </cell>
          <cell r="L135">
            <v>0</v>
          </cell>
          <cell r="M135">
            <v>0</v>
          </cell>
          <cell r="N135">
            <v>2</v>
          </cell>
          <cell r="O135">
            <v>451529.99999999994</v>
          </cell>
          <cell r="P135">
            <v>0</v>
          </cell>
        </row>
        <row r="136">
          <cell r="D136" t="str">
            <v>14</v>
          </cell>
          <cell r="E136" t="str">
            <v>INSTALACIONES HIDROSANITARIAS</v>
          </cell>
          <cell r="F136">
            <v>0</v>
          </cell>
          <cell r="G136">
            <v>0</v>
          </cell>
          <cell r="H136">
            <v>0</v>
          </cell>
          <cell r="I136">
            <v>35602373.693906859</v>
          </cell>
          <cell r="J136">
            <v>0</v>
          </cell>
          <cell r="K136">
            <v>0</v>
          </cell>
          <cell r="L136">
            <v>0</v>
          </cell>
          <cell r="M136">
            <v>42945353.040056393</v>
          </cell>
          <cell r="N136">
            <v>0</v>
          </cell>
          <cell r="O136">
            <v>0</v>
          </cell>
          <cell r="P136">
            <v>78547726.733963266</v>
          </cell>
        </row>
        <row r="137">
          <cell r="D137" t="str">
            <v>14-05</v>
          </cell>
          <cell r="E137" t="str">
            <v>INSTALACIONES HIDRÁULICAS INTERNAS</v>
          </cell>
          <cell r="F137">
            <v>0</v>
          </cell>
          <cell r="G137">
            <v>0</v>
          </cell>
          <cell r="H137">
            <v>0</v>
          </cell>
          <cell r="I137">
            <v>6314994.8799999999</v>
          </cell>
          <cell r="J137">
            <v>0</v>
          </cell>
          <cell r="K137">
            <v>0</v>
          </cell>
          <cell r="L137">
            <v>0</v>
          </cell>
          <cell r="M137">
            <v>0</v>
          </cell>
          <cell r="N137">
            <v>0</v>
          </cell>
          <cell r="O137">
            <v>6314994.8799999999</v>
          </cell>
          <cell r="P137">
            <v>0</v>
          </cell>
        </row>
        <row r="138">
          <cell r="D138" t="str">
            <v>14-05-010</v>
          </cell>
          <cell r="E138" t="str">
            <v>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8" t="str">
            <v>M</v>
          </cell>
          <cell r="G138">
            <v>7587</v>
          </cell>
          <cell r="H138">
            <v>29.490000000000002</v>
          </cell>
          <cell r="I138">
            <v>223740.63</v>
          </cell>
          <cell r="J138">
            <v>0</v>
          </cell>
          <cell r="K138">
            <v>0</v>
          </cell>
          <cell r="L138">
            <v>0</v>
          </cell>
          <cell r="M138">
            <v>0</v>
          </cell>
          <cell r="N138">
            <v>29.490000000000002</v>
          </cell>
          <cell r="O138">
            <v>223740.63</v>
          </cell>
          <cell r="P138">
            <v>0</v>
          </cell>
        </row>
        <row r="139">
          <cell r="D139" t="str">
            <v>14-05-020</v>
          </cell>
          <cell r="E139" t="str">
            <v>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9" t="str">
            <v>M</v>
          </cell>
          <cell r="G139">
            <v>13307</v>
          </cell>
          <cell r="H139">
            <v>8.7999999999999989</v>
          </cell>
          <cell r="I139">
            <v>117101.59999999999</v>
          </cell>
          <cell r="J139">
            <v>0</v>
          </cell>
          <cell r="K139">
            <v>0</v>
          </cell>
          <cell r="L139">
            <v>0</v>
          </cell>
          <cell r="M139">
            <v>0</v>
          </cell>
          <cell r="N139">
            <v>8.7999999999999989</v>
          </cell>
          <cell r="O139">
            <v>117101.59999999999</v>
          </cell>
          <cell r="P139">
            <v>0</v>
          </cell>
        </row>
        <row r="140">
          <cell r="D140" t="str">
            <v>14-05-030</v>
          </cell>
          <cell r="E140" t="str">
            <v>SUMINISTRO, TRANSPORTE E INSTALACIÓN DE TUBERÍA PVC-P, RDE 13.5, 315 PSI, DIÁMETRO 1", INCLUYE TODOS LOS ACCESORIOS EN PVC DE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0" t="str">
            <v>M</v>
          </cell>
          <cell r="G140">
            <v>13195</v>
          </cell>
          <cell r="H140">
            <v>48.67</v>
          </cell>
          <cell r="I140">
            <v>642200.65</v>
          </cell>
          <cell r="J140">
            <v>0</v>
          </cell>
          <cell r="K140">
            <v>0</v>
          </cell>
          <cell r="L140">
            <v>0</v>
          </cell>
          <cell r="M140">
            <v>0</v>
          </cell>
          <cell r="N140">
            <v>48.67</v>
          </cell>
          <cell r="O140">
            <v>642200.65</v>
          </cell>
          <cell r="P140">
            <v>0</v>
          </cell>
        </row>
        <row r="141">
          <cell r="D141" t="str">
            <v>14-05-040</v>
          </cell>
          <cell r="E141" t="str">
            <v>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v>
          </cell>
          <cell r="F141" t="str">
            <v>UN</v>
          </cell>
          <cell r="G141">
            <v>74751</v>
          </cell>
          <cell r="H141">
            <v>12</v>
          </cell>
          <cell r="I141">
            <v>897012</v>
          </cell>
          <cell r="J141">
            <v>0</v>
          </cell>
          <cell r="K141">
            <v>0</v>
          </cell>
          <cell r="L141">
            <v>0</v>
          </cell>
          <cell r="M141">
            <v>0</v>
          </cell>
          <cell r="N141">
            <v>12</v>
          </cell>
          <cell r="O141">
            <v>897012</v>
          </cell>
          <cell r="P141">
            <v>0</v>
          </cell>
        </row>
        <row r="142">
          <cell r="D142" t="str">
            <v>14-05-050</v>
          </cell>
          <cell r="E142" t="str">
            <v>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2" t="str">
            <v>UN</v>
          </cell>
          <cell r="G142">
            <v>28679</v>
          </cell>
          <cell r="H142">
            <v>23</v>
          </cell>
          <cell r="I142">
            <v>659617</v>
          </cell>
          <cell r="J142">
            <v>0</v>
          </cell>
          <cell r="K142">
            <v>0</v>
          </cell>
          <cell r="L142">
            <v>0</v>
          </cell>
          <cell r="M142">
            <v>0</v>
          </cell>
          <cell r="N142">
            <v>23</v>
          </cell>
          <cell r="O142">
            <v>659617</v>
          </cell>
          <cell r="P142">
            <v>0</v>
          </cell>
        </row>
        <row r="143">
          <cell r="D143" t="str">
            <v>14-05-060</v>
          </cell>
          <cell r="E143" t="str">
            <v>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v>
          </cell>
          <cell r="F143" t="str">
            <v>UN</v>
          </cell>
          <cell r="G143">
            <v>35853</v>
          </cell>
          <cell r="H143">
            <v>3</v>
          </cell>
          <cell r="I143">
            <v>107559</v>
          </cell>
          <cell r="J143">
            <v>0</v>
          </cell>
          <cell r="K143">
            <v>0</v>
          </cell>
          <cell r="L143">
            <v>0</v>
          </cell>
          <cell r="M143">
            <v>0</v>
          </cell>
          <cell r="N143">
            <v>3</v>
          </cell>
          <cell r="O143">
            <v>107559</v>
          </cell>
          <cell r="P143">
            <v>0</v>
          </cell>
        </row>
        <row r="144">
          <cell r="D144" t="str">
            <v>14-05-070</v>
          </cell>
          <cell r="E144" t="str">
            <v>SUMINISTRO, TRANSPORTE E INSTALACIÓN DE VÁLVULA COMPUERTA MARCA RW 1/2" O EQUIVALENTE. SE ENTREGARÁ DEBIDAMENTE INSTALADA SIN PRESENCIA DE FUGAS NI FISURAS, SOMETIDA AL SISTEMA YA PRESURIZADO. INCLUYE TODOS LOS ELEMENTOS REQUERIDOS PARA SU CORRECTA INSTALACIÓN Y FUNCIONAMIENTO.</v>
          </cell>
          <cell r="F144" t="str">
            <v>UN</v>
          </cell>
          <cell r="G144">
            <v>46597</v>
          </cell>
          <cell r="H144">
            <v>2</v>
          </cell>
          <cell r="I144">
            <v>93194</v>
          </cell>
          <cell r="J144">
            <v>0</v>
          </cell>
          <cell r="K144">
            <v>0</v>
          </cell>
          <cell r="L144">
            <v>0</v>
          </cell>
          <cell r="M144">
            <v>0</v>
          </cell>
          <cell r="N144">
            <v>2</v>
          </cell>
          <cell r="O144">
            <v>93194</v>
          </cell>
          <cell r="P144">
            <v>0</v>
          </cell>
        </row>
        <row r="145">
          <cell r="D145" t="str">
            <v>14-05-080</v>
          </cell>
          <cell r="E145" t="str">
            <v>SUMINISTRO, TRANSPORTE E INSTALACIÓN DE VÁLVULA COMPUERTA MARCA RW 1" O EQUIVALENTE. SE ENTREGARÁ DEBIDAMENTE INSTALADA SIN PRESENCIA DE FUGAS NI FISURAS, SOMETIDA AL SISTEMA YA PRESURIZADO. INCLUYE TODOS LOS ELEMENTOS REQUERIDOS PARA SU CORRECTA INSTALACIÓN Y FUNCIONAMIENTO.</v>
          </cell>
          <cell r="F145" t="str">
            <v>UN</v>
          </cell>
          <cell r="G145">
            <v>76684</v>
          </cell>
          <cell r="H145">
            <v>1</v>
          </cell>
          <cell r="I145">
            <v>76684</v>
          </cell>
          <cell r="J145">
            <v>0</v>
          </cell>
          <cell r="K145">
            <v>0</v>
          </cell>
          <cell r="L145">
            <v>0</v>
          </cell>
          <cell r="M145">
            <v>0</v>
          </cell>
          <cell r="N145">
            <v>1</v>
          </cell>
          <cell r="O145">
            <v>76684</v>
          </cell>
          <cell r="P145">
            <v>0</v>
          </cell>
        </row>
        <row r="146">
          <cell r="D146" t="str">
            <v>14-05-090</v>
          </cell>
          <cell r="E146" t="str">
            <v>SUMINISTRO E INSTALACION DE TANQUE PLASTICO PAR ALMACENAMIENTO DE AGUA CON CAPACIDAD DE 1000 L.</v>
          </cell>
          <cell r="F146" t="str">
            <v>UN</v>
          </cell>
          <cell r="G146">
            <v>962886</v>
          </cell>
          <cell r="H146">
            <v>2</v>
          </cell>
          <cell r="I146">
            <v>1925772</v>
          </cell>
          <cell r="J146">
            <v>0</v>
          </cell>
          <cell r="K146">
            <v>0</v>
          </cell>
          <cell r="L146">
            <v>0</v>
          </cell>
          <cell r="M146">
            <v>0</v>
          </cell>
          <cell r="N146">
            <v>2</v>
          </cell>
          <cell r="O146">
            <v>1925772</v>
          </cell>
          <cell r="P146">
            <v>0</v>
          </cell>
        </row>
        <row r="147">
          <cell r="D147" t="str">
            <v>14-05-100</v>
          </cell>
          <cell r="E147" t="str">
            <v xml:space="preserve">SUMINISTRO, TRANSPORTE E INSTALACIÓN DE MEDIDOR EN 3/4" CON ACOMETIDA DE 1" (INCLUYE TUBERIA DE ACOMETIDA HASTA 6 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 </v>
          </cell>
          <cell r="F147" t="str">
            <v>M</v>
          </cell>
          <cell r="G147">
            <v>1572114</v>
          </cell>
          <cell r="H147">
            <v>1</v>
          </cell>
          <cell r="I147">
            <v>1572114</v>
          </cell>
          <cell r="J147">
            <v>0</v>
          </cell>
          <cell r="K147">
            <v>0</v>
          </cell>
          <cell r="L147">
            <v>0</v>
          </cell>
          <cell r="M147">
            <v>0</v>
          </cell>
          <cell r="N147">
            <v>1</v>
          </cell>
          <cell r="O147">
            <v>1572114</v>
          </cell>
          <cell r="P147">
            <v>0</v>
          </cell>
        </row>
        <row r="148">
          <cell r="D148" t="str">
            <v>14-10</v>
          </cell>
          <cell r="E148" t="str">
            <v>INSTALACIONES SANITARIAS Y STAR</v>
          </cell>
          <cell r="F148">
            <v>0</v>
          </cell>
          <cell r="G148">
            <v>0</v>
          </cell>
          <cell r="H148">
            <v>0</v>
          </cell>
          <cell r="I148">
            <v>27744510.733906861</v>
          </cell>
          <cell r="J148">
            <v>0</v>
          </cell>
          <cell r="K148">
            <v>0</v>
          </cell>
          <cell r="L148">
            <v>0</v>
          </cell>
          <cell r="M148">
            <v>0</v>
          </cell>
          <cell r="N148">
            <v>0</v>
          </cell>
          <cell r="O148">
            <v>27744510.733906861</v>
          </cell>
          <cell r="P148">
            <v>0</v>
          </cell>
        </row>
        <row r="149">
          <cell r="D149" t="str">
            <v>14-10-010</v>
          </cell>
          <cell r="E149" t="str">
            <v>SUMINISTRO, TRANSPORTE E INSTALACIÓN DE TUBERÍA PVC-SANITARIA, CON UN DIÁMETRO DE 2", PARA AGUAS RESIDUALES ENTERRADA Y/O EMPOTRADA POR LOSAS. INCLUYE SUMINISTRO Y TRANSPORTE DE LOS MATERIALES, ACCESORIOS, PEGANTE, LIMPIADOR Y TODOS LOS ELEMENTOS NECESARIOS PARA SU CORRECTA INSTALACIÓN Y FUNCIONAMIENTO. LA EXCAVACIÓN Y LOS LLENOS SE PAGARAN EN SU ÍTEM RESPECTIVO.</v>
          </cell>
          <cell r="F149" t="str">
            <v>M</v>
          </cell>
          <cell r="G149">
            <v>20918</v>
          </cell>
          <cell r="H149">
            <v>34.769999999999989</v>
          </cell>
          <cell r="I149">
            <v>727318.85999999975</v>
          </cell>
          <cell r="J149">
            <v>0</v>
          </cell>
          <cell r="K149">
            <v>0</v>
          </cell>
          <cell r="L149">
            <v>0</v>
          </cell>
          <cell r="M149">
            <v>0</v>
          </cell>
          <cell r="N149">
            <v>34.769999999999989</v>
          </cell>
          <cell r="O149">
            <v>727318.85999999975</v>
          </cell>
          <cell r="P149">
            <v>0</v>
          </cell>
        </row>
        <row r="150">
          <cell r="D150" t="str">
            <v>14-10-020</v>
          </cell>
          <cell r="E150"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0" t="str">
            <v>M</v>
          </cell>
          <cell r="G150">
            <v>36566</v>
          </cell>
          <cell r="H150">
            <v>4.6000000000000005</v>
          </cell>
          <cell r="I150">
            <v>168203.6</v>
          </cell>
          <cell r="J150">
            <v>0</v>
          </cell>
          <cell r="K150">
            <v>0</v>
          </cell>
          <cell r="L150">
            <v>0</v>
          </cell>
          <cell r="M150">
            <v>0</v>
          </cell>
          <cell r="N150">
            <v>4.6000000000000005</v>
          </cell>
          <cell r="O150">
            <v>168203.6</v>
          </cell>
          <cell r="P150">
            <v>0</v>
          </cell>
        </row>
        <row r="151">
          <cell r="D151" t="str">
            <v>14-10-030</v>
          </cell>
          <cell r="E151" t="str">
            <v>SUMINISTRO, TRANSPORTE E INSTALACIÓN DE TUBERÍA PVC-SANITARIA,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1" t="str">
            <v>M</v>
          </cell>
          <cell r="G151">
            <v>51672</v>
          </cell>
          <cell r="H151">
            <v>11.7</v>
          </cell>
          <cell r="I151">
            <v>604562.39999999991</v>
          </cell>
          <cell r="J151">
            <v>0</v>
          </cell>
          <cell r="K151">
            <v>0</v>
          </cell>
          <cell r="L151">
            <v>0</v>
          </cell>
          <cell r="M151">
            <v>0</v>
          </cell>
          <cell r="N151">
            <v>11.7</v>
          </cell>
          <cell r="O151">
            <v>604562.39999999991</v>
          </cell>
          <cell r="P151">
            <v>0</v>
          </cell>
        </row>
        <row r="152">
          <cell r="D152" t="str">
            <v>14-10-040</v>
          </cell>
          <cell r="E152"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2" t="str">
            <v>M</v>
          </cell>
          <cell r="G152">
            <v>207031</v>
          </cell>
          <cell r="H152">
            <v>95.259999999999991</v>
          </cell>
          <cell r="I152">
            <v>19721773.059999999</v>
          </cell>
          <cell r="J152">
            <v>0</v>
          </cell>
          <cell r="K152">
            <v>0</v>
          </cell>
          <cell r="L152">
            <v>0</v>
          </cell>
          <cell r="M152">
            <v>0</v>
          </cell>
          <cell r="N152">
            <v>95.259999999999991</v>
          </cell>
          <cell r="O152">
            <v>19721773.059999999</v>
          </cell>
          <cell r="P152">
            <v>0</v>
          </cell>
        </row>
        <row r="153">
          <cell r="D153" t="str">
            <v>14-10-050</v>
          </cell>
          <cell r="E153" t="str">
            <v>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3" t="str">
            <v>UN</v>
          </cell>
          <cell r="G153">
            <v>59295</v>
          </cell>
          <cell r="H153">
            <v>20</v>
          </cell>
          <cell r="I153">
            <v>1185900</v>
          </cell>
          <cell r="J153">
            <v>0</v>
          </cell>
          <cell r="K153">
            <v>0</v>
          </cell>
          <cell r="L153">
            <v>0</v>
          </cell>
          <cell r="M153">
            <v>0</v>
          </cell>
          <cell r="N153">
            <v>20</v>
          </cell>
          <cell r="O153">
            <v>1185900</v>
          </cell>
          <cell r="P153">
            <v>0</v>
          </cell>
        </row>
        <row r="154">
          <cell r="D154" t="str">
            <v>14-10-060</v>
          </cell>
          <cell r="E154"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4" t="str">
            <v>UN</v>
          </cell>
          <cell r="G154">
            <v>105619</v>
          </cell>
          <cell r="H154">
            <v>8</v>
          </cell>
          <cell r="I154">
            <v>844952</v>
          </cell>
          <cell r="J154">
            <v>0</v>
          </cell>
          <cell r="K154">
            <v>0</v>
          </cell>
          <cell r="L154">
            <v>0</v>
          </cell>
          <cell r="M154">
            <v>0</v>
          </cell>
          <cell r="N154">
            <v>8</v>
          </cell>
          <cell r="O154">
            <v>844952</v>
          </cell>
          <cell r="P154">
            <v>0</v>
          </cell>
        </row>
        <row r="155">
          <cell r="D155" t="str">
            <v>14-10-070</v>
          </cell>
          <cell r="E155"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55" t="str">
            <v>UN</v>
          </cell>
          <cell r="G155">
            <v>470527</v>
          </cell>
          <cell r="H155">
            <v>2</v>
          </cell>
          <cell r="I155">
            <v>941054</v>
          </cell>
          <cell r="J155">
            <v>0</v>
          </cell>
          <cell r="K155">
            <v>0</v>
          </cell>
          <cell r="L155">
            <v>0</v>
          </cell>
          <cell r="M155">
            <v>0</v>
          </cell>
          <cell r="N155">
            <v>2</v>
          </cell>
          <cell r="O155">
            <v>941054</v>
          </cell>
          <cell r="P155">
            <v>0</v>
          </cell>
        </row>
        <row r="156">
          <cell r="D156" t="str">
            <v>14-10-080</v>
          </cell>
          <cell r="E156" t="str">
            <v>CONSTRUCCION DE CAÑUELA B: 0,3 M. INCLUYE EXCAVACION MANUAL Y ACABADOS EN CONCRETO DE 17 MPA</v>
          </cell>
          <cell r="F156" t="str">
            <v>M</v>
          </cell>
          <cell r="G156">
            <v>63626</v>
          </cell>
          <cell r="H156">
            <v>1.3</v>
          </cell>
          <cell r="I156">
            <v>82713.8</v>
          </cell>
          <cell r="J156">
            <v>0</v>
          </cell>
          <cell r="K156">
            <v>0</v>
          </cell>
          <cell r="L156">
            <v>0</v>
          </cell>
          <cell r="M156">
            <v>0</v>
          </cell>
          <cell r="N156">
            <v>1.3</v>
          </cell>
          <cell r="O156">
            <v>82713.8</v>
          </cell>
          <cell r="P156">
            <v>0</v>
          </cell>
        </row>
        <row r="157">
          <cell r="D157" t="str">
            <v>14-10-090</v>
          </cell>
          <cell r="E157"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57" t="str">
            <v>M3</v>
          </cell>
          <cell r="G157">
            <v>55926</v>
          </cell>
          <cell r="H157">
            <v>27.697199999999995</v>
          </cell>
          <cell r="I157">
            <v>1548993.6071999997</v>
          </cell>
          <cell r="J157">
            <v>0</v>
          </cell>
          <cell r="K157">
            <v>0</v>
          </cell>
          <cell r="L157">
            <v>0</v>
          </cell>
          <cell r="M157">
            <v>0</v>
          </cell>
          <cell r="N157">
            <v>27.697199999999995</v>
          </cell>
          <cell r="O157">
            <v>1548993.6071999997</v>
          </cell>
          <cell r="P157">
            <v>0</v>
          </cell>
        </row>
        <row r="158">
          <cell r="D158" t="str">
            <v>14-10-100</v>
          </cell>
          <cell r="E158" t="str">
            <v>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v>
          </cell>
          <cell r="F158" t="str">
            <v>M3</v>
          </cell>
          <cell r="G158">
            <v>100354</v>
          </cell>
          <cell r="H158">
            <v>7.1191638839156512</v>
          </cell>
          <cell r="I158">
            <v>714436.57240647124</v>
          </cell>
          <cell r="J158">
            <v>0</v>
          </cell>
          <cell r="K158">
            <v>0</v>
          </cell>
          <cell r="L158">
            <v>0</v>
          </cell>
          <cell r="M158">
            <v>0</v>
          </cell>
          <cell r="N158">
            <v>7.1191638839156512</v>
          </cell>
          <cell r="O158">
            <v>714436.57240647124</v>
          </cell>
          <cell r="P158">
            <v>0</v>
          </cell>
        </row>
        <row r="159">
          <cell r="D159" t="str">
            <v>14-10-110</v>
          </cell>
          <cell r="E159" t="str">
            <v xml:space="preserve">LLENOS EN ARENILLA, COMPACTADOS MECÁNICAMENTE HASTA OBTENER UNA DENSIDAD DEL 98% DE LA MÁXIMA OBTENIDA EN EL ENSAYO DEL PRÓCTOR MODIFICADO. INCLUYE EL SUMINISTRO, TRANSPORTE, COLOCACIÓN DE LA ARENILLA, LA COMPACTACIÓN </v>
          </cell>
          <cell r="F159" t="str">
            <v>M3</v>
          </cell>
          <cell r="G159">
            <v>42898</v>
          </cell>
          <cell r="H159">
            <v>4.7461092559437672</v>
          </cell>
          <cell r="I159">
            <v>203598.59486147572</v>
          </cell>
          <cell r="J159">
            <v>0</v>
          </cell>
          <cell r="K159">
            <v>0</v>
          </cell>
          <cell r="L159">
            <v>0</v>
          </cell>
          <cell r="M159">
            <v>0</v>
          </cell>
          <cell r="N159">
            <v>4.7461092559437672</v>
          </cell>
          <cell r="O159">
            <v>203598.59486147572</v>
          </cell>
          <cell r="P159">
            <v>0</v>
          </cell>
        </row>
        <row r="160">
          <cell r="D160" t="str">
            <v>14-10-120</v>
          </cell>
          <cell r="E160" t="str">
            <v>LLENOS EN MATERIAL PROVENIENTES DE LA EXCAVACIÓN, COMPACTADOS MECÁNICAMENTE HASTA OBTENER UNA DENSIDAD DEL 95% DE LA MÁXIMA OBTENIDA EN EL ENSAYO DEL PRÓCTOR MODIFICADO. INCLUYE TRANSPORTE INTERNO. SU MEDIDA SERÁ EN SITIO YA COMPACTADO.</v>
          </cell>
          <cell r="F160" t="str">
            <v>M3</v>
          </cell>
          <cell r="G160">
            <v>17806</v>
          </cell>
          <cell r="H160">
            <v>14.911926860140579</v>
          </cell>
          <cell r="I160">
            <v>265521.76967166312</v>
          </cell>
          <cell r="J160">
            <v>0</v>
          </cell>
          <cell r="K160">
            <v>0</v>
          </cell>
          <cell r="L160">
            <v>0</v>
          </cell>
          <cell r="M160">
            <v>0</v>
          </cell>
          <cell r="N160">
            <v>14.911926860140579</v>
          </cell>
          <cell r="O160">
            <v>265521.76967166312</v>
          </cell>
          <cell r="P160">
            <v>0</v>
          </cell>
        </row>
        <row r="161">
          <cell r="D161" t="str">
            <v>14-10-130</v>
          </cell>
          <cell r="E161"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61" t="str">
            <v>M3</v>
          </cell>
          <cell r="G161">
            <v>26000</v>
          </cell>
          <cell r="H161">
            <v>13.80809499104817</v>
          </cell>
          <cell r="I161">
            <v>359010.46976725245</v>
          </cell>
          <cell r="J161">
            <v>0</v>
          </cell>
          <cell r="K161">
            <v>0</v>
          </cell>
          <cell r="L161">
            <v>0</v>
          </cell>
          <cell r="M161">
            <v>0</v>
          </cell>
          <cell r="N161">
            <v>13.80809499104817</v>
          </cell>
          <cell r="O161">
            <v>359010.46976725245</v>
          </cell>
          <cell r="P161">
            <v>0</v>
          </cell>
        </row>
        <row r="162">
          <cell r="D162" t="str">
            <v>14-10-140</v>
          </cell>
          <cell r="E162" t="str">
            <v xml:space="preserve">S.T.C DE  DE TRAMPA GRASA DE 205 L. INCLUYE SOPORTES, ACCESORIOS, TUBERIAS Y TODOS LOS ELEMENTOS NECESARIOS PARA SU CORRECTO FUNCIONAMIENTO. </v>
          </cell>
          <cell r="F162" t="str">
            <v>UN</v>
          </cell>
          <cell r="G162">
            <v>376472</v>
          </cell>
          <cell r="H162">
            <v>1</v>
          </cell>
          <cell r="I162">
            <v>376472</v>
          </cell>
          <cell r="J162">
            <v>0</v>
          </cell>
          <cell r="K162">
            <v>0</v>
          </cell>
          <cell r="L162">
            <v>0</v>
          </cell>
          <cell r="M162">
            <v>0</v>
          </cell>
          <cell r="N162">
            <v>1</v>
          </cell>
          <cell r="O162">
            <v>376472</v>
          </cell>
          <cell r="P162">
            <v>0</v>
          </cell>
        </row>
        <row r="163">
          <cell r="D163" t="str">
            <v>14-15</v>
          </cell>
          <cell r="E163" t="str">
            <v>INSTALACIONES DE AGUAS LLUVIAS</v>
          </cell>
          <cell r="F163">
            <v>0</v>
          </cell>
          <cell r="G163">
            <v>0</v>
          </cell>
          <cell r="H163">
            <v>0</v>
          </cell>
          <cell r="I163">
            <v>0</v>
          </cell>
          <cell r="J163">
            <v>0</v>
          </cell>
          <cell r="K163">
            <v>0</v>
          </cell>
          <cell r="L163">
            <v>0</v>
          </cell>
          <cell r="M163">
            <v>42945353.040056393</v>
          </cell>
          <cell r="N163">
            <v>0</v>
          </cell>
          <cell r="O163">
            <v>42945353.040056393</v>
          </cell>
          <cell r="P163">
            <v>0</v>
          </cell>
        </row>
        <row r="164">
          <cell r="D164" t="str">
            <v>14-15-010</v>
          </cell>
          <cell r="E164" t="str">
            <v>SUMINISTRO, TRANSPORTE E INSTALACIÓN DE TUBERÍA PVC-SANITARIA, COLGADA O EN BAJANTE CON UN DIÁMETRO DE 3",  DE AGUAS RESIDUALES. INCLUYE SUMINISTRO Y TRANSPORTE DE LOS MATERIALES, BOCAS, ACCESORIOS, PEGANTE, LIMPIADOR, WASH PRIMER, ACABADO EN ESMALTE MATE, COLOR A DEFINIR POR PARTE DE INTERVENTORÍA, ANDAMIOS, ABRAZADERAS Y TODOS LOS ELEMENTOS NECESARIOS PARA SU CORRECTA INSTALACIÓN Y FUNCIONAMIENTO.</v>
          </cell>
          <cell r="F164" t="str">
            <v>M</v>
          </cell>
          <cell r="G164">
            <v>27622</v>
          </cell>
          <cell r="H164">
            <v>0</v>
          </cell>
          <cell r="I164">
            <v>0</v>
          </cell>
          <cell r="J164">
            <v>0</v>
          </cell>
          <cell r="K164">
            <v>0</v>
          </cell>
          <cell r="L164">
            <v>39.599999999999994</v>
          </cell>
          <cell r="M164">
            <v>1093831.2</v>
          </cell>
          <cell r="N164">
            <v>39.599999999999994</v>
          </cell>
          <cell r="O164">
            <v>1093831.2</v>
          </cell>
          <cell r="P164">
            <v>0</v>
          </cell>
        </row>
        <row r="165">
          <cell r="D165" t="str">
            <v>14-15-020</v>
          </cell>
          <cell r="E165"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5" t="str">
            <v>M</v>
          </cell>
          <cell r="G165">
            <v>27403</v>
          </cell>
          <cell r="H165">
            <v>0</v>
          </cell>
          <cell r="I165">
            <v>0</v>
          </cell>
          <cell r="J165">
            <v>0</v>
          </cell>
          <cell r="K165">
            <v>0</v>
          </cell>
          <cell r="L165">
            <v>14.600000000000001</v>
          </cell>
          <cell r="M165">
            <v>400083.80000000005</v>
          </cell>
          <cell r="N165">
            <v>14.600000000000001</v>
          </cell>
          <cell r="O165">
            <v>400083.80000000005</v>
          </cell>
          <cell r="P165">
            <v>0</v>
          </cell>
        </row>
        <row r="166">
          <cell r="D166" t="str">
            <v>14-15-030</v>
          </cell>
          <cell r="E166"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6" t="str">
            <v>M</v>
          </cell>
          <cell r="G166">
            <v>101377</v>
          </cell>
          <cell r="H166">
            <v>0</v>
          </cell>
          <cell r="I166">
            <v>0</v>
          </cell>
          <cell r="J166">
            <v>0</v>
          </cell>
          <cell r="K166">
            <v>0</v>
          </cell>
          <cell r="L166">
            <v>162.55000000000001</v>
          </cell>
          <cell r="M166">
            <v>16478831.350000001</v>
          </cell>
          <cell r="N166">
            <v>162.55000000000001</v>
          </cell>
          <cell r="O166">
            <v>16478831.350000001</v>
          </cell>
          <cell r="P166">
            <v>0</v>
          </cell>
        </row>
        <row r="167">
          <cell r="D167" t="str">
            <v>14-15-040</v>
          </cell>
          <cell r="E167" t="str">
            <v>SUMINISTRO, TRANSPORTE E INSTALACIÓN DE TRAGANTE DOBLE 3",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v>
          </cell>
          <cell r="F167" t="str">
            <v>UN</v>
          </cell>
          <cell r="G167">
            <v>87643</v>
          </cell>
          <cell r="H167">
            <v>0</v>
          </cell>
          <cell r="I167">
            <v>0</v>
          </cell>
          <cell r="J167">
            <v>0</v>
          </cell>
          <cell r="K167">
            <v>0</v>
          </cell>
          <cell r="L167">
            <v>25</v>
          </cell>
          <cell r="M167">
            <v>2191075</v>
          </cell>
          <cell r="N167">
            <v>25</v>
          </cell>
          <cell r="O167">
            <v>2191075</v>
          </cell>
          <cell r="P167">
            <v>0</v>
          </cell>
        </row>
        <row r="168">
          <cell r="D168" t="str">
            <v>14-15-050</v>
          </cell>
          <cell r="E168" t="str">
            <v>SUMINISTRO, TRANSPORTE E INSTALACIÓN DE (CANOA) CANAL EN LAMINA CALIBRE 18 DE 6", PARA AGUAS LLUVIAS. INCLUYE SUMINISTRO Y TRANSPORTE DE LOS MATERIALES, ACCESORIOS, LIMPIADOR Y TODOS LOS ELEMENTOS NECESARIOS PARA SU CORRECTA INSTALACIÓN Y FUNCIONAMIENTO.</v>
          </cell>
          <cell r="F168" t="str">
            <v>ML</v>
          </cell>
          <cell r="G168">
            <v>54433</v>
          </cell>
          <cell r="H168">
            <v>0</v>
          </cell>
          <cell r="I168">
            <v>0</v>
          </cell>
          <cell r="J168">
            <v>0</v>
          </cell>
          <cell r="K168">
            <v>0</v>
          </cell>
          <cell r="L168">
            <v>64.239999999999995</v>
          </cell>
          <cell r="M168">
            <v>3496775.92</v>
          </cell>
          <cell r="N168">
            <v>64.239999999999995</v>
          </cell>
          <cell r="O168">
            <v>3496775.92</v>
          </cell>
          <cell r="P168">
            <v>0</v>
          </cell>
        </row>
        <row r="169">
          <cell r="D169" t="str">
            <v>14-15-060</v>
          </cell>
          <cell r="E169" t="str">
            <v>SUMINISTRO, TRANSPORTE E INSTALACIÓN DE (CANOA) CANAL EN LAMINA CALIBRE 18 DE 3", PARA AGUAS LLUVIAS. INCLUYE SUMINISTRO Y TRANSPORTE DE LOS MATERIALES, ACCESORIOS, LIMPIADOR Y TODOS LOS ELEMENTOS NECESARIOS PARA SU CORRECTA INSTALACIÓN Y FUNCIONAMIENTO.</v>
          </cell>
          <cell r="F169" t="str">
            <v>ML</v>
          </cell>
          <cell r="G169">
            <v>47534</v>
          </cell>
          <cell r="H169">
            <v>0</v>
          </cell>
          <cell r="I169">
            <v>0</v>
          </cell>
          <cell r="J169">
            <v>0</v>
          </cell>
          <cell r="K169">
            <v>0</v>
          </cell>
          <cell r="L169">
            <v>53.13</v>
          </cell>
          <cell r="M169">
            <v>2525481.42</v>
          </cell>
          <cell r="N169">
            <v>53.13</v>
          </cell>
          <cell r="O169">
            <v>2525481.42</v>
          </cell>
          <cell r="P169">
            <v>0</v>
          </cell>
        </row>
        <row r="170">
          <cell r="D170" t="str">
            <v>14-15-070</v>
          </cell>
          <cell r="E170"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70" t="str">
            <v>UN</v>
          </cell>
          <cell r="G170">
            <v>105619</v>
          </cell>
          <cell r="H170">
            <v>0</v>
          </cell>
          <cell r="I170">
            <v>0</v>
          </cell>
          <cell r="J170">
            <v>0</v>
          </cell>
          <cell r="K170">
            <v>0</v>
          </cell>
          <cell r="L170">
            <v>1</v>
          </cell>
          <cell r="M170">
            <v>105619</v>
          </cell>
          <cell r="N170">
            <v>1</v>
          </cell>
          <cell r="O170">
            <v>105619</v>
          </cell>
          <cell r="P170">
            <v>0</v>
          </cell>
        </row>
        <row r="171">
          <cell r="D171" t="str">
            <v>14-15-080</v>
          </cell>
          <cell r="E171"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71" t="str">
            <v>UN</v>
          </cell>
          <cell r="G171">
            <v>470527</v>
          </cell>
          <cell r="H171">
            <v>0</v>
          </cell>
          <cell r="I171">
            <v>0</v>
          </cell>
          <cell r="J171">
            <v>0</v>
          </cell>
          <cell r="K171">
            <v>0</v>
          </cell>
          <cell r="L171">
            <v>7</v>
          </cell>
          <cell r="M171">
            <v>3293689</v>
          </cell>
          <cell r="N171">
            <v>7</v>
          </cell>
          <cell r="O171">
            <v>3293689</v>
          </cell>
          <cell r="P171">
            <v>0</v>
          </cell>
        </row>
        <row r="172">
          <cell r="D172" t="str">
            <v>14-15-090</v>
          </cell>
          <cell r="E172" t="str">
            <v xml:space="preserve">CONSTRUCCIÓN DE CÁRCAMO LINEAL DE 40X40 (MEDIDAS EXTERNAS) CM  EN CONCRETO DE 21 MPA., CON UN ESPESOR DE 8 CM.  INCLUYE SUMINISTRO, TRANSPORTE Y COLOCACIÓN DEL CONCRETO, </v>
          </cell>
          <cell r="F172" t="str">
            <v>ML</v>
          </cell>
          <cell r="G172">
            <v>91178</v>
          </cell>
          <cell r="H172">
            <v>0</v>
          </cell>
          <cell r="I172">
            <v>0</v>
          </cell>
          <cell r="J172">
            <v>0</v>
          </cell>
          <cell r="K172">
            <v>0</v>
          </cell>
          <cell r="L172">
            <v>65.37</v>
          </cell>
          <cell r="M172">
            <v>5960305.8600000003</v>
          </cell>
          <cell r="N172">
            <v>65.37</v>
          </cell>
          <cell r="O172">
            <v>5960305.8600000003</v>
          </cell>
          <cell r="P172">
            <v>0</v>
          </cell>
        </row>
        <row r="173">
          <cell r="D173" t="str">
            <v>14-15-100</v>
          </cell>
          <cell r="E173" t="str">
            <v xml:space="preserve">SUMINISTRO, TRANSPORTE Y COLOCACIÓN DE TAPA DE CÁRCAMO DE 30*50 CM. PREFABRICADA EN CONCRETO DE 21MPA. INCLUYE ACERO DE REFUERZO Y TODO LO NECESARIO PARA SU CORRECTA CONSTRUCCIÓN Y FUNCIONAMIENTO. </v>
          </cell>
          <cell r="F173" t="str">
            <v>ML</v>
          </cell>
          <cell r="G173">
            <v>45773</v>
          </cell>
          <cell r="H173">
            <v>0</v>
          </cell>
          <cell r="I173">
            <v>0</v>
          </cell>
          <cell r="J173">
            <v>0</v>
          </cell>
          <cell r="K173">
            <v>0</v>
          </cell>
          <cell r="L173">
            <v>65.37</v>
          </cell>
          <cell r="M173">
            <v>2992181.0100000002</v>
          </cell>
          <cell r="N173">
            <v>65.37</v>
          </cell>
          <cell r="O173">
            <v>2992181.0100000002</v>
          </cell>
          <cell r="P173">
            <v>0</v>
          </cell>
        </row>
        <row r="174">
          <cell r="D174" t="str">
            <v>14-15-110</v>
          </cell>
          <cell r="E174" t="str">
            <v>CONSTRUCCION DE CAÑUELA B: 0,3 M. INCLUYE EXCAVACION MANUAL Y ACABADOS EN CONCRETO DE 17 MPA</v>
          </cell>
          <cell r="F174" t="str">
            <v>M</v>
          </cell>
          <cell r="G174">
            <v>63626</v>
          </cell>
          <cell r="H174">
            <v>0</v>
          </cell>
          <cell r="I174">
            <v>0</v>
          </cell>
          <cell r="J174">
            <v>0</v>
          </cell>
          <cell r="K174">
            <v>0</v>
          </cell>
          <cell r="L174">
            <v>4.1999999999999993</v>
          </cell>
          <cell r="M174">
            <v>267229.19999999995</v>
          </cell>
          <cell r="N174">
            <v>4.1999999999999993</v>
          </cell>
          <cell r="O174">
            <v>267229.19999999995</v>
          </cell>
          <cell r="P174">
            <v>0</v>
          </cell>
        </row>
        <row r="175">
          <cell r="D175" t="str">
            <v>14-15-120</v>
          </cell>
          <cell r="E175"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75" t="str">
            <v>M3</v>
          </cell>
          <cell r="G175">
            <v>55926</v>
          </cell>
          <cell r="H175">
            <v>0</v>
          </cell>
          <cell r="I175">
            <v>0</v>
          </cell>
          <cell r="J175">
            <v>0</v>
          </cell>
          <cell r="K175">
            <v>0</v>
          </cell>
          <cell r="L175">
            <v>42.116000000000007</v>
          </cell>
          <cell r="M175">
            <v>2355379.4160000002</v>
          </cell>
          <cell r="N175">
            <v>42.116000000000007</v>
          </cell>
          <cell r="O175">
            <v>2355379.4160000002</v>
          </cell>
          <cell r="P175">
            <v>0</v>
          </cell>
        </row>
        <row r="176">
          <cell r="D176" t="str">
            <v>14-15-130</v>
          </cell>
          <cell r="E176" t="str">
            <v xml:space="preserve">LLENOS EN ARENILLA, COMPACTADOS MECÁNICAMENTE HASTA OBTENER UNA DENSIDAD DEL 98% DE LA MÁXIMA OBTENIDA EN EL ENSAYO DEL PRÓCTOR MODIFICADO. INCLUYE EL SUMINISTRO, TRANSPORTE, COLOCACIÓN DE LA ARENILLA, LA COMPACTACIÓN </v>
          </cell>
          <cell r="F176">
            <v>0</v>
          </cell>
          <cell r="G176">
            <v>42898</v>
          </cell>
          <cell r="H176">
            <v>0</v>
          </cell>
          <cell r="I176">
            <v>0</v>
          </cell>
          <cell r="J176">
            <v>0</v>
          </cell>
          <cell r="K176">
            <v>0</v>
          </cell>
          <cell r="L176">
            <v>13.891819263278643</v>
          </cell>
          <cell r="M176">
            <v>595931.26275612728</v>
          </cell>
          <cell r="N176">
            <v>13.891819263278643</v>
          </cell>
          <cell r="O176">
            <v>595931.26275612728</v>
          </cell>
          <cell r="P176">
            <v>0</v>
          </cell>
        </row>
        <row r="177">
          <cell r="D177" t="str">
            <v>14-15-140</v>
          </cell>
          <cell r="E177" t="str">
            <v>LLENOS EN MATERIAL PROVENIENTES DE LA EXCAVACIÓN, COMPACTADOS MECÁNICAMENTE HASTA OBTENER UNA DENSIDAD DEL 95% DE LA MÁXIMA OBTENIDA EN EL ENSAYO DEL PRÓCTOR MODIFICADO. INCLUYE TRANSPORTE INTERNO. SU MEDIDA SERÁ EN SITIO YA COMPACTADO.</v>
          </cell>
          <cell r="F177">
            <v>0</v>
          </cell>
          <cell r="G177">
            <v>17806</v>
          </cell>
          <cell r="H177">
            <v>0</v>
          </cell>
          <cell r="I177">
            <v>0</v>
          </cell>
          <cell r="J177">
            <v>0</v>
          </cell>
          <cell r="K177">
            <v>0</v>
          </cell>
          <cell r="L177">
            <v>9.2612128421857616</v>
          </cell>
          <cell r="M177">
            <v>164905.15586795966</v>
          </cell>
          <cell r="N177">
            <v>9.2612128421857616</v>
          </cell>
          <cell r="O177">
            <v>164905.15586795966</v>
          </cell>
          <cell r="P177">
            <v>0</v>
          </cell>
        </row>
        <row r="178">
          <cell r="D178" t="str">
            <v>14-15-150</v>
          </cell>
          <cell r="E178" t="str">
            <v>LLENOS EN MATERIAL PROVENIENTES DE LA EXCAVACIÓN, COMPACTADOS MECÁNICAMENTE HASTA OBTENER UNA DENSIDAD DEL 95% DE LA MÁXIMA OBTENIDA EN EL ENSAYO DEL PRÓCTOR MODIFICADO. INCLUYE TRANSPORTE INTERNO. SU MEDIDA SERÁ EN SITIO YA COMPACTADO.</v>
          </cell>
          <cell r="F178" t="str">
            <v>M3</v>
          </cell>
          <cell r="G178">
            <v>17806</v>
          </cell>
          <cell r="H178">
            <v>0</v>
          </cell>
          <cell r="I178">
            <v>0</v>
          </cell>
          <cell r="J178">
            <v>0</v>
          </cell>
          <cell r="K178">
            <v>0</v>
          </cell>
          <cell r="L178">
            <v>15.435354736976272</v>
          </cell>
          <cell r="M178">
            <v>274841.92644659948</v>
          </cell>
          <cell r="N178">
            <v>15.435354736976272</v>
          </cell>
          <cell r="O178">
            <v>274841.92644659948</v>
          </cell>
          <cell r="P178">
            <v>0</v>
          </cell>
        </row>
        <row r="179">
          <cell r="D179" t="str">
            <v>14-15-160</v>
          </cell>
          <cell r="E179"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79" t="str">
            <v>M3</v>
          </cell>
          <cell r="G179">
            <v>26000</v>
          </cell>
          <cell r="H179">
            <v>0</v>
          </cell>
          <cell r="I179">
            <v>0</v>
          </cell>
          <cell r="J179">
            <v>0</v>
          </cell>
          <cell r="K179">
            <v>0</v>
          </cell>
          <cell r="L179">
            <v>28.815096884065635</v>
          </cell>
          <cell r="M179">
            <v>749192.5189857065</v>
          </cell>
          <cell r="N179">
            <v>28.815096884065635</v>
          </cell>
          <cell r="O179">
            <v>749192.5189857065</v>
          </cell>
          <cell r="P179">
            <v>0</v>
          </cell>
        </row>
        <row r="180">
          <cell r="D180" t="str">
            <v>14-20</v>
          </cell>
          <cell r="E180" t="str">
            <v>RED  DE GAS</v>
          </cell>
          <cell r="F180">
            <v>0</v>
          </cell>
          <cell r="G180">
            <v>0</v>
          </cell>
          <cell r="H180">
            <v>0</v>
          </cell>
          <cell r="I180">
            <v>953728.08000000007</v>
          </cell>
          <cell r="J180">
            <v>0</v>
          </cell>
          <cell r="K180">
            <v>0</v>
          </cell>
          <cell r="L180">
            <v>0</v>
          </cell>
          <cell r="M180">
            <v>0</v>
          </cell>
          <cell r="N180">
            <v>0</v>
          </cell>
          <cell r="O180">
            <v>953728.08000000007</v>
          </cell>
          <cell r="P180">
            <v>0</v>
          </cell>
        </row>
        <row r="181">
          <cell r="D181" t="str">
            <v>14-20-010</v>
          </cell>
          <cell r="E181" t="str">
            <v>SUMINISTRO, TRANSPORTE E INSTALACIÓN DE TUBERÍA DE PE-AL-PE GAS  Ø 1/2". INCLUYE SUMINISTRO Y TRANSPORTE DE LOS MATERIALES, ACCESORIOS, TODO LO NECESARIO PARA SU CORRECTA INSTALACIÓN Y FUNCIONAMIENTO.</v>
          </cell>
          <cell r="F181" t="str">
            <v>M</v>
          </cell>
          <cell r="G181">
            <v>21364</v>
          </cell>
          <cell r="H181">
            <v>10.72</v>
          </cell>
          <cell r="I181">
            <v>229022.08000000002</v>
          </cell>
          <cell r="J181">
            <v>0</v>
          </cell>
          <cell r="K181">
            <v>0</v>
          </cell>
          <cell r="L181">
            <v>0</v>
          </cell>
          <cell r="M181">
            <v>0</v>
          </cell>
          <cell r="N181">
            <v>10.72</v>
          </cell>
          <cell r="O181">
            <v>229022.08000000002</v>
          </cell>
          <cell r="P181">
            <v>0</v>
          </cell>
        </row>
        <row r="182">
          <cell r="D182" t="str">
            <v>14-20-020</v>
          </cell>
          <cell r="E182" t="str">
            <v>SUMINISTRO, TRANSPORTE E INSTALACIÓN DE REGULADOR ETAPA ÚNICA, TIPO HUMCAR O EQUIVALENTE MODELO R4UE, PRESIÓN DE ENTRADA ENTRE 1-4 BAR Y PRESIÓN DE SALIDA ENTRE 0.018 - 0.023 BAR, CAUDAL MÁXIMO DE 5M3/H. INCLUYE SUMINISTRO Y TRANSPORTE DE LOS MATERIALES Y TODO LO NECESARIO PARA SU CORRECTA INSTALACIÓN Y FUNCIONAMIENTO.</v>
          </cell>
          <cell r="F182" t="str">
            <v>UN</v>
          </cell>
          <cell r="G182">
            <v>90431</v>
          </cell>
          <cell r="H182">
            <v>1</v>
          </cell>
          <cell r="I182">
            <v>90431</v>
          </cell>
          <cell r="J182">
            <v>0</v>
          </cell>
          <cell r="K182">
            <v>0</v>
          </cell>
          <cell r="L182">
            <v>0</v>
          </cell>
          <cell r="M182">
            <v>0</v>
          </cell>
          <cell r="N182">
            <v>1</v>
          </cell>
          <cell r="O182">
            <v>90431</v>
          </cell>
          <cell r="P182">
            <v>0</v>
          </cell>
        </row>
        <row r="183">
          <cell r="D183" t="str">
            <v>14-20-030</v>
          </cell>
          <cell r="E183" t="str">
            <v>SUMINISTRO, TRANSPORTE E INSTALACIÓN DE VÁLVULA ESFÉRICA DE 1/2" DE MANERAL LARGO. INCLUYE SUMINISTRO Y TRANSPORTE DE LOS MATERIALES Y TODOS LOS ACCESORIOS NECESARIOS PARA SU CORRECTA INSTALACIÓN Y FUNCIONAMIENTO.</v>
          </cell>
          <cell r="F183" t="str">
            <v>UN</v>
          </cell>
          <cell r="G183">
            <v>24447</v>
          </cell>
          <cell r="H183">
            <v>2</v>
          </cell>
          <cell r="I183">
            <v>48894</v>
          </cell>
          <cell r="J183">
            <v>0</v>
          </cell>
          <cell r="K183">
            <v>0</v>
          </cell>
          <cell r="L183">
            <v>0</v>
          </cell>
          <cell r="M183">
            <v>0</v>
          </cell>
          <cell r="N183">
            <v>2</v>
          </cell>
          <cell r="O183">
            <v>48894</v>
          </cell>
          <cell r="P183">
            <v>0</v>
          </cell>
        </row>
        <row r="184">
          <cell r="D184" t="str">
            <v>14-20-040</v>
          </cell>
          <cell r="E184" t="str">
            <v>SUMINISTRO, TRANSPORTE E INSTALACIÓN DE AVISO ACRÍLICO PARA REGULACIÓN DE GAS. INCLUYE TODO LOS ELEMENTOS NECESARIOS PARA SU CORRECTA INSTALACIÓN Y FUNCIONAMIENTO.</v>
          </cell>
          <cell r="F184" t="str">
            <v>UN</v>
          </cell>
          <cell r="G184">
            <v>11932</v>
          </cell>
          <cell r="H184">
            <v>1</v>
          </cell>
          <cell r="I184">
            <v>11932</v>
          </cell>
          <cell r="J184">
            <v>0</v>
          </cell>
          <cell r="K184">
            <v>0</v>
          </cell>
          <cell r="L184">
            <v>0</v>
          </cell>
          <cell r="M184">
            <v>0</v>
          </cell>
          <cell r="N184">
            <v>1</v>
          </cell>
          <cell r="O184">
            <v>11932</v>
          </cell>
          <cell r="P184">
            <v>0</v>
          </cell>
        </row>
        <row r="185">
          <cell r="D185" t="str">
            <v>14-20-050</v>
          </cell>
          <cell r="E185" t="str">
            <v>SUMINISTRO, TRANSPORTE E INSTALACIÓN DE AVISO ACRÍLICO ABIERTO-CERRADO PARA VÁLVULAS. INCLUYE TODOS LOS ELEMENTOS NECESARIOS PARA SU CORRECTA INSTALACIÓN Y FUNCIONAMIENTO.</v>
          </cell>
          <cell r="F185" t="str">
            <v>UN</v>
          </cell>
          <cell r="G185">
            <v>8932</v>
          </cell>
          <cell r="H185">
            <v>1</v>
          </cell>
          <cell r="I185">
            <v>8932</v>
          </cell>
          <cell r="J185">
            <v>0</v>
          </cell>
          <cell r="K185">
            <v>0</v>
          </cell>
          <cell r="L185">
            <v>0</v>
          </cell>
          <cell r="M185">
            <v>0</v>
          </cell>
          <cell r="N185">
            <v>1</v>
          </cell>
          <cell r="O185">
            <v>8932</v>
          </cell>
          <cell r="P185">
            <v>0</v>
          </cell>
        </row>
        <row r="186">
          <cell r="D186" t="str">
            <v>14-20-060</v>
          </cell>
          <cell r="E186" t="str">
            <v>SUMINISTRO, TRANSPORTE E INSTALACIÓN DE CONECTOR PARA COCINA. INCLUYE TODOS LOS ELEMENTOS Y ACCESORIOS NECESARIOS PARA SU CORRECTA INSTALACIÓN Y FUNCIONAMIENTO.</v>
          </cell>
          <cell r="F186" t="str">
            <v>UN</v>
          </cell>
          <cell r="G186">
            <v>39597</v>
          </cell>
          <cell r="H186">
            <v>1</v>
          </cell>
          <cell r="I186">
            <v>39597</v>
          </cell>
          <cell r="J186">
            <v>0</v>
          </cell>
          <cell r="K186">
            <v>0</v>
          </cell>
          <cell r="L186">
            <v>0</v>
          </cell>
          <cell r="M186">
            <v>0</v>
          </cell>
          <cell r="N186">
            <v>1</v>
          </cell>
          <cell r="O186">
            <v>39597</v>
          </cell>
          <cell r="P186">
            <v>0</v>
          </cell>
        </row>
        <row r="187">
          <cell r="D187" t="str">
            <v>14-20-070</v>
          </cell>
          <cell r="E187" t="str">
            <v>SUMINISTRO, TRANSPORTE E ISNTALACION DE CAJA PLASTICA DE 15 X 15 CM PARA VALVULA. INCLUYE TODOS LOS ELEMENTOS Y ACCESORIOS NECESARIOS PARA CORECTA INSTALACION Y FUNCIONAMIENTO.</v>
          </cell>
          <cell r="F187" t="str">
            <v>UN</v>
          </cell>
          <cell r="G187">
            <v>13014</v>
          </cell>
          <cell r="H187">
            <v>1</v>
          </cell>
          <cell r="I187">
            <v>13014</v>
          </cell>
          <cell r="J187">
            <v>0</v>
          </cell>
          <cell r="K187">
            <v>0</v>
          </cell>
          <cell r="L187">
            <v>0</v>
          </cell>
          <cell r="M187">
            <v>0</v>
          </cell>
          <cell r="N187">
            <v>1</v>
          </cell>
          <cell r="O187">
            <v>13014</v>
          </cell>
          <cell r="P187">
            <v>0</v>
          </cell>
        </row>
        <row r="188">
          <cell r="D188" t="str">
            <v>14-20-080</v>
          </cell>
          <cell r="E188" t="str">
            <v>SUMINISTRO, TRANSPORTE E INSTALACIÓN DE PIPETAS DE GAS DE 100 LIBRAS. INCLUYE SUMINISTRO Y TRANSPORTE DE LOS MATERIALES Y TODO LO NECESARIO PARA SU CORRECTA INSTALACIÓN Y FUNCIONAMIENTO.</v>
          </cell>
          <cell r="F188" t="str">
            <v>UN</v>
          </cell>
          <cell r="G188">
            <v>255953</v>
          </cell>
          <cell r="H188">
            <v>2</v>
          </cell>
          <cell r="I188">
            <v>511906</v>
          </cell>
          <cell r="J188">
            <v>0</v>
          </cell>
          <cell r="K188">
            <v>0</v>
          </cell>
          <cell r="L188">
            <v>0</v>
          </cell>
          <cell r="M188">
            <v>0</v>
          </cell>
          <cell r="N188">
            <v>2</v>
          </cell>
          <cell r="O188">
            <v>511906</v>
          </cell>
          <cell r="P188">
            <v>0</v>
          </cell>
        </row>
        <row r="189">
          <cell r="D189" t="str">
            <v>14-25</v>
          </cell>
          <cell r="E189" t="str">
            <v>RED CONTRA INCENDIO</v>
          </cell>
          <cell r="F189">
            <v>0</v>
          </cell>
          <cell r="G189">
            <v>0</v>
          </cell>
          <cell r="H189">
            <v>0</v>
          </cell>
          <cell r="I189">
            <v>589140</v>
          </cell>
          <cell r="J189">
            <v>0</v>
          </cell>
          <cell r="K189">
            <v>0</v>
          </cell>
          <cell r="L189">
            <v>0</v>
          </cell>
          <cell r="M189">
            <v>0</v>
          </cell>
          <cell r="N189">
            <v>0</v>
          </cell>
          <cell r="O189">
            <v>589140</v>
          </cell>
          <cell r="P189">
            <v>0</v>
          </cell>
        </row>
        <row r="190">
          <cell r="D190" t="str">
            <v>14-25-010</v>
          </cell>
          <cell r="E190" t="str">
            <v>SUMINISTO E INSTALACION DE EXTINTOR, COLGADO EN PARED, INCLUYE ACCESORIOS PARA SU CORRECTA INSTALACION Y DEMARCACION.</v>
          </cell>
          <cell r="F190" t="str">
            <v>UN</v>
          </cell>
          <cell r="G190">
            <v>117828</v>
          </cell>
          <cell r="H190">
            <v>5</v>
          </cell>
          <cell r="I190">
            <v>589140</v>
          </cell>
          <cell r="J190">
            <v>0</v>
          </cell>
          <cell r="K190">
            <v>0</v>
          </cell>
          <cell r="L190">
            <v>0</v>
          </cell>
          <cell r="M190">
            <v>0</v>
          </cell>
          <cell r="N190">
            <v>5</v>
          </cell>
          <cell r="O190">
            <v>589140</v>
          </cell>
          <cell r="P190">
            <v>0</v>
          </cell>
        </row>
        <row r="191">
          <cell r="D191" t="str">
            <v>15</v>
          </cell>
          <cell r="E191" t="str">
            <v>INSTALACIONES ELECTRICAS</v>
          </cell>
          <cell r="F191">
            <v>0</v>
          </cell>
          <cell r="G191">
            <v>0</v>
          </cell>
          <cell r="H191">
            <v>0</v>
          </cell>
          <cell r="I191">
            <v>77937471.080000013</v>
          </cell>
          <cell r="J191">
            <v>0</v>
          </cell>
          <cell r="K191">
            <v>0</v>
          </cell>
          <cell r="L191">
            <v>0</v>
          </cell>
          <cell r="M191">
            <v>0</v>
          </cell>
          <cell r="N191">
            <v>0</v>
          </cell>
          <cell r="O191">
            <v>0</v>
          </cell>
          <cell r="P191">
            <v>77937471.080000013</v>
          </cell>
        </row>
        <row r="192">
          <cell r="D192" t="str">
            <v>15-05</v>
          </cell>
          <cell r="E192" t="str">
            <v>TABLEROS DE DISTRIBUCCIÓN</v>
          </cell>
          <cell r="F192">
            <v>0</v>
          </cell>
          <cell r="G192">
            <v>0</v>
          </cell>
          <cell r="H192">
            <v>0</v>
          </cell>
          <cell r="I192">
            <v>2115395</v>
          </cell>
          <cell r="J192">
            <v>0</v>
          </cell>
          <cell r="K192">
            <v>0</v>
          </cell>
          <cell r="L192">
            <v>0</v>
          </cell>
          <cell r="M192">
            <v>0</v>
          </cell>
          <cell r="N192">
            <v>0</v>
          </cell>
          <cell r="O192">
            <v>2115395</v>
          </cell>
          <cell r="P192">
            <v>0</v>
          </cell>
        </row>
        <row r="193">
          <cell r="D193">
            <v>0</v>
          </cell>
          <cell r="E193" t="str">
            <v>SUMINISTRO Y MONTAJE DE:</v>
          </cell>
          <cell r="F193">
            <v>0</v>
          </cell>
          <cell r="G193">
            <v>0</v>
          </cell>
          <cell r="H193">
            <v>0</v>
          </cell>
          <cell r="I193">
            <v>0</v>
          </cell>
          <cell r="J193">
            <v>0</v>
          </cell>
          <cell r="K193">
            <v>0</v>
          </cell>
          <cell r="L193">
            <v>0</v>
          </cell>
          <cell r="M193">
            <v>0</v>
          </cell>
          <cell r="N193">
            <v>0</v>
          </cell>
          <cell r="O193">
            <v>0</v>
          </cell>
          <cell r="P193">
            <v>0</v>
          </cell>
        </row>
        <row r="194">
          <cell r="D194">
            <v>0</v>
          </cell>
          <cell r="E194" t="str">
            <v>MONTAJE DE TABLERO Y/O GABINETE CON EQUIPO ELÉCTRICO SEGÚN DIAGRAMA UNIFILAR.
INCLUYE: TABLERO, SOPORTES, FIJACIONES, ANCLAJES, MARCACIÓN RETIE, PRUEBAS Y PUESTA EN SERVICIO.</v>
          </cell>
          <cell r="F194">
            <v>0</v>
          </cell>
          <cell r="G194">
            <v>0</v>
          </cell>
          <cell r="H194">
            <v>0</v>
          </cell>
          <cell r="I194">
            <v>0</v>
          </cell>
          <cell r="J194">
            <v>0</v>
          </cell>
          <cell r="K194">
            <v>0</v>
          </cell>
          <cell r="L194">
            <v>0</v>
          </cell>
          <cell r="M194">
            <v>0</v>
          </cell>
          <cell r="N194">
            <v>0</v>
          </cell>
          <cell r="O194">
            <v>0</v>
          </cell>
          <cell r="P194">
            <v>0</v>
          </cell>
        </row>
        <row r="195">
          <cell r="D195" t="str">
            <v>15-05-010</v>
          </cell>
          <cell r="E195" t="str">
            <v xml:space="preserve">TABLERO ELECTRICO  DE 24 CIRCUITOS 3F, 5H, 208V MONTAJE DE EMPOTRAR, CON ESPACIO PARA TOTALIZADOR, CON BARRAS DE NEUTRO Y TIERRA INDEPENDIENTES, CON PUERTA Y CHAPA,BARRAS INTERNAS DE COBRE DE 30A, 208V, ICC: 10 KA. + NEUTRO AL 100% + TIERRA60%                                                                                                                                                                                                                                                                   </v>
          </cell>
          <cell r="F195" t="str">
            <v>UN</v>
          </cell>
          <cell r="G195">
            <v>488294</v>
          </cell>
          <cell r="H195">
            <v>1</v>
          </cell>
          <cell r="I195">
            <v>488294</v>
          </cell>
          <cell r="J195">
            <v>0</v>
          </cell>
          <cell r="K195">
            <v>0</v>
          </cell>
          <cell r="L195">
            <v>0</v>
          </cell>
          <cell r="M195">
            <v>0</v>
          </cell>
          <cell r="N195">
            <v>1</v>
          </cell>
          <cell r="O195">
            <v>488294</v>
          </cell>
          <cell r="P195">
            <v>0</v>
          </cell>
        </row>
        <row r="196">
          <cell r="D196" t="str">
            <v>15-05-020</v>
          </cell>
          <cell r="E196" t="str">
            <v>SUMINISTRO E INSTALACIÓN BREAKER INDUSTRIAL 3X80A</v>
          </cell>
          <cell r="F196" t="str">
            <v>UN</v>
          </cell>
          <cell r="G196">
            <v>124989</v>
          </cell>
          <cell r="H196">
            <v>1</v>
          </cell>
          <cell r="I196">
            <v>124989</v>
          </cell>
          <cell r="J196">
            <v>0</v>
          </cell>
          <cell r="K196">
            <v>0</v>
          </cell>
          <cell r="L196">
            <v>0</v>
          </cell>
          <cell r="M196">
            <v>0</v>
          </cell>
          <cell r="N196">
            <v>1</v>
          </cell>
          <cell r="O196">
            <v>124989</v>
          </cell>
          <cell r="P196">
            <v>0</v>
          </cell>
        </row>
        <row r="197">
          <cell r="D197" t="str">
            <v>15-05-030</v>
          </cell>
          <cell r="E197" t="str">
            <v>SUMINISTRO E INSTALACIÓN BREAKER ENCHUFABLE 1X20A</v>
          </cell>
          <cell r="F197" t="str">
            <v>UN</v>
          </cell>
          <cell r="G197">
            <v>13023</v>
          </cell>
          <cell r="H197">
            <v>19</v>
          </cell>
          <cell r="I197">
            <v>247437</v>
          </cell>
          <cell r="J197">
            <v>0</v>
          </cell>
          <cell r="K197">
            <v>0</v>
          </cell>
          <cell r="L197">
            <v>0</v>
          </cell>
          <cell r="M197">
            <v>0</v>
          </cell>
          <cell r="N197">
            <v>19</v>
          </cell>
          <cell r="O197">
            <v>247437</v>
          </cell>
          <cell r="P197">
            <v>0</v>
          </cell>
        </row>
        <row r="198">
          <cell r="D198" t="str">
            <v>15-05-040</v>
          </cell>
          <cell r="E198" t="str">
            <v>SUMINISTRO E INSTALACIÓN BREAKER ENCHUFABLE 2X20A</v>
          </cell>
          <cell r="F198" t="str">
            <v>UN</v>
          </cell>
          <cell r="G198">
            <v>28689</v>
          </cell>
          <cell r="H198">
            <v>2</v>
          </cell>
          <cell r="I198">
            <v>57378</v>
          </cell>
          <cell r="J198">
            <v>0</v>
          </cell>
          <cell r="K198">
            <v>0</v>
          </cell>
          <cell r="L198">
            <v>0</v>
          </cell>
          <cell r="M198">
            <v>0</v>
          </cell>
          <cell r="N198">
            <v>2</v>
          </cell>
          <cell r="O198">
            <v>57378</v>
          </cell>
          <cell r="P198">
            <v>0</v>
          </cell>
        </row>
        <row r="199">
          <cell r="D199" t="str">
            <v>15-05-050</v>
          </cell>
          <cell r="E199" t="str">
            <v>GABINETE TIPO INTEMPERIE PARA ALOJAR MEDIDOR TRIFILAR</v>
          </cell>
          <cell r="F199" t="str">
            <v>UN</v>
          </cell>
          <cell r="G199">
            <v>659953</v>
          </cell>
          <cell r="H199">
            <v>1</v>
          </cell>
          <cell r="I199">
            <v>659953</v>
          </cell>
          <cell r="J199">
            <v>0</v>
          </cell>
          <cell r="K199">
            <v>0</v>
          </cell>
          <cell r="L199">
            <v>0</v>
          </cell>
          <cell r="M199">
            <v>0</v>
          </cell>
          <cell r="N199">
            <v>1</v>
          </cell>
          <cell r="O199">
            <v>659953</v>
          </cell>
          <cell r="P199">
            <v>0</v>
          </cell>
        </row>
        <row r="200">
          <cell r="D200" t="str">
            <v>15-05-060</v>
          </cell>
          <cell r="E200" t="str">
            <v>MEDIDOR TRIFÁSICO TETRAFILAR, CORRIENTE 20(100) A, VOLTAJE 240/120 V, CLASE 1 CON  PROTECCIÓN DE 3 X50 -10 KA MÍNIMO</v>
          </cell>
          <cell r="F200" t="str">
            <v>UN</v>
          </cell>
          <cell r="G200">
            <v>537344</v>
          </cell>
          <cell r="H200">
            <v>1</v>
          </cell>
          <cell r="I200">
            <v>537344</v>
          </cell>
          <cell r="J200">
            <v>0</v>
          </cell>
          <cell r="K200">
            <v>0</v>
          </cell>
          <cell r="L200">
            <v>0</v>
          </cell>
          <cell r="M200">
            <v>0</v>
          </cell>
          <cell r="N200">
            <v>1</v>
          </cell>
          <cell r="O200">
            <v>537344</v>
          </cell>
          <cell r="P200">
            <v>0</v>
          </cell>
        </row>
        <row r="201">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D202" t="str">
            <v>15-10</v>
          </cell>
          <cell r="E202" t="str">
            <v>ACOMETIDA ELECTRICA</v>
          </cell>
          <cell r="F202">
            <v>0</v>
          </cell>
          <cell r="G202">
            <v>0</v>
          </cell>
          <cell r="H202">
            <v>0</v>
          </cell>
          <cell r="I202">
            <v>5098405</v>
          </cell>
          <cell r="J202">
            <v>0</v>
          </cell>
          <cell r="K202">
            <v>0</v>
          </cell>
          <cell r="L202">
            <v>0</v>
          </cell>
          <cell r="M202">
            <v>0</v>
          </cell>
          <cell r="N202">
            <v>0</v>
          </cell>
          <cell r="O202">
            <v>5098405</v>
          </cell>
          <cell r="P202">
            <v>0</v>
          </cell>
        </row>
        <row r="203">
          <cell r="D203" t="str">
            <v>15-10-010</v>
          </cell>
          <cell r="E203" t="str">
            <v>SUMINISTRO E INSTALACIÓN DE CABLE CU CALIBRE 3X N° 1/0-AWG DESDE POSTE HASTA EL GABINETE CON MEDIDOR. (SUJETO A CAMBIO SEGÚN OPERADOR DE RED)ESTIMADA</v>
          </cell>
          <cell r="F203" t="str">
            <v>ML</v>
          </cell>
          <cell r="G203">
            <v>76488</v>
          </cell>
          <cell r="H203">
            <v>45</v>
          </cell>
          <cell r="I203">
            <v>3441960</v>
          </cell>
          <cell r="J203">
            <v>0</v>
          </cell>
          <cell r="K203">
            <v>0</v>
          </cell>
          <cell r="L203">
            <v>0</v>
          </cell>
          <cell r="M203">
            <v>0</v>
          </cell>
          <cell r="N203">
            <v>45</v>
          </cell>
          <cell r="O203">
            <v>3441960</v>
          </cell>
          <cell r="P203">
            <v>0</v>
          </cell>
        </row>
        <row r="204">
          <cell r="D204" t="str">
            <v>15-10-020</v>
          </cell>
          <cell r="E204" t="str">
            <v>SUMINISTRO E INSTALACIÓN DE CABLE 3N°2+1N°2+1N°8 THHN-AWG. CANTIDAD ESTIMADA</v>
          </cell>
          <cell r="F204" t="str">
            <v>ML</v>
          </cell>
          <cell r="G204">
            <v>47327</v>
          </cell>
          <cell r="H204">
            <v>35</v>
          </cell>
          <cell r="I204">
            <v>1656445</v>
          </cell>
          <cell r="J204">
            <v>0</v>
          </cell>
          <cell r="K204">
            <v>0</v>
          </cell>
          <cell r="L204">
            <v>0</v>
          </cell>
          <cell r="M204">
            <v>0</v>
          </cell>
          <cell r="N204">
            <v>35</v>
          </cell>
          <cell r="O204">
            <v>1656445</v>
          </cell>
          <cell r="P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D206" t="str">
            <v>15-15</v>
          </cell>
          <cell r="E206" t="str">
            <v>TUBERIA</v>
          </cell>
          <cell r="F206">
            <v>0</v>
          </cell>
          <cell r="G206">
            <v>0</v>
          </cell>
          <cell r="H206">
            <v>0</v>
          </cell>
          <cell r="I206">
            <v>10385292</v>
          </cell>
          <cell r="J206">
            <v>0</v>
          </cell>
          <cell r="K206">
            <v>0</v>
          </cell>
          <cell r="L206">
            <v>0</v>
          </cell>
          <cell r="M206">
            <v>0</v>
          </cell>
          <cell r="N206">
            <v>0</v>
          </cell>
          <cell r="O206">
            <v>10385292</v>
          </cell>
          <cell r="P206">
            <v>0</v>
          </cell>
        </row>
        <row r="207">
          <cell r="D207">
            <v>0</v>
          </cell>
          <cell r="E207" t="str">
            <v>TUBERÍA</v>
          </cell>
          <cell r="F207">
            <v>0</v>
          </cell>
          <cell r="G207">
            <v>0</v>
          </cell>
          <cell r="H207">
            <v>0</v>
          </cell>
          <cell r="I207">
            <v>0</v>
          </cell>
          <cell r="J207">
            <v>0</v>
          </cell>
          <cell r="K207">
            <v>0</v>
          </cell>
          <cell r="L207">
            <v>0</v>
          </cell>
          <cell r="M207">
            <v>0</v>
          </cell>
          <cell r="N207">
            <v>0</v>
          </cell>
          <cell r="O207">
            <v>0</v>
          </cell>
          <cell r="P207">
            <v>0</v>
          </cell>
        </row>
        <row r="208">
          <cell r="D208">
            <v>0</v>
          </cell>
          <cell r="E208" t="str">
            <v>INSTALACIÓN DE TUBERÍA METÁLICA TIPO EMT SOBREPUESTA EN SUPERFICIE.
INCLUYE: TUBO, CURVAS, UNIONES, ENTRADAS Y SOPORTE CADA 1,2 MTS,  MARCACIÓN RETIE , ALAMBRE DULCE PARA GUÍA DE CABLES, GRAPAS, ANCLAJES, NIVELACIÓN Y PUESTA EN SERVICIO.</v>
          </cell>
          <cell r="F208">
            <v>0</v>
          </cell>
          <cell r="G208">
            <v>0</v>
          </cell>
          <cell r="H208">
            <v>0</v>
          </cell>
          <cell r="I208">
            <v>0</v>
          </cell>
          <cell r="J208">
            <v>0</v>
          </cell>
          <cell r="K208">
            <v>0</v>
          </cell>
          <cell r="L208">
            <v>0</v>
          </cell>
          <cell r="M208">
            <v>0</v>
          </cell>
          <cell r="N208">
            <v>0</v>
          </cell>
          <cell r="O208">
            <v>0</v>
          </cell>
          <cell r="P208">
            <v>0</v>
          </cell>
        </row>
        <row r="209">
          <cell r="D209" t="str">
            <v>15-15-010</v>
          </cell>
          <cell r="E209" t="str">
            <v>TUBERÍA METÁLICA TIPO EMT DE 3/4"</v>
          </cell>
          <cell r="F209" t="str">
            <v>ML</v>
          </cell>
          <cell r="G209">
            <v>10479</v>
          </cell>
          <cell r="H209">
            <v>676</v>
          </cell>
          <cell r="I209">
            <v>7083804</v>
          </cell>
          <cell r="J209">
            <v>0</v>
          </cell>
          <cell r="K209">
            <v>0</v>
          </cell>
          <cell r="L209">
            <v>0</v>
          </cell>
          <cell r="M209">
            <v>0</v>
          </cell>
          <cell r="N209">
            <v>676</v>
          </cell>
          <cell r="O209">
            <v>7083804</v>
          </cell>
          <cell r="P209">
            <v>0</v>
          </cell>
        </row>
        <row r="210">
          <cell r="D210" t="str">
            <v>15-15-020</v>
          </cell>
          <cell r="E210" t="str">
            <v>TUBERÍA METÁLICA TIPO EMT DE 1 1/2"</v>
          </cell>
          <cell r="F210" t="str">
            <v>ML</v>
          </cell>
          <cell r="G210">
            <v>24843</v>
          </cell>
          <cell r="H210">
            <v>35</v>
          </cell>
          <cell r="I210">
            <v>869505</v>
          </cell>
          <cell r="J210">
            <v>0</v>
          </cell>
          <cell r="K210">
            <v>0</v>
          </cell>
          <cell r="L210">
            <v>0</v>
          </cell>
          <cell r="M210">
            <v>0</v>
          </cell>
          <cell r="N210">
            <v>35</v>
          </cell>
          <cell r="O210">
            <v>869505</v>
          </cell>
          <cell r="P210">
            <v>0</v>
          </cell>
        </row>
        <row r="211">
          <cell r="D211" t="str">
            <v>15-15-030</v>
          </cell>
          <cell r="E211" t="str">
            <v>TUBERÍA METÁLICA TIPO IMC DE 2"</v>
          </cell>
          <cell r="F211" t="str">
            <v>ML</v>
          </cell>
          <cell r="G211">
            <v>54016</v>
          </cell>
          <cell r="H211">
            <v>6</v>
          </cell>
          <cell r="I211">
            <v>324096</v>
          </cell>
          <cell r="J211">
            <v>0</v>
          </cell>
          <cell r="K211">
            <v>0</v>
          </cell>
          <cell r="L211">
            <v>0</v>
          </cell>
          <cell r="M211">
            <v>0</v>
          </cell>
          <cell r="N211">
            <v>6</v>
          </cell>
          <cell r="O211">
            <v>324096</v>
          </cell>
          <cell r="P211">
            <v>0</v>
          </cell>
        </row>
        <row r="212">
          <cell r="D212">
            <v>0</v>
          </cell>
          <cell r="E212" t="str">
            <v>SUMINISTRO E INSTALACIÓN DE TUBERÍA CONDUIT PVC EMBEBIDA U OCULTA. INCLUYE OBRA CIVIL, BOTADA DE MATERIAL, RESANE, PEGA PVC, CURVAS, ADAPTADORES,  Y DEMÁS ELEMENTOS NECESARIOS PARA SU CORRECTA INSTALACIÓN, ALAMBRE DULCE PARA GUÍA DE CABLES, CERTIFICACIÓN DE PRODUCTO RETIE.</v>
          </cell>
          <cell r="F212">
            <v>0</v>
          </cell>
          <cell r="G212">
            <v>0</v>
          </cell>
          <cell r="H212">
            <v>0</v>
          </cell>
          <cell r="I212">
            <v>0</v>
          </cell>
          <cell r="J212">
            <v>0</v>
          </cell>
          <cell r="K212">
            <v>0</v>
          </cell>
          <cell r="L212">
            <v>0</v>
          </cell>
          <cell r="M212">
            <v>0</v>
          </cell>
          <cell r="N212">
            <v>0</v>
          </cell>
          <cell r="O212">
            <v>0</v>
          </cell>
          <cell r="P212">
            <v>0</v>
          </cell>
        </row>
        <row r="213">
          <cell r="D213" t="str">
            <v>15-15-040</v>
          </cell>
          <cell r="E213" t="str">
            <v>TUBERÍA CONDUIT PVC DE 2"</v>
          </cell>
          <cell r="F213" t="str">
            <v>ML</v>
          </cell>
          <cell r="G213">
            <v>16313</v>
          </cell>
          <cell r="H213">
            <v>39</v>
          </cell>
          <cell r="I213">
            <v>636207</v>
          </cell>
          <cell r="J213">
            <v>0</v>
          </cell>
          <cell r="K213">
            <v>0</v>
          </cell>
          <cell r="L213">
            <v>0</v>
          </cell>
          <cell r="M213">
            <v>0</v>
          </cell>
          <cell r="N213">
            <v>39</v>
          </cell>
          <cell r="O213">
            <v>636207</v>
          </cell>
          <cell r="P213">
            <v>0</v>
          </cell>
        </row>
        <row r="214">
          <cell r="D214" t="str">
            <v>15-15-050</v>
          </cell>
          <cell r="E214" t="str">
            <v>TUBERÍA CONDUIT PVC 1"</v>
          </cell>
          <cell r="F214" t="str">
            <v>ML</v>
          </cell>
          <cell r="G214">
            <v>7665</v>
          </cell>
          <cell r="H214">
            <v>192</v>
          </cell>
          <cell r="I214">
            <v>1471680</v>
          </cell>
          <cell r="J214">
            <v>0</v>
          </cell>
          <cell r="K214">
            <v>0</v>
          </cell>
          <cell r="L214">
            <v>0</v>
          </cell>
          <cell r="M214">
            <v>0</v>
          </cell>
          <cell r="N214">
            <v>192</v>
          </cell>
          <cell r="O214">
            <v>1471680</v>
          </cell>
          <cell r="P214">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D216" t="str">
            <v>15-20</v>
          </cell>
          <cell r="E216" t="str">
            <v>CIRCUITOS RAMALES EN BAJA TENSIÓN</v>
          </cell>
          <cell r="F216">
            <v>0</v>
          </cell>
          <cell r="G216">
            <v>0</v>
          </cell>
          <cell r="H216">
            <v>0</v>
          </cell>
          <cell r="I216">
            <v>3295832</v>
          </cell>
          <cell r="J216">
            <v>0</v>
          </cell>
          <cell r="K216">
            <v>0</v>
          </cell>
          <cell r="L216">
            <v>0</v>
          </cell>
          <cell r="M216">
            <v>0</v>
          </cell>
          <cell r="N216">
            <v>0</v>
          </cell>
          <cell r="O216">
            <v>3295832</v>
          </cell>
          <cell r="P216">
            <v>0</v>
          </cell>
        </row>
        <row r="217">
          <cell r="D217">
            <v>0</v>
          </cell>
          <cell r="E217" t="str">
            <v>INSTALACIÓN DE CONDUCTORES PARA ALIMENTADORES Y CIRCUITOS RAMALES, SEGÚN DISEÑOS Y CUADROS DE CARGA. EN CABLE DE COBRE 
INCLUYE: CONDUCTOR, TERMINALES, MARCACIÓN, AMARRES, CONEXIÓN, PRUEBAS Y PUESTA EN SERVICIO.
NOTA: PRUEBAS O CHEQUEOS DE AISLAMIENTO EXIGIDAS POR LA EMPRESA DE ENERGÍA SERAN FACTURADAS POR APARTE.</v>
          </cell>
          <cell r="F217">
            <v>0</v>
          </cell>
          <cell r="G217">
            <v>0</v>
          </cell>
          <cell r="H217">
            <v>0</v>
          </cell>
          <cell r="I217">
            <v>0</v>
          </cell>
          <cell r="J217">
            <v>0</v>
          </cell>
          <cell r="K217">
            <v>0</v>
          </cell>
          <cell r="L217">
            <v>0</v>
          </cell>
          <cell r="M217">
            <v>0</v>
          </cell>
          <cell r="N217">
            <v>0</v>
          </cell>
          <cell r="O217">
            <v>0</v>
          </cell>
          <cell r="P217">
            <v>0</v>
          </cell>
        </row>
        <row r="218">
          <cell r="D218">
            <v>0</v>
          </cell>
          <cell r="E218" t="str">
            <v>DE TABLEROS A SALIDAS</v>
          </cell>
          <cell r="F218">
            <v>0</v>
          </cell>
          <cell r="G218">
            <v>0</v>
          </cell>
          <cell r="H218">
            <v>0</v>
          </cell>
          <cell r="I218">
            <v>0</v>
          </cell>
          <cell r="J218">
            <v>0</v>
          </cell>
          <cell r="K218">
            <v>0</v>
          </cell>
          <cell r="L218">
            <v>0</v>
          </cell>
          <cell r="M218">
            <v>0</v>
          </cell>
          <cell r="N218">
            <v>0</v>
          </cell>
          <cell r="O218">
            <v>0</v>
          </cell>
          <cell r="P218">
            <v>0</v>
          </cell>
        </row>
        <row r="219">
          <cell r="D219" t="str">
            <v>15-20-010</v>
          </cell>
          <cell r="E219" t="str">
            <v xml:space="preserve">CIRCUITOS RAMALES EN BAJA TENSIÓN, 120V EN 1NO12 +1NO.12  +1NO.12 ALAMBRE DE COBRE AWG THHN/THWN-90ºC </v>
          </cell>
          <cell r="F219" t="str">
            <v>ML</v>
          </cell>
          <cell r="G219">
            <v>4079</v>
          </cell>
          <cell r="H219">
            <v>808</v>
          </cell>
          <cell r="I219">
            <v>3295832</v>
          </cell>
          <cell r="J219">
            <v>0</v>
          </cell>
          <cell r="K219">
            <v>0</v>
          </cell>
          <cell r="L219">
            <v>0</v>
          </cell>
          <cell r="M219">
            <v>0</v>
          </cell>
          <cell r="N219">
            <v>808</v>
          </cell>
          <cell r="O219">
            <v>3295832</v>
          </cell>
          <cell r="P219">
            <v>0</v>
          </cell>
        </row>
        <row r="220">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D221" t="str">
            <v>15-25</v>
          </cell>
          <cell r="E221" t="str">
            <v>SALIDAS ELÉCTRICAS</v>
          </cell>
          <cell r="F221">
            <v>0</v>
          </cell>
          <cell r="G221">
            <v>0</v>
          </cell>
          <cell r="H221">
            <v>0</v>
          </cell>
          <cell r="I221">
            <v>14257264</v>
          </cell>
          <cell r="J221">
            <v>0</v>
          </cell>
          <cell r="K221">
            <v>0</v>
          </cell>
          <cell r="L221">
            <v>0</v>
          </cell>
          <cell r="M221">
            <v>0</v>
          </cell>
          <cell r="N221">
            <v>0</v>
          </cell>
          <cell r="O221">
            <v>14257264</v>
          </cell>
          <cell r="P221">
            <v>0</v>
          </cell>
        </row>
        <row r="222">
          <cell r="D222">
            <v>0</v>
          </cell>
          <cell r="E222" t="str">
            <v>SUMINISTRO Y MONTAJE DE:</v>
          </cell>
          <cell r="F222">
            <v>0</v>
          </cell>
          <cell r="G222">
            <v>0</v>
          </cell>
          <cell r="H222">
            <v>0</v>
          </cell>
          <cell r="I222">
            <v>0</v>
          </cell>
          <cell r="J222">
            <v>0</v>
          </cell>
          <cell r="K222">
            <v>0</v>
          </cell>
          <cell r="L222">
            <v>0</v>
          </cell>
          <cell r="M222">
            <v>0</v>
          </cell>
          <cell r="N222">
            <v>0</v>
          </cell>
          <cell r="O222">
            <v>0</v>
          </cell>
          <cell r="P222">
            <v>0</v>
          </cell>
        </row>
        <row r="223">
          <cell r="D223">
            <v>0</v>
          </cell>
          <cell r="E223" t="str">
            <v>SALIDAS ELÉCTRICAS PARA ILUMINACIÓN</v>
          </cell>
          <cell r="F223">
            <v>0</v>
          </cell>
          <cell r="G223">
            <v>0</v>
          </cell>
          <cell r="H223">
            <v>0</v>
          </cell>
          <cell r="I223">
            <v>0</v>
          </cell>
          <cell r="J223">
            <v>0</v>
          </cell>
          <cell r="K223">
            <v>0</v>
          </cell>
          <cell r="L223">
            <v>0</v>
          </cell>
          <cell r="M223">
            <v>0</v>
          </cell>
          <cell r="N223">
            <v>0</v>
          </cell>
          <cell r="O223">
            <v>0</v>
          </cell>
          <cell r="P223">
            <v>0</v>
          </cell>
        </row>
        <row r="224">
          <cell r="D224">
            <v>0</v>
          </cell>
          <cell r="E224" t="str">
            <v>CONSTRUCCION DE SALIDAS ELÉCTRICAS PARA ILUMINACIÓN.
INCLUYE: TUBERÍA EMT 3/4", ALAMBRES Y/O CABLES, CAJA METÁLICA, CONECTORES DE EMPALME, MARCACIÓN  RETIE, PRUEBAS Y PUESTA EN SERVICIO.
NOTA: SE CONSIDERA UNA DISTANCIA MÁXIMA DE 5 METROS POR SALIDA, CUANDO LAS DISTANCIAS SON MAYORES A 5M, SE LIQUIDA POR CANTIDADES Y VALORES UNITARIOS LA TUBERÍA Y EL CABLEADO: LONGITUDES LINEALES.
NOTA: EL MONTAJE DE LAS LUMINARIAS SE LIQUIDARA POR APARTE.</v>
          </cell>
          <cell r="F224">
            <v>0</v>
          </cell>
          <cell r="G224">
            <v>0</v>
          </cell>
          <cell r="H224">
            <v>0</v>
          </cell>
          <cell r="I224">
            <v>0</v>
          </cell>
          <cell r="J224">
            <v>0</v>
          </cell>
          <cell r="K224">
            <v>0</v>
          </cell>
          <cell r="L224">
            <v>0</v>
          </cell>
          <cell r="M224">
            <v>0</v>
          </cell>
          <cell r="N224">
            <v>0</v>
          </cell>
          <cell r="O224">
            <v>0</v>
          </cell>
          <cell r="P224">
            <v>0</v>
          </cell>
        </row>
        <row r="225">
          <cell r="D225" t="str">
            <v>15-25-010</v>
          </cell>
          <cell r="E225" t="str">
            <v>SALIDA ALUMBRADO DE EMERGENCIA TIPO LED 2W.</v>
          </cell>
          <cell r="F225" t="str">
            <v>UN</v>
          </cell>
          <cell r="G225">
            <v>74281</v>
          </cell>
          <cell r="H225">
            <v>9</v>
          </cell>
          <cell r="I225">
            <v>668529</v>
          </cell>
          <cell r="J225">
            <v>0</v>
          </cell>
          <cell r="K225">
            <v>0</v>
          </cell>
          <cell r="L225">
            <v>0</v>
          </cell>
          <cell r="M225">
            <v>0</v>
          </cell>
          <cell r="N225">
            <v>9</v>
          </cell>
          <cell r="O225">
            <v>668529</v>
          </cell>
          <cell r="P225">
            <v>0</v>
          </cell>
        </row>
        <row r="226">
          <cell r="D226" t="str">
            <v>15-25-020</v>
          </cell>
          <cell r="E226" t="str">
            <v>SALIDA AVISO LUMINOSO.</v>
          </cell>
          <cell r="F226" t="str">
            <v>UN</v>
          </cell>
          <cell r="G226">
            <v>73233</v>
          </cell>
          <cell r="H226">
            <v>2</v>
          </cell>
          <cell r="I226">
            <v>146466</v>
          </cell>
          <cell r="J226">
            <v>0</v>
          </cell>
          <cell r="K226">
            <v>0</v>
          </cell>
          <cell r="L226">
            <v>0</v>
          </cell>
          <cell r="M226">
            <v>0</v>
          </cell>
          <cell r="N226">
            <v>2</v>
          </cell>
          <cell r="O226">
            <v>146466</v>
          </cell>
          <cell r="P226">
            <v>0</v>
          </cell>
        </row>
        <row r="227">
          <cell r="D227" t="str">
            <v>15-25-030</v>
          </cell>
          <cell r="E227" t="str">
            <v>SALIDA LUMINARIA FLUORESCENTE 60X60 4X24W DE DESCOLGAR.</v>
          </cell>
          <cell r="F227" t="str">
            <v>UN</v>
          </cell>
          <cell r="G227">
            <v>72186</v>
          </cell>
          <cell r="H227">
            <v>48</v>
          </cell>
          <cell r="I227">
            <v>3464928</v>
          </cell>
          <cell r="J227">
            <v>0</v>
          </cell>
          <cell r="K227">
            <v>0</v>
          </cell>
          <cell r="L227">
            <v>0</v>
          </cell>
          <cell r="M227">
            <v>0</v>
          </cell>
          <cell r="N227">
            <v>48</v>
          </cell>
          <cell r="O227">
            <v>3464928</v>
          </cell>
          <cell r="P227">
            <v>0</v>
          </cell>
        </row>
        <row r="228">
          <cell r="D228" t="str">
            <v>15-25-040</v>
          </cell>
          <cell r="E228" t="str">
            <v>SALIDA LUMINARIA FLUORESCENTE HERMÉTICA 1X54W DE DESCOLGAR</v>
          </cell>
          <cell r="F228" t="str">
            <v>UN</v>
          </cell>
          <cell r="G228">
            <v>72186</v>
          </cell>
          <cell r="H228">
            <v>2</v>
          </cell>
          <cell r="I228">
            <v>144372</v>
          </cell>
          <cell r="J228">
            <v>0</v>
          </cell>
          <cell r="K228">
            <v>0</v>
          </cell>
          <cell r="L228">
            <v>0</v>
          </cell>
          <cell r="M228">
            <v>0</v>
          </cell>
          <cell r="N228">
            <v>2</v>
          </cell>
          <cell r="O228">
            <v>144372</v>
          </cell>
          <cell r="P228">
            <v>0</v>
          </cell>
        </row>
        <row r="229">
          <cell r="D229" t="str">
            <v>15-25-050</v>
          </cell>
          <cell r="E229" t="str">
            <v>SALIDA LUMINARIA FLUORESCENTE HERMÉTICA 2X54W DE DESCOLGAR.</v>
          </cell>
          <cell r="F229" t="str">
            <v>UN</v>
          </cell>
          <cell r="G229">
            <v>72186</v>
          </cell>
          <cell r="H229">
            <v>5</v>
          </cell>
          <cell r="I229">
            <v>360930</v>
          </cell>
          <cell r="J229">
            <v>0</v>
          </cell>
          <cell r="K229">
            <v>0</v>
          </cell>
          <cell r="L229">
            <v>0</v>
          </cell>
          <cell r="M229">
            <v>0</v>
          </cell>
          <cell r="N229">
            <v>5</v>
          </cell>
          <cell r="O229">
            <v>360930</v>
          </cell>
          <cell r="P229">
            <v>0</v>
          </cell>
        </row>
        <row r="230">
          <cell r="D230" t="str">
            <v>15-25-060</v>
          </cell>
          <cell r="E230" t="str">
            <v>SALIDA PARA BALA CILINDRO CIRCULAR DE 1X26W DE DESCOLGAR.</v>
          </cell>
          <cell r="F230" t="str">
            <v>UN</v>
          </cell>
          <cell r="G230">
            <v>72186</v>
          </cell>
          <cell r="H230">
            <v>14</v>
          </cell>
          <cell r="I230">
            <v>1010604</v>
          </cell>
          <cell r="J230">
            <v>0</v>
          </cell>
          <cell r="K230">
            <v>0</v>
          </cell>
          <cell r="L230">
            <v>0</v>
          </cell>
          <cell r="M230">
            <v>0</v>
          </cell>
          <cell r="N230">
            <v>14</v>
          </cell>
          <cell r="O230">
            <v>1010604</v>
          </cell>
          <cell r="P230">
            <v>0</v>
          </cell>
        </row>
        <row r="231">
          <cell r="D231" t="str">
            <v>15-25-070</v>
          </cell>
          <cell r="E231" t="str">
            <v>SALIDA PARA BALA CILINDRO CIRCULAR DE 1X32W DE DESCOLGAR.</v>
          </cell>
          <cell r="F231" t="str">
            <v>UN</v>
          </cell>
          <cell r="G231">
            <v>72186</v>
          </cell>
          <cell r="H231">
            <v>2</v>
          </cell>
          <cell r="I231">
            <v>144372</v>
          </cell>
          <cell r="J231">
            <v>0</v>
          </cell>
          <cell r="K231">
            <v>0</v>
          </cell>
          <cell r="L231">
            <v>0</v>
          </cell>
          <cell r="M231">
            <v>0</v>
          </cell>
          <cell r="N231">
            <v>2</v>
          </cell>
          <cell r="O231">
            <v>144372</v>
          </cell>
          <cell r="P231">
            <v>0</v>
          </cell>
        </row>
        <row r="232">
          <cell r="D232" t="str">
            <v>15-25-080</v>
          </cell>
          <cell r="E232" t="str">
            <v>SALIDA PARA BALA CILINDRO CIRCULAR CAPELA DE 2X26W DE DESCOLGAR.</v>
          </cell>
          <cell r="F232" t="str">
            <v>UN</v>
          </cell>
          <cell r="G232">
            <v>72186</v>
          </cell>
          <cell r="H232">
            <v>22</v>
          </cell>
          <cell r="I232">
            <v>1588092</v>
          </cell>
          <cell r="J232">
            <v>0</v>
          </cell>
          <cell r="K232">
            <v>0</v>
          </cell>
          <cell r="L232">
            <v>0</v>
          </cell>
          <cell r="M232">
            <v>0</v>
          </cell>
          <cell r="N232">
            <v>22</v>
          </cell>
          <cell r="O232">
            <v>1588092</v>
          </cell>
          <cell r="P232">
            <v>0</v>
          </cell>
        </row>
        <row r="233">
          <cell r="D233" t="str">
            <v>15-25-090</v>
          </cell>
          <cell r="E233" t="str">
            <v>SALIDA PARA BAÑADORA DE DESCOLGAR 2X28W.</v>
          </cell>
          <cell r="F233" t="str">
            <v>UN</v>
          </cell>
          <cell r="G233">
            <v>72186</v>
          </cell>
          <cell r="H233">
            <v>6</v>
          </cell>
          <cell r="I233">
            <v>433116</v>
          </cell>
          <cell r="J233">
            <v>0</v>
          </cell>
          <cell r="K233">
            <v>0</v>
          </cell>
          <cell r="L233">
            <v>0</v>
          </cell>
          <cell r="M233">
            <v>0</v>
          </cell>
          <cell r="N233">
            <v>6</v>
          </cell>
          <cell r="O233">
            <v>433116</v>
          </cell>
          <cell r="P233">
            <v>0</v>
          </cell>
        </row>
        <row r="234">
          <cell r="D234" t="str">
            <v>15-25-100</v>
          </cell>
          <cell r="E234" t="str">
            <v>SALIDA EXTERIOR LUMINARIA 70W  AP</v>
          </cell>
          <cell r="F234" t="str">
            <v>UN</v>
          </cell>
          <cell r="G234">
            <v>90403</v>
          </cell>
          <cell r="H234">
            <v>6</v>
          </cell>
          <cell r="I234">
            <v>542418</v>
          </cell>
          <cell r="J234">
            <v>0</v>
          </cell>
          <cell r="K234">
            <v>0</v>
          </cell>
          <cell r="L234">
            <v>0</v>
          </cell>
          <cell r="M234">
            <v>0</v>
          </cell>
          <cell r="N234">
            <v>6</v>
          </cell>
          <cell r="O234">
            <v>542418</v>
          </cell>
          <cell r="P234">
            <v>0</v>
          </cell>
        </row>
        <row r="235">
          <cell r="D235" t="str">
            <v>15-25-110</v>
          </cell>
          <cell r="E235" t="str">
            <v>SALIDAS PARA INTERRUPTORES SENCILLOS 120V, 15 A</v>
          </cell>
          <cell r="F235" t="str">
            <v>UN</v>
          </cell>
          <cell r="G235">
            <v>79785</v>
          </cell>
          <cell r="H235">
            <v>5</v>
          </cell>
          <cell r="I235">
            <v>398925</v>
          </cell>
          <cell r="J235">
            <v>0</v>
          </cell>
          <cell r="K235">
            <v>0</v>
          </cell>
          <cell r="L235">
            <v>0</v>
          </cell>
          <cell r="M235">
            <v>0</v>
          </cell>
          <cell r="N235">
            <v>5</v>
          </cell>
          <cell r="O235">
            <v>398925</v>
          </cell>
          <cell r="P235">
            <v>0</v>
          </cell>
        </row>
        <row r="236">
          <cell r="D236" t="str">
            <v>15-25-120</v>
          </cell>
          <cell r="E236" t="str">
            <v>SALIDAS PARA INTERRUPTORES DOBLES 120V, 20 A</v>
          </cell>
          <cell r="F236" t="str">
            <v>UN</v>
          </cell>
          <cell r="G236">
            <v>82928</v>
          </cell>
          <cell r="H236">
            <v>10</v>
          </cell>
          <cell r="I236">
            <v>829280</v>
          </cell>
          <cell r="J236">
            <v>0</v>
          </cell>
          <cell r="K236">
            <v>0</v>
          </cell>
          <cell r="L236">
            <v>0</v>
          </cell>
          <cell r="M236">
            <v>0</v>
          </cell>
          <cell r="N236">
            <v>10</v>
          </cell>
          <cell r="O236">
            <v>829280</v>
          </cell>
          <cell r="P236">
            <v>0</v>
          </cell>
        </row>
        <row r="237">
          <cell r="D237" t="str">
            <v>15-25-130</v>
          </cell>
          <cell r="E237" t="str">
            <v>SALIDAS PARA INTERRUPTORES TRIPLES 120V, 20 A</v>
          </cell>
          <cell r="F237" t="str">
            <v>UN</v>
          </cell>
          <cell r="G237">
            <v>87244</v>
          </cell>
          <cell r="H237">
            <v>2</v>
          </cell>
          <cell r="I237">
            <v>174488</v>
          </cell>
          <cell r="J237">
            <v>0</v>
          </cell>
          <cell r="K237">
            <v>0</v>
          </cell>
          <cell r="L237">
            <v>0</v>
          </cell>
          <cell r="M237">
            <v>0</v>
          </cell>
          <cell r="N237">
            <v>2</v>
          </cell>
          <cell r="O237">
            <v>174488</v>
          </cell>
          <cell r="P237">
            <v>0</v>
          </cell>
        </row>
        <row r="238">
          <cell r="D238">
            <v>0</v>
          </cell>
          <cell r="E238" t="str">
            <v>SALIDAS ELÉCTRICAS PARA TOMACORRIENTES</v>
          </cell>
          <cell r="F238">
            <v>0</v>
          </cell>
          <cell r="G238">
            <v>0</v>
          </cell>
          <cell r="H238">
            <v>0</v>
          </cell>
          <cell r="I238">
            <v>0</v>
          </cell>
          <cell r="J238">
            <v>0</v>
          </cell>
          <cell r="K238">
            <v>0</v>
          </cell>
          <cell r="L238">
            <v>0</v>
          </cell>
          <cell r="M238">
            <v>0</v>
          </cell>
          <cell r="N238">
            <v>0</v>
          </cell>
          <cell r="O238">
            <v>0</v>
          </cell>
          <cell r="P238">
            <v>0</v>
          </cell>
        </row>
        <row r="239">
          <cell r="D239">
            <v>0</v>
          </cell>
          <cell r="E239" t="str">
            <v>CONSTRUCCION DE SALIDAS ELÉCTRICAS PARA TOMACORRIENTES HASTA UNA LONGITUD MAXIMA ENTRE SALIDAS DE 5 MTS.
INCLUYE: TUBERÍA EMT, CAJA, CONECTORES DE EMPALME, ALAMBRES Y/O CABLES, APARATO ELÉCTRICO, MARCACIÓN Y SEÑALIZACIÓN RETIE, CONEXIÓN, PRUEBAS Y PUESTA EN SERVICIO.</v>
          </cell>
          <cell r="F239">
            <v>0</v>
          </cell>
          <cell r="G239">
            <v>0</v>
          </cell>
          <cell r="H239">
            <v>0</v>
          </cell>
          <cell r="I239">
            <v>0</v>
          </cell>
          <cell r="J239">
            <v>0</v>
          </cell>
          <cell r="K239">
            <v>0</v>
          </cell>
          <cell r="L239">
            <v>0</v>
          </cell>
          <cell r="M239">
            <v>0</v>
          </cell>
          <cell r="N239">
            <v>0</v>
          </cell>
          <cell r="O239">
            <v>0</v>
          </cell>
          <cell r="P239">
            <v>0</v>
          </cell>
        </row>
        <row r="240">
          <cell r="D240" t="str">
            <v>15-25-150</v>
          </cell>
          <cell r="E240" t="str">
            <v>SALIDAS PARA TOMACORRIENTE DOBLE CON POLO A TIERRA, NORMAL, 20A, 120 V.</v>
          </cell>
          <cell r="F240" t="str">
            <v>UN</v>
          </cell>
          <cell r="G240">
            <v>86462</v>
          </cell>
          <cell r="H240">
            <v>48</v>
          </cell>
          <cell r="I240">
            <v>4150176</v>
          </cell>
          <cell r="J240">
            <v>0</v>
          </cell>
          <cell r="K240">
            <v>0</v>
          </cell>
          <cell r="L240">
            <v>0</v>
          </cell>
          <cell r="M240">
            <v>0</v>
          </cell>
          <cell r="N240">
            <v>48</v>
          </cell>
          <cell r="O240">
            <v>4150176</v>
          </cell>
          <cell r="P240">
            <v>0</v>
          </cell>
        </row>
        <row r="241">
          <cell r="D241" t="str">
            <v>15-25-160</v>
          </cell>
          <cell r="E241" t="str">
            <v>SALIDA TIPO GFCI</v>
          </cell>
          <cell r="F241" t="str">
            <v>UN</v>
          </cell>
          <cell r="G241">
            <v>100284</v>
          </cell>
          <cell r="H241">
            <v>2</v>
          </cell>
          <cell r="I241">
            <v>200568</v>
          </cell>
          <cell r="J241">
            <v>0</v>
          </cell>
          <cell r="K241">
            <v>0</v>
          </cell>
          <cell r="L241">
            <v>0</v>
          </cell>
          <cell r="M241">
            <v>0</v>
          </cell>
          <cell r="N241">
            <v>2</v>
          </cell>
          <cell r="O241">
            <v>200568</v>
          </cell>
          <cell r="P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D243" t="str">
            <v>15-30</v>
          </cell>
          <cell r="E243" t="str">
            <v>LUMINARIAS</v>
          </cell>
          <cell r="F243">
            <v>0</v>
          </cell>
          <cell r="G243">
            <v>0</v>
          </cell>
          <cell r="H243">
            <v>0</v>
          </cell>
          <cell r="I243">
            <v>21971726</v>
          </cell>
          <cell r="J243">
            <v>0</v>
          </cell>
          <cell r="K243">
            <v>0</v>
          </cell>
          <cell r="L243">
            <v>0</v>
          </cell>
          <cell r="M243">
            <v>0</v>
          </cell>
          <cell r="N243">
            <v>0</v>
          </cell>
          <cell r="O243">
            <v>21971726</v>
          </cell>
          <cell r="P243">
            <v>0</v>
          </cell>
        </row>
        <row r="244">
          <cell r="D244">
            <v>0</v>
          </cell>
          <cell r="E244" t="str">
            <v>SUMINISTRO Y MONTAJE DE LUMINARIAS.
INCLUYE: LUMINARIA CON TUBOS FLUORESCENTES O BOMBILLA, CABLE ENCAUCHETADO CALIBRE 3X16AWG, CLAVIJA TIPO 515 LEVITON, MARCACIÓN, SOPORTE, FIJACIÓN, CONEXIÓN, PRUEBAS Y PUESTA EN SERVICIO.</v>
          </cell>
          <cell r="F244">
            <v>0</v>
          </cell>
          <cell r="G244">
            <v>0</v>
          </cell>
          <cell r="H244">
            <v>0</v>
          </cell>
          <cell r="I244">
            <v>0</v>
          </cell>
          <cell r="J244">
            <v>0</v>
          </cell>
          <cell r="K244">
            <v>0</v>
          </cell>
          <cell r="L244">
            <v>0</v>
          </cell>
          <cell r="M244">
            <v>0</v>
          </cell>
          <cell r="N244">
            <v>0</v>
          </cell>
          <cell r="O244">
            <v>0</v>
          </cell>
          <cell r="P244">
            <v>0</v>
          </cell>
        </row>
        <row r="245">
          <cell r="D245" t="str">
            <v>15-30-010</v>
          </cell>
          <cell r="E245" t="str">
            <v>LUMINARIA DE EMERGENCIA TIPO LED 2W.</v>
          </cell>
          <cell r="F245" t="str">
            <v>UN</v>
          </cell>
          <cell r="G245">
            <v>136092</v>
          </cell>
          <cell r="H245">
            <v>9</v>
          </cell>
          <cell r="I245">
            <v>1224828</v>
          </cell>
          <cell r="J245">
            <v>0</v>
          </cell>
          <cell r="K245">
            <v>0</v>
          </cell>
          <cell r="L245">
            <v>0</v>
          </cell>
          <cell r="M245">
            <v>0</v>
          </cell>
          <cell r="N245">
            <v>9</v>
          </cell>
          <cell r="O245">
            <v>1224828</v>
          </cell>
          <cell r="P245">
            <v>0</v>
          </cell>
        </row>
        <row r="246">
          <cell r="D246" t="str">
            <v>15-30-020</v>
          </cell>
          <cell r="E246" t="str">
            <v>AVISO LUMINOSO</v>
          </cell>
          <cell r="F246" t="str">
            <v>UN</v>
          </cell>
          <cell r="G246">
            <v>151695</v>
          </cell>
          <cell r="H246">
            <v>2</v>
          </cell>
          <cell r="I246">
            <v>303390</v>
          </cell>
          <cell r="J246">
            <v>0</v>
          </cell>
          <cell r="K246">
            <v>0</v>
          </cell>
          <cell r="L246">
            <v>0</v>
          </cell>
          <cell r="M246">
            <v>0</v>
          </cell>
          <cell r="N246">
            <v>2</v>
          </cell>
          <cell r="O246">
            <v>303390</v>
          </cell>
          <cell r="P246">
            <v>0</v>
          </cell>
        </row>
        <row r="247">
          <cell r="D247" t="str">
            <v>15-30-030</v>
          </cell>
          <cell r="E247" t="str">
            <v>LUMINARIA FLUORESCENTE 60X60 4X24W DE DESCOLGAR.</v>
          </cell>
          <cell r="F247" t="str">
            <v>UN</v>
          </cell>
          <cell r="G247">
            <v>263398</v>
          </cell>
          <cell r="H247">
            <v>48</v>
          </cell>
          <cell r="I247">
            <v>12643104</v>
          </cell>
          <cell r="J247">
            <v>0</v>
          </cell>
          <cell r="K247">
            <v>0</v>
          </cell>
          <cell r="L247">
            <v>0</v>
          </cell>
          <cell r="M247">
            <v>0</v>
          </cell>
          <cell r="N247">
            <v>48</v>
          </cell>
          <cell r="O247">
            <v>12643104</v>
          </cell>
          <cell r="P247">
            <v>0</v>
          </cell>
        </row>
        <row r="248">
          <cell r="D248" t="str">
            <v>15-30-040</v>
          </cell>
          <cell r="E248" t="str">
            <v>LUMINARIA FLUORESCENTE HERMÉTICA 1X54W DE DESCOLGAR</v>
          </cell>
          <cell r="F248" t="str">
            <v>UN</v>
          </cell>
          <cell r="G248">
            <v>118593</v>
          </cell>
          <cell r="H248">
            <v>2</v>
          </cell>
          <cell r="I248">
            <v>237186</v>
          </cell>
          <cell r="J248">
            <v>0</v>
          </cell>
          <cell r="K248">
            <v>0</v>
          </cell>
          <cell r="L248">
            <v>0</v>
          </cell>
          <cell r="M248">
            <v>0</v>
          </cell>
          <cell r="N248">
            <v>2</v>
          </cell>
          <cell r="O248">
            <v>237186</v>
          </cell>
          <cell r="P248">
            <v>0</v>
          </cell>
        </row>
        <row r="249">
          <cell r="D249" t="str">
            <v>15-30-050</v>
          </cell>
          <cell r="E249" t="str">
            <v>LUMINARIA FLUORESCENTE HERMÉTICA 2X54W DE DESCOLGAR</v>
          </cell>
          <cell r="F249" t="str">
            <v>UN</v>
          </cell>
          <cell r="G249">
            <v>162340</v>
          </cell>
          <cell r="H249">
            <v>5</v>
          </cell>
          <cell r="I249">
            <v>811700</v>
          </cell>
          <cell r="J249">
            <v>0</v>
          </cell>
          <cell r="K249">
            <v>0</v>
          </cell>
          <cell r="L249">
            <v>0</v>
          </cell>
          <cell r="M249">
            <v>0</v>
          </cell>
          <cell r="N249">
            <v>5</v>
          </cell>
          <cell r="O249">
            <v>811700</v>
          </cell>
          <cell r="P249">
            <v>0</v>
          </cell>
        </row>
        <row r="250">
          <cell r="D250" t="str">
            <v>15-30-060</v>
          </cell>
          <cell r="E250" t="str">
            <v>BALA CILINDRO CIRCULAR DE 1X26W DE DESCOLGAR.</v>
          </cell>
          <cell r="F250" t="str">
            <v>UN</v>
          </cell>
          <cell r="G250">
            <v>94167</v>
          </cell>
          <cell r="H250">
            <v>14</v>
          </cell>
          <cell r="I250">
            <v>1318338</v>
          </cell>
          <cell r="J250">
            <v>0</v>
          </cell>
          <cell r="K250">
            <v>0</v>
          </cell>
          <cell r="L250">
            <v>0</v>
          </cell>
          <cell r="M250">
            <v>0</v>
          </cell>
          <cell r="N250">
            <v>14</v>
          </cell>
          <cell r="O250">
            <v>1318338</v>
          </cell>
          <cell r="P250">
            <v>0</v>
          </cell>
        </row>
        <row r="251">
          <cell r="D251" t="str">
            <v>15-30-070</v>
          </cell>
          <cell r="E251" t="str">
            <v>BALA CILINDRO CIRCULAR DE 1X32W DE DESCOLGAR.</v>
          </cell>
          <cell r="F251" t="str">
            <v>UN</v>
          </cell>
          <cell r="G251">
            <v>94969</v>
          </cell>
          <cell r="H251">
            <v>2</v>
          </cell>
          <cell r="I251">
            <v>189938</v>
          </cell>
          <cell r="J251">
            <v>0</v>
          </cell>
          <cell r="K251">
            <v>0</v>
          </cell>
          <cell r="L251">
            <v>0</v>
          </cell>
          <cell r="M251">
            <v>0</v>
          </cell>
          <cell r="N251">
            <v>2</v>
          </cell>
          <cell r="O251">
            <v>189938</v>
          </cell>
          <cell r="P251">
            <v>0</v>
          </cell>
        </row>
        <row r="252">
          <cell r="D252" t="str">
            <v>15-30-080</v>
          </cell>
          <cell r="E252" t="str">
            <v>BALA CILINDRO  CIRCULAR CAPELA DE 2X26W DE DESCOLGAR.</v>
          </cell>
          <cell r="F252" t="str">
            <v>UN</v>
          </cell>
          <cell r="G252">
            <v>103135</v>
          </cell>
          <cell r="H252">
            <v>22</v>
          </cell>
          <cell r="I252">
            <v>2268970</v>
          </cell>
          <cell r="J252">
            <v>0</v>
          </cell>
          <cell r="K252">
            <v>0</v>
          </cell>
          <cell r="L252">
            <v>0</v>
          </cell>
          <cell r="M252">
            <v>0</v>
          </cell>
          <cell r="N252">
            <v>22</v>
          </cell>
          <cell r="O252">
            <v>2268970</v>
          </cell>
          <cell r="P252">
            <v>0</v>
          </cell>
        </row>
        <row r="253">
          <cell r="D253" t="str">
            <v>15-30-090</v>
          </cell>
          <cell r="E253" t="str">
            <v>BAÑADORA DE DESCOLGAR 2X28W.</v>
          </cell>
          <cell r="F253" t="str">
            <v>UN</v>
          </cell>
          <cell r="G253">
            <v>163484</v>
          </cell>
          <cell r="H253">
            <v>6</v>
          </cell>
          <cell r="I253">
            <v>980904</v>
          </cell>
          <cell r="J253">
            <v>0</v>
          </cell>
          <cell r="K253">
            <v>0</v>
          </cell>
          <cell r="L253">
            <v>0</v>
          </cell>
          <cell r="M253">
            <v>0</v>
          </cell>
          <cell r="N253">
            <v>6</v>
          </cell>
          <cell r="O253">
            <v>980904</v>
          </cell>
          <cell r="P253">
            <v>0</v>
          </cell>
        </row>
        <row r="254">
          <cell r="D254" t="str">
            <v>15-30-100</v>
          </cell>
          <cell r="E254" t="str">
            <v>LUMINARIA 70W  AP.INCLUYE BRAZO Y FOTOCELDA.</v>
          </cell>
          <cell r="F254" t="str">
            <v>UN</v>
          </cell>
          <cell r="G254">
            <v>332228</v>
          </cell>
          <cell r="H254">
            <v>6</v>
          </cell>
          <cell r="I254">
            <v>1993368</v>
          </cell>
          <cell r="J254">
            <v>0</v>
          </cell>
          <cell r="K254">
            <v>0</v>
          </cell>
          <cell r="L254">
            <v>0</v>
          </cell>
          <cell r="M254">
            <v>0</v>
          </cell>
          <cell r="N254">
            <v>6</v>
          </cell>
          <cell r="O254">
            <v>1993368</v>
          </cell>
          <cell r="P254">
            <v>0</v>
          </cell>
        </row>
        <row r="255">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D256" t="str">
            <v>15-35</v>
          </cell>
          <cell r="E256" t="str">
            <v>CAJAS</v>
          </cell>
          <cell r="F256">
            <v>0</v>
          </cell>
          <cell r="G256">
            <v>0</v>
          </cell>
          <cell r="H256">
            <v>0</v>
          </cell>
          <cell r="I256">
            <v>2037803</v>
          </cell>
          <cell r="J256">
            <v>0</v>
          </cell>
          <cell r="K256">
            <v>0</v>
          </cell>
          <cell r="L256">
            <v>0</v>
          </cell>
          <cell r="M256">
            <v>0</v>
          </cell>
          <cell r="N256">
            <v>0</v>
          </cell>
          <cell r="O256">
            <v>2037803</v>
          </cell>
          <cell r="P256">
            <v>0</v>
          </cell>
        </row>
        <row r="257">
          <cell r="D257">
            <v>0</v>
          </cell>
          <cell r="E257" t="str">
            <v>SUMINISTRO Y MONTAJE DE:</v>
          </cell>
          <cell r="F257">
            <v>0</v>
          </cell>
          <cell r="G257">
            <v>0</v>
          </cell>
          <cell r="H257">
            <v>0</v>
          </cell>
          <cell r="I257">
            <v>0</v>
          </cell>
          <cell r="J257">
            <v>0</v>
          </cell>
          <cell r="K257">
            <v>0</v>
          </cell>
          <cell r="L257">
            <v>0</v>
          </cell>
          <cell r="M257">
            <v>0</v>
          </cell>
          <cell r="N257">
            <v>0</v>
          </cell>
          <cell r="O257">
            <v>0</v>
          </cell>
          <cell r="P257">
            <v>0</v>
          </cell>
        </row>
        <row r="258">
          <cell r="D258" t="str">
            <v>15-35-010</v>
          </cell>
          <cell r="E258" t="str">
            <v>CAJA DE INSPECCIÓN DE 60X60</v>
          </cell>
          <cell r="F258" t="str">
            <v>UN</v>
          </cell>
          <cell r="G258">
            <v>385883</v>
          </cell>
          <cell r="H258">
            <v>1</v>
          </cell>
          <cell r="I258">
            <v>385883</v>
          </cell>
          <cell r="J258">
            <v>0</v>
          </cell>
          <cell r="K258">
            <v>0</v>
          </cell>
          <cell r="L258">
            <v>0</v>
          </cell>
          <cell r="M258">
            <v>0</v>
          </cell>
          <cell r="N258">
            <v>1</v>
          </cell>
          <cell r="O258">
            <v>385883</v>
          </cell>
          <cell r="P258">
            <v>0</v>
          </cell>
        </row>
        <row r="259">
          <cell r="D259" t="str">
            <v>15-35-020</v>
          </cell>
          <cell r="E259" t="str">
            <v>CAJA DE INSPECCIÓN DE 50X50</v>
          </cell>
          <cell r="F259" t="str">
            <v>UN</v>
          </cell>
          <cell r="G259">
            <v>307313</v>
          </cell>
          <cell r="H259">
            <v>2</v>
          </cell>
          <cell r="I259">
            <v>614626</v>
          </cell>
          <cell r="J259">
            <v>0</v>
          </cell>
          <cell r="K259">
            <v>0</v>
          </cell>
          <cell r="L259">
            <v>0</v>
          </cell>
          <cell r="M259">
            <v>0</v>
          </cell>
          <cell r="N259">
            <v>2</v>
          </cell>
          <cell r="O259">
            <v>614626</v>
          </cell>
          <cell r="P259">
            <v>0</v>
          </cell>
        </row>
        <row r="260">
          <cell r="D260" t="str">
            <v>15-35-030</v>
          </cell>
          <cell r="E260" t="str">
            <v>CAJA DE INSPECCIÓN DE 30X30</v>
          </cell>
          <cell r="F260" t="str">
            <v>UN</v>
          </cell>
          <cell r="G260">
            <v>161420</v>
          </cell>
          <cell r="H260">
            <v>6</v>
          </cell>
          <cell r="I260">
            <v>968520</v>
          </cell>
          <cell r="J260">
            <v>0</v>
          </cell>
          <cell r="K260">
            <v>0</v>
          </cell>
          <cell r="L260">
            <v>0</v>
          </cell>
          <cell r="M260">
            <v>0</v>
          </cell>
          <cell r="N260">
            <v>6</v>
          </cell>
          <cell r="O260">
            <v>968520</v>
          </cell>
          <cell r="P260">
            <v>0</v>
          </cell>
        </row>
        <row r="261">
          <cell r="D261" t="str">
            <v>15-35-040</v>
          </cell>
          <cell r="E261" t="str">
            <v>CAJA DE PASO DE 20X20</v>
          </cell>
          <cell r="F261" t="str">
            <v>UN</v>
          </cell>
          <cell r="G261">
            <v>34387</v>
          </cell>
          <cell r="H261">
            <v>2</v>
          </cell>
          <cell r="I261">
            <v>68774</v>
          </cell>
          <cell r="J261">
            <v>0</v>
          </cell>
          <cell r="K261">
            <v>0</v>
          </cell>
          <cell r="L261">
            <v>0</v>
          </cell>
          <cell r="M261">
            <v>0</v>
          </cell>
          <cell r="N261">
            <v>2</v>
          </cell>
          <cell r="O261">
            <v>68774</v>
          </cell>
          <cell r="P261">
            <v>0</v>
          </cell>
        </row>
        <row r="262">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D263" t="str">
            <v>15-40</v>
          </cell>
          <cell r="E263" t="str">
            <v>POSTES</v>
          </cell>
          <cell r="F263">
            <v>0</v>
          </cell>
          <cell r="G263">
            <v>0</v>
          </cell>
          <cell r="H263">
            <v>0</v>
          </cell>
          <cell r="I263">
            <v>4200792</v>
          </cell>
          <cell r="J263">
            <v>0</v>
          </cell>
          <cell r="K263">
            <v>0</v>
          </cell>
          <cell r="L263">
            <v>0</v>
          </cell>
          <cell r="M263">
            <v>0</v>
          </cell>
          <cell r="N263">
            <v>0</v>
          </cell>
          <cell r="O263">
            <v>4200792</v>
          </cell>
          <cell r="P263">
            <v>0</v>
          </cell>
        </row>
        <row r="264">
          <cell r="D264">
            <v>0</v>
          </cell>
          <cell r="E264" t="str">
            <v>SUMINISTRO Y MONTAJE DE:</v>
          </cell>
          <cell r="F264">
            <v>0</v>
          </cell>
          <cell r="G264">
            <v>0</v>
          </cell>
          <cell r="H264">
            <v>0</v>
          </cell>
          <cell r="I264">
            <v>0</v>
          </cell>
          <cell r="J264">
            <v>0</v>
          </cell>
          <cell r="K264">
            <v>0</v>
          </cell>
          <cell r="L264">
            <v>0</v>
          </cell>
          <cell r="M264">
            <v>0</v>
          </cell>
          <cell r="N264">
            <v>0</v>
          </cell>
          <cell r="O264">
            <v>0</v>
          </cell>
          <cell r="P264">
            <v>0</v>
          </cell>
        </row>
        <row r="265">
          <cell r="D265" t="str">
            <v>15-40-010</v>
          </cell>
          <cell r="E265" t="str">
            <v>POSTE METÁLICO DE 6 METROS PARA LUMINARIA DE 70W.</v>
          </cell>
          <cell r="F265" t="str">
            <v>UN</v>
          </cell>
          <cell r="G265">
            <v>700132</v>
          </cell>
          <cell r="H265">
            <v>6</v>
          </cell>
          <cell r="I265">
            <v>4200792</v>
          </cell>
          <cell r="J265">
            <v>0</v>
          </cell>
          <cell r="K265">
            <v>0</v>
          </cell>
          <cell r="L265">
            <v>0</v>
          </cell>
          <cell r="M265">
            <v>0</v>
          </cell>
          <cell r="N265">
            <v>6</v>
          </cell>
          <cell r="O265">
            <v>4200792</v>
          </cell>
          <cell r="P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D267" t="str">
            <v>15-45</v>
          </cell>
          <cell r="E267" t="str">
            <v>COMUNICACIONES (SISTEMAS)</v>
          </cell>
          <cell r="F267">
            <v>0</v>
          </cell>
          <cell r="G267">
            <v>0</v>
          </cell>
          <cell r="H267">
            <v>0</v>
          </cell>
          <cell r="I267">
            <v>2113490</v>
          </cell>
          <cell r="J267">
            <v>0</v>
          </cell>
          <cell r="K267">
            <v>0</v>
          </cell>
          <cell r="L267">
            <v>0</v>
          </cell>
          <cell r="M267">
            <v>0</v>
          </cell>
          <cell r="N267">
            <v>0</v>
          </cell>
          <cell r="O267">
            <v>2113490</v>
          </cell>
          <cell r="P267">
            <v>0</v>
          </cell>
        </row>
        <row r="268">
          <cell r="D268">
            <v>0</v>
          </cell>
          <cell r="E268" t="str">
            <v>SUMINISTRO Y MONTAJE DE:</v>
          </cell>
          <cell r="F268">
            <v>0</v>
          </cell>
          <cell r="G268">
            <v>0</v>
          </cell>
          <cell r="H268">
            <v>0</v>
          </cell>
          <cell r="I268">
            <v>0</v>
          </cell>
          <cell r="J268">
            <v>0</v>
          </cell>
          <cell r="K268">
            <v>0</v>
          </cell>
          <cell r="L268">
            <v>0</v>
          </cell>
          <cell r="M268">
            <v>0</v>
          </cell>
          <cell r="N268">
            <v>0</v>
          </cell>
          <cell r="O268">
            <v>0</v>
          </cell>
          <cell r="P268">
            <v>0</v>
          </cell>
        </row>
        <row r="269">
          <cell r="D269" t="str">
            <v>15-45-010</v>
          </cell>
          <cell r="E269" t="str">
            <v xml:space="preserve">PATCH CORD CAT6  1,5M AZUL </v>
          </cell>
          <cell r="F269" t="str">
            <v>UN</v>
          </cell>
          <cell r="G269">
            <v>23332</v>
          </cell>
          <cell r="H269">
            <v>1</v>
          </cell>
          <cell r="I269">
            <v>23332</v>
          </cell>
          <cell r="J269">
            <v>0</v>
          </cell>
          <cell r="K269">
            <v>0</v>
          </cell>
          <cell r="L269">
            <v>0</v>
          </cell>
          <cell r="M269">
            <v>0</v>
          </cell>
          <cell r="N269">
            <v>1</v>
          </cell>
          <cell r="O269">
            <v>23332</v>
          </cell>
          <cell r="P269">
            <v>0</v>
          </cell>
        </row>
        <row r="270">
          <cell r="D270" t="str">
            <v>15-45-020</v>
          </cell>
          <cell r="E270" t="str">
            <v>TOMA DOBLE DE DATOS.INCLUYE: FACE PLATE DOBLE, 2 JACK SENCILLO CAT 6, MARCACIÓN, PRUEBAS, CONEXIÓN Y PUESTA EN SERVICIO.</v>
          </cell>
          <cell r="F270" t="str">
            <v>UN</v>
          </cell>
          <cell r="G270">
            <v>74258</v>
          </cell>
          <cell r="H270">
            <v>1</v>
          </cell>
          <cell r="I270">
            <v>74258</v>
          </cell>
          <cell r="J270">
            <v>0</v>
          </cell>
          <cell r="K270">
            <v>0</v>
          </cell>
          <cell r="L270">
            <v>0</v>
          </cell>
          <cell r="M270">
            <v>0</v>
          </cell>
          <cell r="N270">
            <v>1</v>
          </cell>
          <cell r="O270">
            <v>74258</v>
          </cell>
          <cell r="P270">
            <v>0</v>
          </cell>
        </row>
        <row r="271">
          <cell r="D271" t="str">
            <v>15-45-030</v>
          </cell>
          <cell r="E271" t="str">
            <v>ACCESS POINT INDOOR 802.11N POWER OVER ETHERNET (POE) STANDARD</v>
          </cell>
          <cell r="F271" t="str">
            <v>UN</v>
          </cell>
          <cell r="G271">
            <v>739689</v>
          </cell>
          <cell r="H271">
            <v>1</v>
          </cell>
          <cell r="I271">
            <v>739689</v>
          </cell>
          <cell r="J271">
            <v>0</v>
          </cell>
          <cell r="K271">
            <v>0</v>
          </cell>
          <cell r="L271">
            <v>0</v>
          </cell>
          <cell r="M271">
            <v>0</v>
          </cell>
          <cell r="N271">
            <v>1</v>
          </cell>
          <cell r="O271">
            <v>739689</v>
          </cell>
          <cell r="P271">
            <v>0</v>
          </cell>
        </row>
        <row r="272">
          <cell r="D272" t="str">
            <v>15-45-040</v>
          </cell>
          <cell r="E272" t="str">
            <v>CABLE 4 PARES UTP CAT. 6</v>
          </cell>
          <cell r="F272" t="str">
            <v>ML</v>
          </cell>
          <cell r="G272">
            <v>2561</v>
          </cell>
          <cell r="H272">
            <v>75</v>
          </cell>
          <cell r="I272">
            <v>192075</v>
          </cell>
          <cell r="J272">
            <v>0</v>
          </cell>
          <cell r="K272">
            <v>0</v>
          </cell>
          <cell r="L272">
            <v>0</v>
          </cell>
          <cell r="M272">
            <v>0</v>
          </cell>
          <cell r="N272">
            <v>75</v>
          </cell>
          <cell r="O272">
            <v>192075</v>
          </cell>
          <cell r="P272">
            <v>0</v>
          </cell>
        </row>
        <row r="273">
          <cell r="D273" t="str">
            <v>15-45-050</v>
          </cell>
          <cell r="E273" t="str">
            <v>MINIRACK 30X55X40 COLOR NEGRO CON REJILLAS.</v>
          </cell>
          <cell r="F273" t="str">
            <v>UN</v>
          </cell>
          <cell r="G273">
            <v>285108</v>
          </cell>
          <cell r="H273">
            <v>1</v>
          </cell>
          <cell r="I273">
            <v>285108</v>
          </cell>
          <cell r="J273">
            <v>0</v>
          </cell>
          <cell r="K273">
            <v>0</v>
          </cell>
          <cell r="L273">
            <v>0</v>
          </cell>
          <cell r="M273">
            <v>0</v>
          </cell>
          <cell r="N273">
            <v>1</v>
          </cell>
          <cell r="O273">
            <v>285108</v>
          </cell>
          <cell r="P273">
            <v>0</v>
          </cell>
        </row>
        <row r="274">
          <cell r="D274" t="str">
            <v>15-45-060</v>
          </cell>
          <cell r="E274" t="str">
            <v>INSTALACIÓN DE CAJAS DE PASO 12X12 INCLUYE: CAJAS DE PASO, SOPORTE, FIJACIÓN, NIVELACIÓN, MARCACIÓN RETIE.</v>
          </cell>
          <cell r="F274" t="str">
            <v>UN</v>
          </cell>
          <cell r="G274">
            <v>13103</v>
          </cell>
          <cell r="H274">
            <v>1</v>
          </cell>
          <cell r="I274">
            <v>13103</v>
          </cell>
          <cell r="J274">
            <v>0</v>
          </cell>
          <cell r="K274">
            <v>0</v>
          </cell>
          <cell r="L274">
            <v>0</v>
          </cell>
          <cell r="M274">
            <v>0</v>
          </cell>
          <cell r="N274">
            <v>1</v>
          </cell>
          <cell r="O274">
            <v>13103</v>
          </cell>
          <cell r="P274">
            <v>0</v>
          </cell>
        </row>
        <row r="275">
          <cell r="D275" t="str">
            <v>15-45-070</v>
          </cell>
          <cell r="E275" t="str">
            <v>TUBERÍA METÁLICA TIPO EMT DE 3/4"</v>
          </cell>
          <cell r="F275" t="str">
            <v>ML</v>
          </cell>
          <cell r="G275">
            <v>10479</v>
          </cell>
          <cell r="H275">
            <v>75</v>
          </cell>
          <cell r="I275">
            <v>785925</v>
          </cell>
          <cell r="J275">
            <v>0</v>
          </cell>
          <cell r="K275">
            <v>0</v>
          </cell>
          <cell r="L275">
            <v>0</v>
          </cell>
          <cell r="M275">
            <v>0</v>
          </cell>
          <cell r="N275">
            <v>75</v>
          </cell>
          <cell r="O275">
            <v>785925</v>
          </cell>
          <cell r="P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D277" t="str">
            <v>15-50</v>
          </cell>
          <cell r="E277" t="str">
            <v>TELÉFONOS</v>
          </cell>
          <cell r="F277">
            <v>0</v>
          </cell>
          <cell r="G277">
            <v>0</v>
          </cell>
          <cell r="H277">
            <v>0</v>
          </cell>
          <cell r="I277">
            <v>77306</v>
          </cell>
          <cell r="J277">
            <v>0</v>
          </cell>
          <cell r="K277">
            <v>0</v>
          </cell>
          <cell r="L277">
            <v>0</v>
          </cell>
          <cell r="M277">
            <v>0</v>
          </cell>
          <cell r="N277">
            <v>0</v>
          </cell>
          <cell r="O277">
            <v>77306</v>
          </cell>
          <cell r="P277">
            <v>0</v>
          </cell>
        </row>
        <row r="278">
          <cell r="D278">
            <v>0</v>
          </cell>
          <cell r="E278" t="str">
            <v>SUMINISTRO Y MONTAJE DE:</v>
          </cell>
          <cell r="F278">
            <v>0</v>
          </cell>
          <cell r="G278">
            <v>0</v>
          </cell>
          <cell r="H278">
            <v>0</v>
          </cell>
          <cell r="I278">
            <v>0</v>
          </cell>
          <cell r="J278">
            <v>0</v>
          </cell>
          <cell r="K278">
            <v>0</v>
          </cell>
          <cell r="L278">
            <v>0</v>
          </cell>
          <cell r="M278">
            <v>0</v>
          </cell>
          <cell r="N278">
            <v>0</v>
          </cell>
          <cell r="O278">
            <v>0</v>
          </cell>
          <cell r="P278">
            <v>0</v>
          </cell>
        </row>
        <row r="279">
          <cell r="D279">
            <v>0</v>
          </cell>
          <cell r="E279" t="str">
            <v>REDES INTERNAS DE TELÉFONOS</v>
          </cell>
          <cell r="F279">
            <v>0</v>
          </cell>
          <cell r="G279">
            <v>0</v>
          </cell>
          <cell r="H279">
            <v>0</v>
          </cell>
          <cell r="I279">
            <v>0</v>
          </cell>
          <cell r="J279">
            <v>0</v>
          </cell>
          <cell r="K279">
            <v>0</v>
          </cell>
          <cell r="L279">
            <v>0</v>
          </cell>
          <cell r="M279">
            <v>0</v>
          </cell>
          <cell r="N279">
            <v>0</v>
          </cell>
          <cell r="O279">
            <v>0</v>
          </cell>
          <cell r="P279">
            <v>0</v>
          </cell>
        </row>
        <row r="280">
          <cell r="D280" t="str">
            <v>15-50-010</v>
          </cell>
          <cell r="E280" t="str">
            <v xml:space="preserve">SALIDAS TELÉFONOS </v>
          </cell>
          <cell r="F280" t="str">
            <v>UN</v>
          </cell>
          <cell r="G280">
            <v>68696</v>
          </cell>
          <cell r="H280">
            <v>1</v>
          </cell>
          <cell r="I280">
            <v>68696</v>
          </cell>
          <cell r="J280">
            <v>0</v>
          </cell>
          <cell r="K280">
            <v>0</v>
          </cell>
          <cell r="L280">
            <v>0</v>
          </cell>
          <cell r="M280">
            <v>0</v>
          </cell>
          <cell r="N280">
            <v>1</v>
          </cell>
          <cell r="O280">
            <v>68696</v>
          </cell>
          <cell r="P280">
            <v>0</v>
          </cell>
        </row>
        <row r="281">
          <cell r="D281" t="str">
            <v>15-50-020</v>
          </cell>
          <cell r="E281" t="str">
            <v>CABLE MULTIPAR DE 2 PARES, USO INTERIOR</v>
          </cell>
          <cell r="F281" t="str">
            <v>ML</v>
          </cell>
          <cell r="G281">
            <v>1722</v>
          </cell>
          <cell r="H281">
            <v>5</v>
          </cell>
          <cell r="I281">
            <v>8610</v>
          </cell>
          <cell r="J281">
            <v>0</v>
          </cell>
          <cell r="K281">
            <v>0</v>
          </cell>
          <cell r="L281">
            <v>0</v>
          </cell>
          <cell r="M281">
            <v>0</v>
          </cell>
          <cell r="N281">
            <v>5</v>
          </cell>
          <cell r="O281">
            <v>8610</v>
          </cell>
          <cell r="P281">
            <v>0</v>
          </cell>
        </row>
        <row r="282">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D283" t="str">
            <v>15-55</v>
          </cell>
          <cell r="E283" t="str">
            <v>MALLA DE PUESTA A TIERRA</v>
          </cell>
          <cell r="F283">
            <v>0</v>
          </cell>
          <cell r="G283">
            <v>0</v>
          </cell>
          <cell r="H283">
            <v>0</v>
          </cell>
          <cell r="I283">
            <v>1609517</v>
          </cell>
          <cell r="J283">
            <v>0</v>
          </cell>
          <cell r="K283">
            <v>0</v>
          </cell>
          <cell r="L283">
            <v>0</v>
          </cell>
          <cell r="M283">
            <v>0</v>
          </cell>
          <cell r="N283">
            <v>0</v>
          </cell>
          <cell r="O283">
            <v>1609517</v>
          </cell>
          <cell r="P283">
            <v>0</v>
          </cell>
        </row>
        <row r="284">
          <cell r="D284">
            <v>0</v>
          </cell>
          <cell r="E284" t="str">
            <v>SUMINISTRO Y MONTAJE DE:</v>
          </cell>
          <cell r="F284">
            <v>0</v>
          </cell>
          <cell r="G284">
            <v>0</v>
          </cell>
          <cell r="H284">
            <v>0</v>
          </cell>
          <cell r="I284">
            <v>0</v>
          </cell>
          <cell r="J284">
            <v>0</v>
          </cell>
          <cell r="K284">
            <v>0</v>
          </cell>
          <cell r="L284">
            <v>0</v>
          </cell>
          <cell r="M284">
            <v>0</v>
          </cell>
          <cell r="N284">
            <v>0</v>
          </cell>
          <cell r="O284">
            <v>0</v>
          </cell>
          <cell r="P284">
            <v>0</v>
          </cell>
        </row>
        <row r="285">
          <cell r="D285" t="str">
            <v>15-55-010</v>
          </cell>
          <cell r="E285" t="str">
            <v>CABLE DE COBRE DESNUDO 1/0 THHN AWG</v>
          </cell>
          <cell r="F285" t="str">
            <v>ML</v>
          </cell>
          <cell r="G285">
            <v>17992</v>
          </cell>
          <cell r="H285">
            <v>32</v>
          </cell>
          <cell r="I285">
            <v>575744</v>
          </cell>
          <cell r="J285">
            <v>0</v>
          </cell>
          <cell r="K285">
            <v>0</v>
          </cell>
          <cell r="L285">
            <v>0</v>
          </cell>
          <cell r="M285">
            <v>0</v>
          </cell>
          <cell r="N285">
            <v>32</v>
          </cell>
          <cell r="O285">
            <v>575744</v>
          </cell>
          <cell r="P285">
            <v>0</v>
          </cell>
        </row>
        <row r="286">
          <cell r="D286" t="str">
            <v>15-55-020</v>
          </cell>
          <cell r="E286" t="str">
            <v>SOLDADURA EXOTERMICA DE 115GR</v>
          </cell>
          <cell r="F286" t="str">
            <v>UN</v>
          </cell>
          <cell r="G286">
            <v>33721</v>
          </cell>
          <cell r="H286">
            <v>11</v>
          </cell>
          <cell r="I286">
            <v>370931</v>
          </cell>
          <cell r="J286">
            <v>0</v>
          </cell>
          <cell r="K286">
            <v>0</v>
          </cell>
          <cell r="L286">
            <v>0</v>
          </cell>
          <cell r="M286">
            <v>0</v>
          </cell>
          <cell r="N286">
            <v>11</v>
          </cell>
          <cell r="O286">
            <v>370931</v>
          </cell>
          <cell r="P286">
            <v>0</v>
          </cell>
        </row>
        <row r="287">
          <cell r="D287" t="str">
            <v>15-55-030</v>
          </cell>
          <cell r="E287" t="str">
            <v>VARILLA COOPERWELD 2400MM</v>
          </cell>
          <cell r="F287" t="str">
            <v>UN</v>
          </cell>
          <cell r="G287">
            <v>49517</v>
          </cell>
          <cell r="H287">
            <v>6</v>
          </cell>
          <cell r="I287">
            <v>297102</v>
          </cell>
          <cell r="J287">
            <v>0</v>
          </cell>
          <cell r="K287">
            <v>0</v>
          </cell>
          <cell r="L287">
            <v>0</v>
          </cell>
          <cell r="M287">
            <v>0</v>
          </cell>
          <cell r="N287">
            <v>6</v>
          </cell>
          <cell r="O287">
            <v>297102</v>
          </cell>
          <cell r="P287">
            <v>0</v>
          </cell>
        </row>
        <row r="288">
          <cell r="D288" t="str">
            <v>15-55-040</v>
          </cell>
          <cell r="E288" t="str">
            <v>EXCAVACIÓN EN PISO BLANDO PROFUNDIDAD DE 50CM</v>
          </cell>
          <cell r="F288" t="str">
            <v>ML</v>
          </cell>
          <cell r="G288">
            <v>6385</v>
          </cell>
          <cell r="H288">
            <v>32</v>
          </cell>
          <cell r="I288">
            <v>204320</v>
          </cell>
          <cell r="J288">
            <v>0</v>
          </cell>
          <cell r="K288">
            <v>0</v>
          </cell>
          <cell r="L288">
            <v>0</v>
          </cell>
          <cell r="M288">
            <v>0</v>
          </cell>
          <cell r="N288">
            <v>32</v>
          </cell>
          <cell r="O288">
            <v>204320</v>
          </cell>
          <cell r="P288">
            <v>0</v>
          </cell>
        </row>
        <row r="289">
          <cell r="D289" t="str">
            <v>15-55-050</v>
          </cell>
          <cell r="E289" t="str">
            <v>CAJA DE INSPECCIÓN DE 30X30</v>
          </cell>
          <cell r="F289" t="str">
            <v>UN</v>
          </cell>
          <cell r="G289">
            <v>161420</v>
          </cell>
          <cell r="H289">
            <v>1</v>
          </cell>
          <cell r="I289">
            <v>161420</v>
          </cell>
          <cell r="J289">
            <v>0</v>
          </cell>
          <cell r="K289">
            <v>0</v>
          </cell>
          <cell r="L289">
            <v>0</v>
          </cell>
          <cell r="M289">
            <v>0</v>
          </cell>
          <cell r="N289">
            <v>1</v>
          </cell>
          <cell r="O289">
            <v>161420</v>
          </cell>
          <cell r="P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D292" t="str">
            <v>15-60</v>
          </cell>
          <cell r="E292" t="str">
            <v>SISTEMA DE APANTALLAMIENTO</v>
          </cell>
          <cell r="F292">
            <v>0</v>
          </cell>
          <cell r="G292">
            <v>0</v>
          </cell>
          <cell r="H292">
            <v>0</v>
          </cell>
          <cell r="I292">
            <v>5209309</v>
          </cell>
          <cell r="J292">
            <v>0</v>
          </cell>
          <cell r="K292">
            <v>0</v>
          </cell>
          <cell r="L292">
            <v>0</v>
          </cell>
          <cell r="M292">
            <v>0</v>
          </cell>
          <cell r="N292">
            <v>0</v>
          </cell>
          <cell r="O292">
            <v>5209309</v>
          </cell>
          <cell r="P292">
            <v>0</v>
          </cell>
        </row>
        <row r="293">
          <cell r="D293">
            <v>0</v>
          </cell>
          <cell r="E293" t="str">
            <v>SUMINISTRO Y MONTAJE DE:</v>
          </cell>
          <cell r="F293">
            <v>0</v>
          </cell>
          <cell r="G293">
            <v>0</v>
          </cell>
          <cell r="H293">
            <v>0</v>
          </cell>
          <cell r="I293">
            <v>0</v>
          </cell>
          <cell r="J293">
            <v>0</v>
          </cell>
          <cell r="K293">
            <v>0</v>
          </cell>
          <cell r="L293">
            <v>0</v>
          </cell>
          <cell r="M293">
            <v>0</v>
          </cell>
          <cell r="N293">
            <v>0</v>
          </cell>
          <cell r="O293">
            <v>0</v>
          </cell>
          <cell r="P293">
            <v>0</v>
          </cell>
        </row>
        <row r="294">
          <cell r="D294" t="str">
            <v>15-60-010</v>
          </cell>
          <cell r="E294" t="str">
            <v>CABLE EN ALUMINIO DESNUDO 1/0 AWG</v>
          </cell>
          <cell r="F294" t="str">
            <v>ML</v>
          </cell>
          <cell r="G294">
            <v>7035</v>
          </cell>
          <cell r="H294">
            <v>165</v>
          </cell>
          <cell r="I294">
            <v>1160775</v>
          </cell>
          <cell r="J294">
            <v>0</v>
          </cell>
          <cell r="K294">
            <v>0</v>
          </cell>
          <cell r="L294">
            <v>0</v>
          </cell>
          <cell r="M294">
            <v>0</v>
          </cell>
          <cell r="N294">
            <v>165</v>
          </cell>
          <cell r="O294">
            <v>1160775</v>
          </cell>
          <cell r="P294">
            <v>0</v>
          </cell>
        </row>
        <row r="295">
          <cell r="D295" t="str">
            <v>15-60-020</v>
          </cell>
          <cell r="E295" t="str">
            <v xml:space="preserve">PUNTA FRANKLIN </v>
          </cell>
          <cell r="F295" t="str">
            <v>UN</v>
          </cell>
          <cell r="G295">
            <v>114516</v>
          </cell>
          <cell r="H295">
            <v>16</v>
          </cell>
          <cell r="I295">
            <v>1832256</v>
          </cell>
          <cell r="J295">
            <v>0</v>
          </cell>
          <cell r="K295">
            <v>0</v>
          </cell>
          <cell r="L295">
            <v>0</v>
          </cell>
          <cell r="M295">
            <v>0</v>
          </cell>
          <cell r="N295">
            <v>16</v>
          </cell>
          <cell r="O295">
            <v>1832256</v>
          </cell>
          <cell r="P295">
            <v>0</v>
          </cell>
        </row>
        <row r="296">
          <cell r="D296" t="str">
            <v>15-60-030</v>
          </cell>
          <cell r="E296" t="str">
            <v>CAJA PLASTICA 30X30X15</v>
          </cell>
          <cell r="F296" t="str">
            <v>UN</v>
          </cell>
          <cell r="G296">
            <v>49703</v>
          </cell>
          <cell r="H296">
            <v>4</v>
          </cell>
          <cell r="I296">
            <v>198812</v>
          </cell>
          <cell r="J296">
            <v>0</v>
          </cell>
          <cell r="K296">
            <v>0</v>
          </cell>
          <cell r="L296">
            <v>0</v>
          </cell>
          <cell r="M296">
            <v>0</v>
          </cell>
          <cell r="N296">
            <v>4</v>
          </cell>
          <cell r="O296">
            <v>198812</v>
          </cell>
          <cell r="P296">
            <v>0</v>
          </cell>
        </row>
        <row r="297">
          <cell r="D297" t="str">
            <v>15-60-040</v>
          </cell>
          <cell r="E297" t="str">
            <v>CONECTOR BIMETALICO</v>
          </cell>
          <cell r="F297" t="str">
            <v>UN</v>
          </cell>
          <cell r="G297">
            <v>5853</v>
          </cell>
          <cell r="H297">
            <v>16</v>
          </cell>
          <cell r="I297">
            <v>93648</v>
          </cell>
          <cell r="J297">
            <v>0</v>
          </cell>
          <cell r="K297">
            <v>0</v>
          </cell>
          <cell r="L297">
            <v>0</v>
          </cell>
          <cell r="M297">
            <v>0</v>
          </cell>
          <cell r="N297">
            <v>16</v>
          </cell>
          <cell r="O297">
            <v>93648</v>
          </cell>
          <cell r="P297">
            <v>0</v>
          </cell>
        </row>
        <row r="298">
          <cell r="D298" t="str">
            <v>15-60-050</v>
          </cell>
          <cell r="E298" t="str">
            <v>TUBERÍA METÁLICA TIPO IMC DE 3/4"</v>
          </cell>
          <cell r="F298" t="str">
            <v>ML</v>
          </cell>
          <cell r="G298">
            <v>22307</v>
          </cell>
          <cell r="H298">
            <v>66</v>
          </cell>
          <cell r="I298">
            <v>1472262</v>
          </cell>
          <cell r="J298">
            <v>0</v>
          </cell>
          <cell r="K298">
            <v>0</v>
          </cell>
          <cell r="L298">
            <v>0</v>
          </cell>
          <cell r="M298">
            <v>0</v>
          </cell>
          <cell r="N298">
            <v>66</v>
          </cell>
          <cell r="O298">
            <v>1472262</v>
          </cell>
          <cell r="P298">
            <v>0</v>
          </cell>
        </row>
        <row r="299">
          <cell r="D299" t="str">
            <v>15-60-060</v>
          </cell>
          <cell r="E299" t="str">
            <v xml:space="preserve">UNIÓN GALVANIZADA ¾” </v>
          </cell>
          <cell r="F299" t="str">
            <v>UN</v>
          </cell>
          <cell r="G299">
            <v>4516</v>
          </cell>
          <cell r="H299">
            <v>16</v>
          </cell>
          <cell r="I299">
            <v>72256</v>
          </cell>
          <cell r="J299">
            <v>0</v>
          </cell>
          <cell r="K299">
            <v>0</v>
          </cell>
          <cell r="L299">
            <v>0</v>
          </cell>
          <cell r="M299">
            <v>0</v>
          </cell>
          <cell r="N299">
            <v>16</v>
          </cell>
          <cell r="O299">
            <v>72256</v>
          </cell>
          <cell r="P299">
            <v>0</v>
          </cell>
        </row>
        <row r="300">
          <cell r="D300" t="str">
            <v>15-60-070</v>
          </cell>
          <cell r="E300" t="str">
            <v>SOLDADURA EXOTERMICA DE 115GR</v>
          </cell>
          <cell r="F300" t="str">
            <v>UN</v>
          </cell>
          <cell r="G300">
            <v>33721</v>
          </cell>
          <cell r="H300">
            <v>4</v>
          </cell>
          <cell r="I300">
            <v>134884</v>
          </cell>
          <cell r="J300">
            <v>0</v>
          </cell>
          <cell r="K300">
            <v>0</v>
          </cell>
          <cell r="L300">
            <v>0</v>
          </cell>
          <cell r="M300">
            <v>0</v>
          </cell>
          <cell r="N300">
            <v>4</v>
          </cell>
          <cell r="O300">
            <v>134884</v>
          </cell>
          <cell r="P300">
            <v>0</v>
          </cell>
        </row>
        <row r="301">
          <cell r="D301" t="str">
            <v>15-60-080</v>
          </cell>
          <cell r="E301" t="str">
            <v>CABLE EN ALUMINIO CUBIERTO 1/0 AWG</v>
          </cell>
          <cell r="F301" t="str">
            <v>ML</v>
          </cell>
          <cell r="G301">
            <v>7879</v>
          </cell>
          <cell r="H301">
            <v>16</v>
          </cell>
          <cell r="I301">
            <v>126064</v>
          </cell>
          <cell r="J301">
            <v>0</v>
          </cell>
          <cell r="K301">
            <v>0</v>
          </cell>
          <cell r="L301">
            <v>0</v>
          </cell>
          <cell r="M301">
            <v>0</v>
          </cell>
          <cell r="N301">
            <v>16</v>
          </cell>
          <cell r="O301">
            <v>126064</v>
          </cell>
          <cell r="P301">
            <v>0</v>
          </cell>
        </row>
        <row r="302">
          <cell r="D302" t="str">
            <v>15-60-090</v>
          </cell>
          <cell r="E302" t="str">
            <v>KIT DE SEÑALIZACIÓN DE RIESGO ELECTRICO. INCLUYE: 2 AVISOS EN ACRILICO.</v>
          </cell>
          <cell r="F302" t="str">
            <v>UN</v>
          </cell>
          <cell r="G302">
            <v>118352</v>
          </cell>
          <cell r="H302">
            <v>1</v>
          </cell>
          <cell r="I302">
            <v>118352</v>
          </cell>
          <cell r="J302">
            <v>0</v>
          </cell>
          <cell r="K302">
            <v>0</v>
          </cell>
          <cell r="L302">
            <v>0</v>
          </cell>
          <cell r="M302">
            <v>0</v>
          </cell>
          <cell r="N302">
            <v>1</v>
          </cell>
          <cell r="O302">
            <v>118352</v>
          </cell>
          <cell r="P302">
            <v>0</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D304" t="str">
            <v>15-65</v>
          </cell>
          <cell r="E304" t="str">
            <v>TRAMITES</v>
          </cell>
          <cell r="F304">
            <v>0</v>
          </cell>
          <cell r="G304">
            <v>0</v>
          </cell>
          <cell r="H304">
            <v>0</v>
          </cell>
          <cell r="I304">
            <v>5565340.0800000001</v>
          </cell>
          <cell r="J304">
            <v>0</v>
          </cell>
          <cell r="K304">
            <v>0</v>
          </cell>
          <cell r="L304">
            <v>0</v>
          </cell>
          <cell r="M304">
            <v>0</v>
          </cell>
          <cell r="N304">
            <v>0</v>
          </cell>
          <cell r="O304">
            <v>5565340.0800000001</v>
          </cell>
          <cell r="P304">
            <v>0</v>
          </cell>
        </row>
        <row r="305">
          <cell r="D305" t="str">
            <v>15-65-010</v>
          </cell>
          <cell r="E305" t="str">
            <v>PAGOS POR INSPECTORÍA RETIE ANTE UN ORGANISMO DE INSPECCIÓN DEBIDAMENTE ACREDITADO</v>
          </cell>
          <cell r="F305" t="str">
            <v>SG</v>
          </cell>
          <cell r="G305">
            <v>1514492.04</v>
          </cell>
          <cell r="H305">
            <v>1</v>
          </cell>
          <cell r="I305">
            <v>1514492.04</v>
          </cell>
          <cell r="J305">
            <v>0</v>
          </cell>
          <cell r="K305">
            <v>0</v>
          </cell>
          <cell r="L305">
            <v>0</v>
          </cell>
          <cell r="M305">
            <v>0</v>
          </cell>
          <cell r="N305">
            <v>1</v>
          </cell>
          <cell r="O305">
            <v>1514492.04</v>
          </cell>
          <cell r="P305">
            <v>0</v>
          </cell>
        </row>
        <row r="306">
          <cell r="D306" t="str">
            <v>15-65-020</v>
          </cell>
          <cell r="E306" t="str">
            <v>PAGOS POR INSPECTORÍA RETILAP ANTE UN ORGANISMO DE INSPECCIÓN DEBIDAMENTE ACREDITADO</v>
          </cell>
          <cell r="F306" t="str">
            <v>SG</v>
          </cell>
          <cell r="G306">
            <v>1850888.04</v>
          </cell>
          <cell r="H306">
            <v>1</v>
          </cell>
          <cell r="I306">
            <v>1850888.04</v>
          </cell>
          <cell r="J306">
            <v>0</v>
          </cell>
          <cell r="K306">
            <v>0</v>
          </cell>
          <cell r="L306">
            <v>0</v>
          </cell>
          <cell r="M306">
            <v>0</v>
          </cell>
          <cell r="N306">
            <v>1</v>
          </cell>
          <cell r="O306">
            <v>1850888.04</v>
          </cell>
          <cell r="P306">
            <v>0</v>
          </cell>
        </row>
        <row r="307">
          <cell r="D307" t="str">
            <v>15-65-030</v>
          </cell>
          <cell r="E307" t="str">
            <v>TRAMITES ANTE EL OPERADOR DE RED PARA LA LEGALIZACION DEL SERVICIO DE ENERGIA.</v>
          </cell>
          <cell r="F307" t="str">
            <v>SG</v>
          </cell>
          <cell r="G307">
            <v>1519020</v>
          </cell>
          <cell r="H307">
            <v>1</v>
          </cell>
          <cell r="I307">
            <v>1519020</v>
          </cell>
          <cell r="J307">
            <v>0</v>
          </cell>
          <cell r="K307">
            <v>0</v>
          </cell>
          <cell r="L307">
            <v>0</v>
          </cell>
          <cell r="M307">
            <v>0</v>
          </cell>
          <cell r="N307">
            <v>1</v>
          </cell>
          <cell r="O307">
            <v>1519020</v>
          </cell>
          <cell r="P307">
            <v>0</v>
          </cell>
        </row>
        <row r="308">
          <cell r="D308" t="str">
            <v>15-65-040</v>
          </cell>
          <cell r="E308" t="str">
            <v>TRAMITES ANTE EL OPERADOR DE TELECOMUNICACIONES.</v>
          </cell>
          <cell r="F308" t="str">
            <v>SG</v>
          </cell>
          <cell r="G308">
            <v>680940</v>
          </cell>
          <cell r="H308">
            <v>1</v>
          </cell>
          <cell r="I308">
            <v>680940</v>
          </cell>
          <cell r="J308">
            <v>0</v>
          </cell>
          <cell r="K308">
            <v>0</v>
          </cell>
          <cell r="L308">
            <v>0</v>
          </cell>
          <cell r="M308">
            <v>0</v>
          </cell>
          <cell r="N308">
            <v>1</v>
          </cell>
          <cell r="O308">
            <v>680940</v>
          </cell>
          <cell r="P308">
            <v>0</v>
          </cell>
        </row>
        <row r="309">
          <cell r="D309" t="str">
            <v>16</v>
          </cell>
          <cell r="E309" t="str">
            <v>AIRE ACONDICIONADO</v>
          </cell>
          <cell r="F309">
            <v>0</v>
          </cell>
          <cell r="G309">
            <v>0</v>
          </cell>
          <cell r="H309">
            <v>0</v>
          </cell>
          <cell r="I309">
            <v>0</v>
          </cell>
          <cell r="J309">
            <v>0</v>
          </cell>
          <cell r="K309">
            <v>0</v>
          </cell>
          <cell r="L309">
            <v>0</v>
          </cell>
          <cell r="M309">
            <v>0</v>
          </cell>
          <cell r="N309">
            <v>0</v>
          </cell>
          <cell r="O309">
            <v>0</v>
          </cell>
          <cell r="P309">
            <v>0</v>
          </cell>
        </row>
        <row r="310">
          <cell r="D310" t="str">
            <v>16-01</v>
          </cell>
          <cell r="E310" t="str">
            <v>SISTEMA DE AIRE ACONDICIONADO</v>
          </cell>
          <cell r="F310">
            <v>0</v>
          </cell>
          <cell r="G310">
            <v>0</v>
          </cell>
          <cell r="H310">
            <v>0</v>
          </cell>
          <cell r="I310">
            <v>0</v>
          </cell>
          <cell r="J310">
            <v>0</v>
          </cell>
          <cell r="K310">
            <v>0</v>
          </cell>
          <cell r="L310">
            <v>0</v>
          </cell>
          <cell r="M310">
            <v>0</v>
          </cell>
          <cell r="N310">
            <v>0</v>
          </cell>
          <cell r="O310">
            <v>0</v>
          </cell>
          <cell r="P310">
            <v>0</v>
          </cell>
        </row>
        <row r="311">
          <cell r="D311" t="str">
            <v>17</v>
          </cell>
          <cell r="E311" t="str">
            <v>EQUIPOS Y REDES ESPECIALES</v>
          </cell>
          <cell r="F311">
            <v>0</v>
          </cell>
          <cell r="G311">
            <v>0</v>
          </cell>
          <cell r="H311">
            <v>0</v>
          </cell>
          <cell r="I311">
            <v>0</v>
          </cell>
          <cell r="J311">
            <v>0</v>
          </cell>
          <cell r="K311">
            <v>0</v>
          </cell>
          <cell r="L311">
            <v>0</v>
          </cell>
          <cell r="M311">
            <v>0</v>
          </cell>
          <cell r="N311">
            <v>0</v>
          </cell>
          <cell r="O311">
            <v>0</v>
          </cell>
          <cell r="P311">
            <v>0</v>
          </cell>
        </row>
        <row r="312">
          <cell r="D312" t="str">
            <v>17-01</v>
          </cell>
          <cell r="E312" t="str">
            <v>ASCENSORES, MONTACARGAS Y ESCALERAS ELECTRICAS</v>
          </cell>
          <cell r="F312">
            <v>0</v>
          </cell>
          <cell r="G312">
            <v>0</v>
          </cell>
          <cell r="H312">
            <v>0</v>
          </cell>
          <cell r="I312">
            <v>0</v>
          </cell>
          <cell r="J312">
            <v>0</v>
          </cell>
          <cell r="K312">
            <v>0</v>
          </cell>
          <cell r="L312">
            <v>0</v>
          </cell>
          <cell r="M312">
            <v>0</v>
          </cell>
          <cell r="N312">
            <v>0</v>
          </cell>
          <cell r="O312">
            <v>0</v>
          </cell>
          <cell r="P312">
            <v>0</v>
          </cell>
        </row>
        <row r="313">
          <cell r="D313" t="str">
            <v>18</v>
          </cell>
          <cell r="E313" t="str">
            <v>URBANISMO</v>
          </cell>
          <cell r="F313">
            <v>0</v>
          </cell>
          <cell r="G313">
            <v>0</v>
          </cell>
          <cell r="H313">
            <v>0</v>
          </cell>
          <cell r="I313">
            <v>0</v>
          </cell>
          <cell r="J313">
            <v>0</v>
          </cell>
          <cell r="K313">
            <v>33671612.298847273</v>
          </cell>
          <cell r="L313">
            <v>0</v>
          </cell>
          <cell r="M313">
            <v>2356221.0472601494</v>
          </cell>
          <cell r="N313">
            <v>0</v>
          </cell>
          <cell r="O313">
            <v>0</v>
          </cell>
          <cell r="P313">
            <v>36027833.346107423</v>
          </cell>
        </row>
        <row r="314">
          <cell r="D314" t="str">
            <v>18-02</v>
          </cell>
          <cell r="E314" t="str">
            <v>PISOS</v>
          </cell>
          <cell r="F314">
            <v>0</v>
          </cell>
          <cell r="G314">
            <v>0</v>
          </cell>
          <cell r="H314">
            <v>0</v>
          </cell>
          <cell r="I314">
            <v>0</v>
          </cell>
          <cell r="J314">
            <v>0</v>
          </cell>
          <cell r="K314">
            <v>33671612.298847273</v>
          </cell>
          <cell r="L314">
            <v>0</v>
          </cell>
          <cell r="M314">
            <v>2356221.0472601494</v>
          </cell>
          <cell r="N314">
            <v>0</v>
          </cell>
          <cell r="O314">
            <v>36027833.346107423</v>
          </cell>
          <cell r="P314">
            <v>0</v>
          </cell>
        </row>
        <row r="315">
          <cell r="D315" t="str">
            <v>18-02-010</v>
          </cell>
          <cell r="E315" t="str">
            <v>SENDEROS PEATONALES, RAMPAS EXTERIORES Y PLAZOLETAS EN CONCRETO F'C 21 MPA E: 0.10 M. INCLUYE DILATACIONES EN MADERA</v>
          </cell>
          <cell r="F315" t="str">
            <v>M2</v>
          </cell>
          <cell r="G315">
            <v>72735.891258806078</v>
          </cell>
          <cell r="H315">
            <v>0</v>
          </cell>
          <cell r="I315">
            <v>0</v>
          </cell>
          <cell r="J315">
            <v>24.49</v>
          </cell>
          <cell r="K315">
            <v>1781301.9769281608</v>
          </cell>
          <cell r="L315">
            <v>0</v>
          </cell>
          <cell r="M315">
            <v>0</v>
          </cell>
          <cell r="N315">
            <v>24.49</v>
          </cell>
          <cell r="O315">
            <v>1781301.9769281608</v>
          </cell>
          <cell r="P315">
            <v>0</v>
          </cell>
        </row>
        <row r="316">
          <cell r="D316" t="str">
            <v>18-02-020</v>
          </cell>
          <cell r="E316" t="str">
            <v>PLACA POLIDEPORTIVA EN CONCRETO F'C 21 MPA E: 0.10 M. INCLUYE JUNTAS ACORDE CON EL DISEÑO ESTRUCTURAL</v>
          </cell>
          <cell r="F316" t="str">
            <v>M2</v>
          </cell>
          <cell r="G316">
            <v>72213.837969309767</v>
          </cell>
          <cell r="H316">
            <v>0</v>
          </cell>
          <cell r="I316">
            <v>0</v>
          </cell>
          <cell r="J316">
            <v>0</v>
          </cell>
          <cell r="K316">
            <v>0</v>
          </cell>
          <cell r="L316">
            <v>0</v>
          </cell>
          <cell r="M316">
            <v>0</v>
          </cell>
          <cell r="N316">
            <v>0</v>
          </cell>
          <cell r="O316">
            <v>0</v>
          </cell>
          <cell r="P316">
            <v>0</v>
          </cell>
        </row>
        <row r="317">
          <cell r="D317" t="str">
            <v>18-02-030</v>
          </cell>
          <cell r="E317" t="str">
            <v>PASOS PREFABRICADOS EN LOSETA NATURA GRAN FORMATO DE ADOQUINAR O EQUIVALENTE. INCLUYE BASE EN ARENA</v>
          </cell>
          <cell r="F317" t="str">
            <v>M</v>
          </cell>
          <cell r="G317">
            <v>38284.859917500988</v>
          </cell>
          <cell r="H317">
            <v>0</v>
          </cell>
          <cell r="I317">
            <v>0</v>
          </cell>
          <cell r="J317">
            <v>79.2</v>
          </cell>
          <cell r="K317">
            <v>3032160.9054660783</v>
          </cell>
          <cell r="L317">
            <v>0</v>
          </cell>
          <cell r="M317">
            <v>0</v>
          </cell>
          <cell r="N317">
            <v>79.2</v>
          </cell>
          <cell r="O317">
            <v>3032160.9054660783</v>
          </cell>
          <cell r="P317">
            <v>0</v>
          </cell>
        </row>
        <row r="318">
          <cell r="D318" t="str">
            <v>18-02-040</v>
          </cell>
          <cell r="E318" t="str">
            <v>PISOS EN NATURA GRAN FORMATO 0.60x0.30 M. DE ADOQUINAR O EQUIVALENTE. INCLUYE MORTERO DE BASE.</v>
          </cell>
          <cell r="F318" t="str">
            <v>M2</v>
          </cell>
          <cell r="G318">
            <v>120367.61736385549</v>
          </cell>
          <cell r="H318">
            <v>0</v>
          </cell>
          <cell r="I318">
            <v>0</v>
          </cell>
          <cell r="J318">
            <v>189.21</v>
          </cell>
          <cell r="K318">
            <v>22774756.881415099</v>
          </cell>
          <cell r="L318">
            <v>0</v>
          </cell>
          <cell r="M318">
            <v>0</v>
          </cell>
          <cell r="N318">
            <v>189.21</v>
          </cell>
          <cell r="O318">
            <v>22774756.881415099</v>
          </cell>
          <cell r="P318">
            <v>0</v>
          </cell>
        </row>
        <row r="319">
          <cell r="D319" t="str">
            <v>18-02-050</v>
          </cell>
          <cell r="E319" t="str">
            <v>PISOS PATIOS DE JUEGOS EN CANTO RODADO E: 0.15 M.</v>
          </cell>
          <cell r="F319" t="str">
            <v>M2</v>
          </cell>
          <cell r="G319">
            <v>16549.944230769233</v>
          </cell>
          <cell r="H319">
            <v>0</v>
          </cell>
          <cell r="I319">
            <v>0</v>
          </cell>
          <cell r="J319">
            <v>18.100000000000001</v>
          </cell>
          <cell r="K319">
            <v>299553.99057692313</v>
          </cell>
          <cell r="L319">
            <v>0</v>
          </cell>
          <cell r="M319">
            <v>0</v>
          </cell>
          <cell r="N319">
            <v>18.100000000000001</v>
          </cell>
          <cell r="O319">
            <v>299553.99057692313</v>
          </cell>
          <cell r="P319">
            <v>0</v>
          </cell>
        </row>
        <row r="320">
          <cell r="D320" t="str">
            <v>18-02-210</v>
          </cell>
          <cell r="E320" t="str">
            <v>BORDILLO PREFABRICADO EN CONCRETO PARA ANDENES Y ZONAS VERDES - E: 0.15 M. x H: 0.35 M. INCLUYE SELLADO DE JUNTAS</v>
          </cell>
          <cell r="F320" t="str">
            <v>M</v>
          </cell>
          <cell r="G320">
            <v>69226.07473921022</v>
          </cell>
          <cell r="H320">
            <v>0</v>
          </cell>
          <cell r="I320">
            <v>0</v>
          </cell>
          <cell r="J320">
            <v>83.55</v>
          </cell>
          <cell r="K320">
            <v>5783838.5444610137</v>
          </cell>
          <cell r="L320">
            <v>0</v>
          </cell>
          <cell r="M320">
            <v>0</v>
          </cell>
          <cell r="N320">
            <v>83.55</v>
          </cell>
          <cell r="O320">
            <v>5783838.5444610137</v>
          </cell>
          <cell r="P320">
            <v>0</v>
          </cell>
        </row>
        <row r="321">
          <cell r="D321" t="str">
            <v>18-02-410</v>
          </cell>
          <cell r="E321" t="str">
            <v>CAÑUELA EN CONCRETO ESMALTADO F'C 21 MPA A: 0.40 M. x E: 0.10 M. INCLUYE REEMPLAZO EN MATERIAL DE PRESTAMO E: 0.10 M.</v>
          </cell>
          <cell r="F321" t="str">
            <v>M</v>
          </cell>
          <cell r="G321">
            <v>35711.140455594868</v>
          </cell>
          <cell r="H321">
            <v>0</v>
          </cell>
          <cell r="I321">
            <v>0</v>
          </cell>
          <cell r="J321">
            <v>0</v>
          </cell>
          <cell r="K321">
            <v>0</v>
          </cell>
          <cell r="L321">
            <v>65.98</v>
          </cell>
          <cell r="M321">
            <v>2356221.0472601494</v>
          </cell>
          <cell r="N321">
            <v>65.98</v>
          </cell>
          <cell r="O321">
            <v>2356221.0472601494</v>
          </cell>
          <cell r="P321">
            <v>0</v>
          </cell>
        </row>
        <row r="322">
          <cell r="D322" t="str">
            <v>18-04</v>
          </cell>
          <cell r="E322" t="str">
            <v>PAISAJISMO</v>
          </cell>
          <cell r="F322">
            <v>0</v>
          </cell>
          <cell r="G322">
            <v>0</v>
          </cell>
          <cell r="H322">
            <v>0</v>
          </cell>
          <cell r="I322">
            <v>0</v>
          </cell>
          <cell r="J322">
            <v>0</v>
          </cell>
          <cell r="K322">
            <v>0</v>
          </cell>
          <cell r="L322">
            <v>0</v>
          </cell>
          <cell r="M322">
            <v>0</v>
          </cell>
          <cell r="N322">
            <v>0</v>
          </cell>
          <cell r="O322">
            <v>0</v>
          </cell>
          <cell r="P322">
            <v>0</v>
          </cell>
        </row>
        <row r="323">
          <cell r="D323" t="str">
            <v>18-04-010</v>
          </cell>
          <cell r="E323" t="str">
            <v>SUBCONTRATO ENGRAMADO - INCLUYE MANTENIMIENTO POR 3 MESES</v>
          </cell>
          <cell r="F323" t="str">
            <v>M2</v>
          </cell>
          <cell r="G323">
            <v>7766.1999999999989</v>
          </cell>
          <cell r="H323">
            <v>0</v>
          </cell>
          <cell r="I323">
            <v>0</v>
          </cell>
          <cell r="J323">
            <v>0</v>
          </cell>
          <cell r="K323">
            <v>0</v>
          </cell>
          <cell r="L323">
            <v>0</v>
          </cell>
          <cell r="M323">
            <v>0</v>
          </cell>
          <cell r="N323">
            <v>0</v>
          </cell>
          <cell r="O323">
            <v>0</v>
          </cell>
          <cell r="P323">
            <v>0</v>
          </cell>
        </row>
        <row r="324">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D325" t="str">
            <v>90</v>
          </cell>
          <cell r="E325" t="str">
            <v>TOTAL COSTO DIRECTO</v>
          </cell>
          <cell r="F325">
            <v>0</v>
          </cell>
          <cell r="G325">
            <v>0</v>
          </cell>
          <cell r="H325">
            <v>0</v>
          </cell>
          <cell r="I325">
            <v>695033038.87902915</v>
          </cell>
          <cell r="J325">
            <v>0</v>
          </cell>
          <cell r="K325">
            <v>38750917.112500928</v>
          </cell>
          <cell r="L325">
            <v>0</v>
          </cell>
          <cell r="M325">
            <v>132346135.94256544</v>
          </cell>
          <cell r="N325">
            <v>0</v>
          </cell>
          <cell r="O325">
            <v>0</v>
          </cell>
          <cell r="P325">
            <v>866130091.93409562</v>
          </cell>
        </row>
        <row r="326">
          <cell r="D326" t="str">
            <v>91</v>
          </cell>
          <cell r="E326" t="str">
            <v>AIU</v>
          </cell>
          <cell r="F326" t="str">
            <v>%</v>
          </cell>
          <cell r="G326">
            <v>0.3528</v>
          </cell>
          <cell r="H326">
            <v>695033038.87902915</v>
          </cell>
          <cell r="I326">
            <v>245207656.11652148</v>
          </cell>
          <cell r="J326">
            <v>38750917.112500928</v>
          </cell>
          <cell r="K326">
            <v>13671323.557290327</v>
          </cell>
          <cell r="L326">
            <v>132346135.94256544</v>
          </cell>
          <cell r="M326">
            <v>46691716.760537088</v>
          </cell>
          <cell r="N326">
            <v>866130091.9340955</v>
          </cell>
          <cell r="O326">
            <v>305570696.43434888</v>
          </cell>
          <cell r="P326">
            <v>305570696.43434888</v>
          </cell>
        </row>
        <row r="327">
          <cell r="D327" t="str">
            <v>92</v>
          </cell>
          <cell r="E327" t="str">
            <v>TOTAL COSTO DIRECTO + AIU</v>
          </cell>
          <cell r="F327">
            <v>0</v>
          </cell>
          <cell r="G327">
            <v>0</v>
          </cell>
          <cell r="H327">
            <v>0</v>
          </cell>
          <cell r="I327">
            <v>940240694.99555063</v>
          </cell>
          <cell r="J327">
            <v>0</v>
          </cell>
          <cell r="K327">
            <v>52422240.669791251</v>
          </cell>
          <cell r="L327">
            <v>0</v>
          </cell>
          <cell r="M327">
            <v>179037852.70310253</v>
          </cell>
          <cell r="N327">
            <v>0</v>
          </cell>
          <cell r="O327">
            <v>0</v>
          </cell>
          <cell r="P327">
            <v>1171700788.3684444</v>
          </cell>
        </row>
        <row r="328">
          <cell r="L328">
            <v>0</v>
          </cell>
        </row>
        <row r="329">
          <cell r="D329" t="str">
            <v>96</v>
          </cell>
          <cell r="E329" t="str">
            <v>OBRAS A REALIZAR POR TERCEROS</v>
          </cell>
          <cell r="F329">
            <v>0</v>
          </cell>
          <cell r="G329">
            <v>0</v>
          </cell>
          <cell r="H329">
            <v>0</v>
          </cell>
          <cell r="I329">
            <v>0</v>
          </cell>
          <cell r="J329">
            <v>0</v>
          </cell>
          <cell r="K329">
            <v>0</v>
          </cell>
          <cell r="L329">
            <v>0</v>
          </cell>
          <cell r="M329">
            <v>2367962.6923076925</v>
          </cell>
          <cell r="N329">
            <v>0</v>
          </cell>
          <cell r="O329">
            <v>0</v>
          </cell>
          <cell r="P329">
            <v>2367962.6923076925</v>
          </cell>
        </row>
        <row r="330">
          <cell r="D330" t="str">
            <v>96-01</v>
          </cell>
          <cell r="E330" t="str">
            <v>OBRAS DE MITIGACION - BIOCLIMATICO</v>
          </cell>
          <cell r="F330">
            <v>0</v>
          </cell>
          <cell r="G330">
            <v>0</v>
          </cell>
          <cell r="H330">
            <v>0</v>
          </cell>
          <cell r="I330">
            <v>0</v>
          </cell>
          <cell r="J330">
            <v>0</v>
          </cell>
          <cell r="K330">
            <v>0</v>
          </cell>
          <cell r="L330">
            <v>0</v>
          </cell>
          <cell r="M330">
            <v>2367962.6923076925</v>
          </cell>
          <cell r="N330">
            <v>0</v>
          </cell>
          <cell r="O330">
            <v>2367962.6923076925</v>
          </cell>
          <cell r="P330">
            <v>0</v>
          </cell>
        </row>
        <row r="331">
          <cell r="D331" t="str">
            <v>96-01-010</v>
          </cell>
          <cell r="E331" t="str">
            <v>SUMINISTRO Y SIEMBRA DE ESPECIES VARIAS DE ARBUSTOS H: 1.50 M. CADA 0.50 M. INCLUYE TIERRA NEGRA Y MANTENIMIENTO DURANTE TRES MESES.</v>
          </cell>
          <cell r="F331" t="str">
            <v>UN</v>
          </cell>
          <cell r="G331">
            <v>27858.384615384617</v>
          </cell>
          <cell r="H331">
            <v>0</v>
          </cell>
          <cell r="I331">
            <v>0</v>
          </cell>
          <cell r="J331">
            <v>0</v>
          </cell>
          <cell r="K331">
            <v>0</v>
          </cell>
          <cell r="L331">
            <v>85</v>
          </cell>
          <cell r="M331">
            <v>2367962.6923076925</v>
          </cell>
          <cell r="N331">
            <v>85</v>
          </cell>
          <cell r="O331">
            <v>2367962.6923076925</v>
          </cell>
          <cell r="P331">
            <v>0</v>
          </cell>
        </row>
        <row r="332">
          <cell r="D332" t="str">
            <v>97</v>
          </cell>
          <cell r="E332" t="str">
            <v>TOTAL COSTO DIRECTO</v>
          </cell>
          <cell r="F332">
            <v>0</v>
          </cell>
          <cell r="G332">
            <v>0</v>
          </cell>
          <cell r="H332">
            <v>0</v>
          </cell>
          <cell r="I332">
            <v>0</v>
          </cell>
          <cell r="J332">
            <v>0</v>
          </cell>
          <cell r="K332">
            <v>0</v>
          </cell>
          <cell r="L332">
            <v>0</v>
          </cell>
          <cell r="M332">
            <v>2367962.6923076925</v>
          </cell>
          <cell r="N332">
            <v>0</v>
          </cell>
          <cell r="O332">
            <v>0</v>
          </cell>
          <cell r="P332">
            <v>2367962.6923076925</v>
          </cell>
        </row>
        <row r="333">
          <cell r="D333" t="str">
            <v>98</v>
          </cell>
          <cell r="E333" t="str">
            <v>AIU</v>
          </cell>
          <cell r="F333" t="str">
            <v>%</v>
          </cell>
          <cell r="G333">
            <v>0.3528</v>
          </cell>
          <cell r="H333">
            <v>0</v>
          </cell>
          <cell r="I333">
            <v>0</v>
          </cell>
          <cell r="J333">
            <v>0</v>
          </cell>
          <cell r="K333">
            <v>0</v>
          </cell>
          <cell r="L333">
            <v>2367962.6923076925</v>
          </cell>
          <cell r="M333">
            <v>835417.2378461539</v>
          </cell>
          <cell r="N333">
            <v>2367962.6923076925</v>
          </cell>
          <cell r="O333">
            <v>835417.2378461539</v>
          </cell>
          <cell r="P333">
            <v>835417.2378461539</v>
          </cell>
        </row>
        <row r="334">
          <cell r="D334" t="str">
            <v>99</v>
          </cell>
          <cell r="E334" t="str">
            <v>TOTAL COSTO DIRECTO + AIU</v>
          </cell>
          <cell r="F334">
            <v>0</v>
          </cell>
          <cell r="G334">
            <v>0</v>
          </cell>
          <cell r="H334">
            <v>0</v>
          </cell>
          <cell r="I334">
            <v>0</v>
          </cell>
          <cell r="J334">
            <v>0</v>
          </cell>
          <cell r="K334">
            <v>0</v>
          </cell>
          <cell r="L334">
            <v>0</v>
          </cell>
          <cell r="M334">
            <v>3203379.9301538463</v>
          </cell>
          <cell r="N334">
            <v>0</v>
          </cell>
          <cell r="O334">
            <v>0</v>
          </cell>
          <cell r="P334">
            <v>3203379.9301538463</v>
          </cell>
        </row>
        <row r="335">
          <cell r="H335">
            <v>0</v>
          </cell>
          <cell r="I335">
            <v>0</v>
          </cell>
          <cell r="J335">
            <v>0</v>
          </cell>
          <cell r="K335">
            <v>0</v>
          </cell>
          <cell r="L335">
            <v>0</v>
          </cell>
          <cell r="M335">
            <v>0</v>
          </cell>
          <cell r="N335">
            <v>0</v>
          </cell>
          <cell r="O335">
            <v>0</v>
          </cell>
        </row>
        <row r="338">
          <cell r="P338">
            <v>865469940</v>
          </cell>
        </row>
        <row r="339">
          <cell r="M339">
            <v>134714098.63487312</v>
          </cell>
          <cell r="P339">
            <v>129820491</v>
          </cell>
        </row>
        <row r="340">
          <cell r="P340">
            <v>995290431</v>
          </cell>
        </row>
      </sheetData>
      <sheetData sheetId="1"/>
      <sheetData sheetId="2"/>
      <sheetData sheetId="3">
        <row r="1">
          <cell r="D1" t="str">
            <v>CODIGO</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GA"/>
      <sheetName val="APERTURA DE SOBRES"/>
      <sheetName val="3. REQUISITOS JURÍDICOS"/>
    </sheetNames>
    <sheetDataSet>
      <sheetData sheetId="0">
        <row r="7">
          <cell r="B7" t="str">
            <v xml:space="preserve">GUSTAVO ADOLFO CARMONA ALARCÓN </v>
          </cell>
        </row>
        <row r="10">
          <cell r="B10" t="str">
            <v>GUSTAVO ENRIQUE CARDONA VERGARA</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24"/>
  <sheetViews>
    <sheetView tabSelected="1" zoomScale="90" zoomScaleNormal="90" zoomScaleSheetLayoutView="90" zoomScalePageLayoutView="90" workbookViewId="0">
      <selection activeCell="A24" sqref="A24:B24"/>
    </sheetView>
  </sheetViews>
  <sheetFormatPr baseColWidth="10" defaultColWidth="11.42578125" defaultRowHeight="12.75"/>
  <cols>
    <col min="1" max="1" width="13" style="149" customWidth="1"/>
    <col min="2" max="2" width="80" style="149" bestFit="1" customWidth="1"/>
    <col min="3" max="16384" width="11.42578125" style="149"/>
  </cols>
  <sheetData>
    <row r="1" spans="1:2" ht="37.5" customHeight="1">
      <c r="A1" s="514" t="s">
        <v>7</v>
      </c>
      <c r="B1" s="515"/>
    </row>
    <row r="2" spans="1:2" ht="37.5" customHeight="1">
      <c r="A2" s="522" t="s">
        <v>146</v>
      </c>
      <c r="B2" s="523"/>
    </row>
    <row r="3" spans="1:2" ht="74.25" customHeight="1">
      <c r="A3" s="520" t="s">
        <v>147</v>
      </c>
      <c r="B3" s="521"/>
    </row>
    <row r="4" spans="1:2" ht="27" customHeight="1">
      <c r="A4" s="518" t="s">
        <v>32</v>
      </c>
      <c r="B4" s="519"/>
    </row>
    <row r="5" spans="1:2" ht="15.75">
      <c r="A5" s="150"/>
      <c r="B5" s="150"/>
    </row>
    <row r="6" spans="1:2" ht="29.25" customHeight="1">
      <c r="A6" s="151" t="s">
        <v>34</v>
      </c>
      <c r="B6" s="152" t="s">
        <v>3</v>
      </c>
    </row>
    <row r="7" spans="1:2" ht="22.5" customHeight="1">
      <c r="A7" s="130">
        <v>1</v>
      </c>
      <c r="B7" s="131" t="s">
        <v>702</v>
      </c>
    </row>
    <row r="8" spans="1:2" ht="22.5" customHeight="1">
      <c r="A8" s="130">
        <v>2</v>
      </c>
      <c r="B8" s="131" t="s">
        <v>704</v>
      </c>
    </row>
    <row r="9" spans="1:2" ht="28.5" customHeight="1">
      <c r="A9" s="130">
        <v>3</v>
      </c>
      <c r="B9" s="468" t="s">
        <v>852</v>
      </c>
    </row>
    <row r="10" spans="1:2" ht="22.5" customHeight="1">
      <c r="A10" s="130">
        <v>4</v>
      </c>
      <c r="B10" s="131" t="s">
        <v>703</v>
      </c>
    </row>
    <row r="11" spans="1:2" ht="22.5" hidden="1" customHeight="1">
      <c r="A11" s="130"/>
      <c r="B11" s="131"/>
    </row>
    <row r="12" spans="1:2" ht="22.5" hidden="1" customHeight="1">
      <c r="A12" s="130"/>
      <c r="B12" s="131"/>
    </row>
    <row r="13" spans="1:2" ht="22.5" hidden="1" customHeight="1">
      <c r="A13" s="130"/>
      <c r="B13" s="131"/>
    </row>
    <row r="14" spans="1:2" ht="22.5" hidden="1" customHeight="1">
      <c r="A14" s="130"/>
      <c r="B14" s="131"/>
    </row>
    <row r="15" spans="1:2" ht="22.5" hidden="1" customHeight="1">
      <c r="A15" s="130"/>
      <c r="B15" s="131"/>
    </row>
    <row r="16" spans="1:2" ht="22.5" hidden="1" customHeight="1">
      <c r="A16" s="130"/>
      <c r="B16" s="131"/>
    </row>
    <row r="17" spans="1:2" ht="22.5" hidden="1" customHeight="1">
      <c r="A17" s="130"/>
      <c r="B17" s="131"/>
    </row>
    <row r="18" spans="1:2" ht="22.5" hidden="1" customHeight="1">
      <c r="A18" s="130"/>
      <c r="B18" s="131"/>
    </row>
    <row r="19" spans="1:2" ht="22.5" hidden="1" customHeight="1">
      <c r="A19" s="130"/>
      <c r="B19" s="131"/>
    </row>
    <row r="20" spans="1:2" ht="22.5" hidden="1" customHeight="1">
      <c r="A20" s="130"/>
      <c r="B20" s="131"/>
    </row>
    <row r="21" spans="1:2" ht="22.5" hidden="1" customHeight="1">
      <c r="A21" s="130"/>
      <c r="B21" s="131"/>
    </row>
    <row r="22" spans="1:2" ht="20.45" customHeight="1">
      <c r="A22" s="153"/>
      <c r="B22" s="138"/>
    </row>
    <row r="23" spans="1:2" ht="12.75" customHeight="1">
      <c r="A23" s="516" t="s">
        <v>93</v>
      </c>
      <c r="B23" s="516"/>
    </row>
    <row r="24" spans="1:2" ht="70.5" customHeight="1">
      <c r="A24" s="517"/>
      <c r="B24" s="517"/>
    </row>
  </sheetData>
  <sheetProtection algorithmName="SHA-512" hashValue="WUB25vKZbayHDzWQuOdhnU8tYxpsRfnJGUGWXgGeN47yej9V4PGbeVvLhQu0BUqPbfcJedEROuBzrNbP1uVHSQ==" saltValue="KKGMYskzSzerNHxhlKH90A==" spinCount="100000" sheet="1" objects="1" scenarios="1" selectLockedCells="1" selectUnlockedCells="1"/>
  <mergeCells count="6">
    <mergeCell ref="A1:B1"/>
    <mergeCell ref="A23:B23"/>
    <mergeCell ref="A24:B24"/>
    <mergeCell ref="A4:B4"/>
    <mergeCell ref="A3:B3"/>
    <mergeCell ref="A2:B2"/>
  </mergeCells>
  <printOptions horizontalCentered="1"/>
  <pageMargins left="0.39370078740157483" right="0.39370078740157483" top="0.59055118110236227" bottom="0.39370078740157483" header="0.31496062992125984" footer="0.31496062992125984"/>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outlinePr summaryBelow="0" summaryRight="0"/>
    <pageSetUpPr fitToPage="1"/>
  </sheetPr>
  <dimension ref="A1:AL55"/>
  <sheetViews>
    <sheetView zoomScaleNormal="100" zoomScalePageLayoutView="120" workbookViewId="0">
      <pane ySplit="1" topLeftCell="A2" activePane="bottomLeft" state="frozen"/>
      <selection pane="bottomLeft" activeCell="T43" sqref="T43"/>
    </sheetView>
  </sheetViews>
  <sheetFormatPr baseColWidth="10" defaultColWidth="11.42578125" defaultRowHeight="12.75"/>
  <cols>
    <col min="1" max="1" width="16.42578125" style="29" customWidth="1"/>
    <col min="2" max="2" width="44.42578125" style="29" customWidth="1"/>
    <col min="3" max="3" width="13.5703125" style="29" customWidth="1"/>
    <col min="4" max="4" width="12" style="29" customWidth="1"/>
    <col min="5" max="5" width="8.7109375" style="29" customWidth="1"/>
    <col min="6" max="6" width="20.42578125" style="29" customWidth="1"/>
    <col min="7" max="7" width="8.7109375" style="29" customWidth="1"/>
    <col min="8" max="8" width="20.28515625" style="29" customWidth="1"/>
    <col min="9" max="9" width="3.28515625" style="248" customWidth="1"/>
    <col min="10" max="10" width="16.42578125" style="29" customWidth="1"/>
    <col min="11" max="11" width="44.42578125" style="29" customWidth="1"/>
    <col min="12" max="12" width="16.85546875" style="29" customWidth="1"/>
    <col min="13" max="13" width="12.85546875" style="29" customWidth="1"/>
    <col min="14" max="14" width="13.7109375" style="29" customWidth="1"/>
    <col min="15" max="16" width="11.42578125" style="29"/>
    <col min="17" max="17" width="20.28515625" style="29" customWidth="1"/>
    <col min="18" max="18" width="3.28515625" style="29" customWidth="1"/>
    <col min="19" max="19" width="16.42578125" style="29" customWidth="1"/>
    <col min="20" max="20" width="44.42578125" style="29" customWidth="1"/>
    <col min="21" max="21" width="16.85546875" style="29" customWidth="1"/>
    <col min="22" max="22" width="12.85546875" style="29" customWidth="1"/>
    <col min="23" max="23" width="13.7109375" style="29" customWidth="1"/>
    <col min="24" max="25" width="11.42578125" style="29"/>
    <col min="26" max="26" width="20.28515625" style="29" customWidth="1"/>
    <col min="27" max="27" width="3.28515625" style="29" customWidth="1"/>
    <col min="28" max="28" width="16.42578125" style="29" customWidth="1"/>
    <col min="29" max="29" width="44.42578125" style="29" customWidth="1"/>
    <col min="30" max="30" width="16.85546875" style="29" customWidth="1"/>
    <col min="31" max="31" width="12.85546875" style="29" customWidth="1"/>
    <col min="32" max="32" width="13.7109375" style="29" customWidth="1"/>
    <col min="33" max="34" width="11.42578125" style="29"/>
    <col min="35" max="35" width="20.28515625" style="29" customWidth="1"/>
    <col min="36" max="36" width="3.28515625" style="29" customWidth="1"/>
    <col min="37" max="16384" width="11.42578125" style="29"/>
  </cols>
  <sheetData>
    <row r="1" spans="1:36" ht="21" thickBot="1">
      <c r="A1" s="48">
        <f>IF(ENTREGA!A7="","",ENTREGA!A7)</f>
        <v>1</v>
      </c>
      <c r="B1" s="692" t="str">
        <f>IF(A1="","",VLOOKUP(A1,ENTREGA!$A$7:$B$21,2,FALSE))</f>
        <v xml:space="preserve">GUSTAVO ADOLFO CARMONA ALARCÓN </v>
      </c>
      <c r="C1" s="692"/>
      <c r="D1" s="692"/>
      <c r="E1" s="692"/>
      <c r="F1" s="692"/>
      <c r="G1" s="692"/>
      <c r="H1" s="692"/>
      <c r="J1" s="48">
        <f>IF(ENTREGA!A8="","",ENTREGA!A8)</f>
        <v>2</v>
      </c>
      <c r="K1" s="692" t="str">
        <f>IF(J1="","",VLOOKUP(J1,ENTREGA!$A$7:$B$21,2,FALSE))</f>
        <v>CONSTRUCTORES E INGENIEROS UNIDOS S.A.S (CONINSAS)</v>
      </c>
      <c r="L1" s="692"/>
      <c r="M1" s="692"/>
      <c r="N1" s="692"/>
      <c r="O1" s="692"/>
      <c r="P1" s="692"/>
      <c r="Q1" s="692"/>
      <c r="S1" s="48">
        <f>IF(ENTREGA!A9="","",ENTREGA!A9)</f>
        <v>3</v>
      </c>
      <c r="T1" s="692" t="str">
        <f>IF(S1="","",VLOOKUP(S1,ENTREGA!$A$7:$B$21,2,FALSE))</f>
        <v>ADMINISTRACCIÓN PUBLICA COOPERATIVA DE DEPARTAMENTOS Y MUNICIPIOS DE COLOMBIA (CODENCO)</v>
      </c>
      <c r="U1" s="692"/>
      <c r="V1" s="692"/>
      <c r="W1" s="692"/>
      <c r="X1" s="692"/>
      <c r="Y1" s="692"/>
      <c r="Z1" s="692"/>
      <c r="AB1" s="48">
        <f>IF(ENTREGA!A10="","",ENTREGA!A10)</f>
        <v>4</v>
      </c>
      <c r="AC1" s="692" t="str">
        <f>IF(AB1="","",VLOOKUP(AB1,ENTREGA!$A$7:$B$21,2,FALSE))</f>
        <v>GUSTAVO ENRIQUE CARDONA VERGARA</v>
      </c>
      <c r="AD1" s="692"/>
      <c r="AE1" s="692"/>
      <c r="AF1" s="692"/>
      <c r="AG1" s="692"/>
      <c r="AH1" s="692"/>
      <c r="AI1" s="692"/>
    </row>
    <row r="2" spans="1:36" ht="86.25" customHeight="1" thickTop="1" thickBot="1">
      <c r="A2" s="703" t="s">
        <v>153</v>
      </c>
      <c r="B2" s="704"/>
      <c r="C2" s="705" t="s">
        <v>662</v>
      </c>
      <c r="D2" s="705"/>
      <c r="E2" s="705"/>
      <c r="F2" s="705"/>
      <c r="G2" s="705"/>
      <c r="H2" s="706"/>
      <c r="J2" s="703" t="s">
        <v>153</v>
      </c>
      <c r="K2" s="704"/>
      <c r="L2" s="705" t="s">
        <v>662</v>
      </c>
      <c r="M2" s="705"/>
      <c r="N2" s="705"/>
      <c r="O2" s="705"/>
      <c r="P2" s="705"/>
      <c r="Q2" s="706"/>
      <c r="R2" s="248"/>
      <c r="S2" s="703" t="s">
        <v>153</v>
      </c>
      <c r="T2" s="704"/>
      <c r="U2" s="705" t="s">
        <v>662</v>
      </c>
      <c r="V2" s="705"/>
      <c r="W2" s="705"/>
      <c r="X2" s="705"/>
      <c r="Y2" s="705"/>
      <c r="Z2" s="706"/>
      <c r="AA2" s="248"/>
      <c r="AB2" s="703" t="s">
        <v>153</v>
      </c>
      <c r="AC2" s="704"/>
      <c r="AD2" s="705" t="s">
        <v>662</v>
      </c>
      <c r="AE2" s="705"/>
      <c r="AF2" s="705"/>
      <c r="AG2" s="705"/>
      <c r="AH2" s="705"/>
      <c r="AI2" s="706"/>
      <c r="AJ2" s="248"/>
    </row>
    <row r="3" spans="1:36" ht="37.5" thickTop="1" thickBot="1">
      <c r="A3" s="404" t="s">
        <v>78</v>
      </c>
      <c r="B3" s="405" t="s">
        <v>79</v>
      </c>
      <c r="C3" s="406" t="s">
        <v>80</v>
      </c>
      <c r="D3" s="405" t="s">
        <v>81</v>
      </c>
      <c r="E3" s="406" t="s">
        <v>82</v>
      </c>
      <c r="F3" s="407" t="s">
        <v>83</v>
      </c>
      <c r="G3" s="407" t="s">
        <v>84</v>
      </c>
      <c r="H3" s="408" t="s">
        <v>39</v>
      </c>
      <c r="J3" s="404" t="s">
        <v>78</v>
      </c>
      <c r="K3" s="405" t="s">
        <v>79</v>
      </c>
      <c r="L3" s="406" t="s">
        <v>80</v>
      </c>
      <c r="M3" s="405" t="s">
        <v>81</v>
      </c>
      <c r="N3" s="406" t="s">
        <v>82</v>
      </c>
      <c r="O3" s="407" t="s">
        <v>83</v>
      </c>
      <c r="P3" s="407" t="s">
        <v>84</v>
      </c>
      <c r="Q3" s="408" t="s">
        <v>39</v>
      </c>
      <c r="R3" s="248"/>
      <c r="S3" s="404" t="s">
        <v>78</v>
      </c>
      <c r="T3" s="405" t="s">
        <v>79</v>
      </c>
      <c r="U3" s="406" t="s">
        <v>80</v>
      </c>
      <c r="V3" s="405" t="s">
        <v>81</v>
      </c>
      <c r="W3" s="406" t="s">
        <v>82</v>
      </c>
      <c r="X3" s="407" t="s">
        <v>83</v>
      </c>
      <c r="Y3" s="407" t="s">
        <v>84</v>
      </c>
      <c r="Z3" s="408" t="s">
        <v>39</v>
      </c>
      <c r="AA3" s="248"/>
      <c r="AB3" s="404" t="s">
        <v>78</v>
      </c>
      <c r="AC3" s="405" t="s">
        <v>79</v>
      </c>
      <c r="AD3" s="406" t="s">
        <v>80</v>
      </c>
      <c r="AE3" s="405" t="s">
        <v>81</v>
      </c>
      <c r="AF3" s="406" t="s">
        <v>82</v>
      </c>
      <c r="AG3" s="407" t="s">
        <v>83</v>
      </c>
      <c r="AH3" s="407" t="s">
        <v>84</v>
      </c>
      <c r="AI3" s="408" t="s">
        <v>39</v>
      </c>
      <c r="AJ3" s="248"/>
    </row>
    <row r="4" spans="1:36" ht="14.25" thickTop="1" thickBot="1">
      <c r="A4" s="409" t="s">
        <v>663</v>
      </c>
      <c r="B4" s="410" t="s">
        <v>664</v>
      </c>
      <c r="C4" s="411"/>
      <c r="D4" s="411"/>
      <c r="E4" s="411"/>
      <c r="F4" s="411"/>
      <c r="G4" s="412"/>
      <c r="H4" s="413"/>
      <c r="J4" s="409" t="s">
        <v>663</v>
      </c>
      <c r="K4" s="410" t="s">
        <v>664</v>
      </c>
      <c r="L4" s="411"/>
      <c r="M4" s="411"/>
      <c r="N4" s="411"/>
      <c r="O4" s="411"/>
      <c r="P4" s="412"/>
      <c r="Q4" s="413"/>
      <c r="R4" s="248"/>
      <c r="S4" s="409" t="s">
        <v>663</v>
      </c>
      <c r="T4" s="410" t="s">
        <v>664</v>
      </c>
      <c r="U4" s="411"/>
      <c r="V4" s="411"/>
      <c r="W4" s="411"/>
      <c r="X4" s="411"/>
      <c r="Y4" s="412"/>
      <c r="Z4" s="413"/>
      <c r="AA4" s="248"/>
      <c r="AB4" s="409" t="s">
        <v>663</v>
      </c>
      <c r="AC4" s="410" t="s">
        <v>664</v>
      </c>
      <c r="AD4" s="411"/>
      <c r="AE4" s="411"/>
      <c r="AF4" s="411"/>
      <c r="AG4" s="411"/>
      <c r="AH4" s="412"/>
      <c r="AI4" s="413"/>
      <c r="AJ4" s="248"/>
    </row>
    <row r="5" spans="1:36" ht="14.25" thickTop="1" thickBot="1">
      <c r="A5" s="414" t="s">
        <v>165</v>
      </c>
      <c r="B5" s="415" t="s">
        <v>665</v>
      </c>
      <c r="C5" s="416"/>
      <c r="D5" s="416"/>
      <c r="E5" s="416"/>
      <c r="F5" s="416"/>
      <c r="G5" s="417"/>
      <c r="H5" s="418"/>
      <c r="J5" s="414" t="s">
        <v>165</v>
      </c>
      <c r="K5" s="415" t="s">
        <v>665</v>
      </c>
      <c r="L5" s="416"/>
      <c r="M5" s="416"/>
      <c r="N5" s="416"/>
      <c r="O5" s="416"/>
      <c r="P5" s="417"/>
      <c r="Q5" s="418"/>
      <c r="R5" s="248"/>
      <c r="S5" s="414" t="s">
        <v>165</v>
      </c>
      <c r="T5" s="415" t="s">
        <v>665</v>
      </c>
      <c r="U5" s="416"/>
      <c r="V5" s="416"/>
      <c r="W5" s="416"/>
      <c r="X5" s="416"/>
      <c r="Y5" s="417"/>
      <c r="Z5" s="418"/>
      <c r="AA5" s="248"/>
      <c r="AB5" s="414" t="s">
        <v>165</v>
      </c>
      <c r="AC5" s="415" t="s">
        <v>665</v>
      </c>
      <c r="AD5" s="416"/>
      <c r="AE5" s="416"/>
      <c r="AF5" s="416"/>
      <c r="AG5" s="416"/>
      <c r="AH5" s="417"/>
      <c r="AI5" s="418"/>
      <c r="AJ5" s="248"/>
    </row>
    <row r="6" spans="1:36" s="13" customFormat="1" ht="13.5" thickTop="1">
      <c r="A6" s="6" t="s">
        <v>666</v>
      </c>
      <c r="B6" s="419" t="s">
        <v>667</v>
      </c>
      <c r="C6" s="420">
        <v>2898406</v>
      </c>
      <c r="D6" s="421">
        <v>1.59</v>
      </c>
      <c r="E6" s="7">
        <v>1</v>
      </c>
      <c r="F6" s="19">
        <v>5</v>
      </c>
      <c r="G6" s="20">
        <v>1</v>
      </c>
      <c r="H6" s="8">
        <f>ROUND((C6*D6*E6*F6*G6),0)</f>
        <v>23042328</v>
      </c>
      <c r="I6" s="249">
        <f>+IF(OR(C6=0,D6=0),1,0)</f>
        <v>0</v>
      </c>
      <c r="J6" s="6" t="s">
        <v>666</v>
      </c>
      <c r="K6" s="419" t="s">
        <v>667</v>
      </c>
      <c r="L6" s="420">
        <v>3100000</v>
      </c>
      <c r="M6" s="421">
        <v>1.61</v>
      </c>
      <c r="N6" s="7">
        <v>1</v>
      </c>
      <c r="O6" s="19">
        <v>5</v>
      </c>
      <c r="P6" s="20">
        <v>1</v>
      </c>
      <c r="Q6" s="8">
        <f>ROUND((L6*M6*N6*O6*P6),0)</f>
        <v>24955000</v>
      </c>
      <c r="R6" s="249">
        <f>+IF(OR(L6=0,M6=0),1,0)</f>
        <v>0</v>
      </c>
      <c r="S6" s="6" t="s">
        <v>666</v>
      </c>
      <c r="T6" s="419" t="s">
        <v>667</v>
      </c>
      <c r="U6" s="420">
        <v>2950000</v>
      </c>
      <c r="V6" s="421">
        <v>1.65</v>
      </c>
      <c r="W6" s="7">
        <v>1</v>
      </c>
      <c r="X6" s="19">
        <v>5</v>
      </c>
      <c r="Y6" s="20">
        <v>1</v>
      </c>
      <c r="Z6" s="8">
        <f>ROUND((U6*V6*W6*X6*Y6),0)</f>
        <v>24337500</v>
      </c>
      <c r="AA6" s="249">
        <f>+IF(OR(U6=0,V6=0),1,0)</f>
        <v>0</v>
      </c>
      <c r="AB6" s="6" t="s">
        <v>666</v>
      </c>
      <c r="AC6" s="419" t="s">
        <v>667</v>
      </c>
      <c r="AD6" s="420">
        <v>3000000</v>
      </c>
      <c r="AE6" s="421">
        <v>1.6</v>
      </c>
      <c r="AF6" s="7">
        <v>1</v>
      </c>
      <c r="AG6" s="19">
        <v>5</v>
      </c>
      <c r="AH6" s="20">
        <v>1</v>
      </c>
      <c r="AI6" s="8">
        <f>ROUND((AD6*AE6*AF6*AG6*AH6),0)</f>
        <v>24000000</v>
      </c>
      <c r="AJ6" s="249">
        <f>+IF(OR(AD6=0,AE6=0),1,0)</f>
        <v>0</v>
      </c>
    </row>
    <row r="7" spans="1:36" s="13" customFormat="1" ht="13.5" thickBot="1">
      <c r="A7" s="6" t="s">
        <v>668</v>
      </c>
      <c r="B7" s="36" t="s">
        <v>669</v>
      </c>
      <c r="C7" s="420">
        <v>350000</v>
      </c>
      <c r="D7" s="422"/>
      <c r="E7" s="423">
        <v>1</v>
      </c>
      <c r="F7" s="424">
        <v>5</v>
      </c>
      <c r="G7" s="425">
        <v>1</v>
      </c>
      <c r="H7" s="8">
        <f>ROUND((C7*E7*F7*G7),0)</f>
        <v>1750000</v>
      </c>
      <c r="I7" s="249">
        <f>+IF(OR(C7=0),1,0)</f>
        <v>0</v>
      </c>
      <c r="J7" s="6" t="s">
        <v>668</v>
      </c>
      <c r="K7" s="36" t="s">
        <v>669</v>
      </c>
      <c r="L7" s="420">
        <v>800000</v>
      </c>
      <c r="M7" s="422"/>
      <c r="N7" s="423">
        <v>1</v>
      </c>
      <c r="O7" s="424">
        <v>5</v>
      </c>
      <c r="P7" s="425">
        <v>1</v>
      </c>
      <c r="Q7" s="8">
        <f>ROUND((L7*N7*O7*P7),0)</f>
        <v>4000000</v>
      </c>
      <c r="R7" s="249">
        <f>+IF(OR(L7=0),1,0)</f>
        <v>0</v>
      </c>
      <c r="S7" s="6" t="s">
        <v>668</v>
      </c>
      <c r="T7" s="36" t="s">
        <v>669</v>
      </c>
      <c r="U7" s="420">
        <v>500000</v>
      </c>
      <c r="V7" s="422"/>
      <c r="W7" s="423">
        <v>1</v>
      </c>
      <c r="X7" s="424">
        <v>5</v>
      </c>
      <c r="Y7" s="425">
        <v>1</v>
      </c>
      <c r="Z7" s="8">
        <f>ROUND((U7*W7*X7*Y7),0)</f>
        <v>2500000</v>
      </c>
      <c r="AA7" s="249">
        <f>+IF(OR(U7=0),1,0)</f>
        <v>0</v>
      </c>
      <c r="AB7" s="6" t="s">
        <v>668</v>
      </c>
      <c r="AC7" s="36" t="s">
        <v>669</v>
      </c>
      <c r="AD7" s="420">
        <v>600000</v>
      </c>
      <c r="AE7" s="422"/>
      <c r="AF7" s="423">
        <v>1</v>
      </c>
      <c r="AG7" s="424">
        <v>5</v>
      </c>
      <c r="AH7" s="425">
        <v>1</v>
      </c>
      <c r="AI7" s="8">
        <f>ROUND((AD7*AF7*AG7*AH7),0)</f>
        <v>3000000</v>
      </c>
      <c r="AJ7" s="249">
        <f>+IF(OR(AD7=0),1,0)</f>
        <v>0</v>
      </c>
    </row>
    <row r="8" spans="1:36" s="13" customFormat="1" ht="14.25" thickTop="1" thickBot="1">
      <c r="A8" s="414" t="s">
        <v>167</v>
      </c>
      <c r="B8" s="415" t="s">
        <v>670</v>
      </c>
      <c r="C8" s="426"/>
      <c r="D8" s="426"/>
      <c r="E8" s="426"/>
      <c r="F8" s="426"/>
      <c r="G8" s="427"/>
      <c r="H8" s="428"/>
      <c r="I8" s="249"/>
      <c r="J8" s="414" t="s">
        <v>167</v>
      </c>
      <c r="K8" s="415" t="s">
        <v>670</v>
      </c>
      <c r="L8" s="426"/>
      <c r="M8" s="426"/>
      <c r="N8" s="426"/>
      <c r="O8" s="426"/>
      <c r="P8" s="427"/>
      <c r="Q8" s="428"/>
      <c r="R8" s="249"/>
      <c r="S8" s="414" t="s">
        <v>167</v>
      </c>
      <c r="T8" s="415" t="s">
        <v>670</v>
      </c>
      <c r="U8" s="426"/>
      <c r="V8" s="426"/>
      <c r="W8" s="426"/>
      <c r="X8" s="426"/>
      <c r="Y8" s="427"/>
      <c r="Z8" s="428"/>
      <c r="AA8" s="249"/>
      <c r="AB8" s="414" t="s">
        <v>167</v>
      </c>
      <c r="AC8" s="415" t="s">
        <v>670</v>
      </c>
      <c r="AD8" s="426"/>
      <c r="AE8" s="426"/>
      <c r="AF8" s="426"/>
      <c r="AG8" s="426"/>
      <c r="AH8" s="427"/>
      <c r="AI8" s="428"/>
      <c r="AJ8" s="249"/>
    </row>
    <row r="9" spans="1:36" s="13" customFormat="1" ht="13.5" thickTop="1">
      <c r="A9" s="6" t="s">
        <v>671</v>
      </c>
      <c r="B9" s="429" t="s">
        <v>672</v>
      </c>
      <c r="C9" s="420">
        <v>2898406</v>
      </c>
      <c r="D9" s="421">
        <v>1.59</v>
      </c>
      <c r="E9" s="7">
        <v>1</v>
      </c>
      <c r="F9" s="35">
        <v>3</v>
      </c>
      <c r="G9" s="22">
        <v>1</v>
      </c>
      <c r="H9" s="430">
        <f>ROUND((C9*D9*E9*F9*G9),0)</f>
        <v>13825397</v>
      </c>
      <c r="I9" s="249">
        <f>+IF(OR(C9=0,D9=0),1,0)</f>
        <v>0</v>
      </c>
      <c r="J9" s="6" t="s">
        <v>671</v>
      </c>
      <c r="K9" s="429" t="s">
        <v>672</v>
      </c>
      <c r="L9" s="420">
        <v>3100000</v>
      </c>
      <c r="M9" s="421">
        <v>1.61</v>
      </c>
      <c r="N9" s="7">
        <v>1</v>
      </c>
      <c r="O9" s="35">
        <v>3</v>
      </c>
      <c r="P9" s="22">
        <v>1</v>
      </c>
      <c r="Q9" s="430">
        <f>ROUND((L9*M9*N9*O9*P9),0)</f>
        <v>14973000</v>
      </c>
      <c r="R9" s="249">
        <f>+IF(OR(L9=0,M9=0),1,0)</f>
        <v>0</v>
      </c>
      <c r="S9" s="6" t="s">
        <v>671</v>
      </c>
      <c r="T9" s="429" t="s">
        <v>672</v>
      </c>
      <c r="U9" s="420">
        <v>2950000</v>
      </c>
      <c r="V9" s="421">
        <v>1.65</v>
      </c>
      <c r="W9" s="7">
        <v>1</v>
      </c>
      <c r="X9" s="35">
        <v>3</v>
      </c>
      <c r="Y9" s="22">
        <v>1</v>
      </c>
      <c r="Z9" s="430">
        <f>ROUND((U9*V9*W9*X9*Y9),0)</f>
        <v>14602500</v>
      </c>
      <c r="AA9" s="249">
        <f>+IF(OR(U9=0,V9=0),1,0)</f>
        <v>0</v>
      </c>
      <c r="AB9" s="6" t="s">
        <v>671</v>
      </c>
      <c r="AC9" s="429" t="s">
        <v>672</v>
      </c>
      <c r="AD9" s="420">
        <v>3000000</v>
      </c>
      <c r="AE9" s="421">
        <v>1.6</v>
      </c>
      <c r="AF9" s="7">
        <v>1</v>
      </c>
      <c r="AG9" s="35">
        <v>3</v>
      </c>
      <c r="AH9" s="22">
        <v>1</v>
      </c>
      <c r="AI9" s="430">
        <f>ROUND((AD9*AE9*AF9*AG9*AH9),0)</f>
        <v>14400000</v>
      </c>
      <c r="AJ9" s="249">
        <f>+IF(OR(AD9=0,AE9=0),1,0)</f>
        <v>0</v>
      </c>
    </row>
    <row r="10" spans="1:36" s="13" customFormat="1" ht="13.5" thickBot="1">
      <c r="A10" s="6" t="s">
        <v>668</v>
      </c>
      <c r="B10" s="36" t="s">
        <v>669</v>
      </c>
      <c r="C10" s="420">
        <v>200000</v>
      </c>
      <c r="D10" s="422"/>
      <c r="E10" s="423">
        <v>0.5</v>
      </c>
      <c r="F10" s="424">
        <v>3</v>
      </c>
      <c r="G10" s="425">
        <v>1</v>
      </c>
      <c r="H10" s="8">
        <f>ROUND((C10*E10*F10*G10),0)</f>
        <v>300000</v>
      </c>
      <c r="I10" s="249">
        <f>+IF(OR(C10=0),1,0)</f>
        <v>0</v>
      </c>
      <c r="J10" s="6" t="s">
        <v>668</v>
      </c>
      <c r="K10" s="36" t="s">
        <v>669</v>
      </c>
      <c r="L10" s="420">
        <v>800000</v>
      </c>
      <c r="M10" s="422"/>
      <c r="N10" s="423">
        <v>0.5</v>
      </c>
      <c r="O10" s="424">
        <v>3</v>
      </c>
      <c r="P10" s="425">
        <v>1</v>
      </c>
      <c r="Q10" s="8">
        <f>ROUND((L10*N10*O10*P10),0)</f>
        <v>1200000</v>
      </c>
      <c r="R10" s="249">
        <f>+IF(OR(L10=0),1,0)</f>
        <v>0</v>
      </c>
      <c r="S10" s="6" t="s">
        <v>668</v>
      </c>
      <c r="T10" s="36" t="s">
        <v>669</v>
      </c>
      <c r="U10" s="420">
        <v>500000</v>
      </c>
      <c r="V10" s="422"/>
      <c r="W10" s="423">
        <v>0.5</v>
      </c>
      <c r="X10" s="424">
        <v>3</v>
      </c>
      <c r="Y10" s="425">
        <v>1</v>
      </c>
      <c r="Z10" s="8">
        <f>ROUND((U10*W10*X10*Y10),0)</f>
        <v>750000</v>
      </c>
      <c r="AA10" s="249">
        <f>+IF(OR(U10=0),1,0)</f>
        <v>0</v>
      </c>
      <c r="AB10" s="6" t="s">
        <v>668</v>
      </c>
      <c r="AC10" s="36" t="s">
        <v>669</v>
      </c>
      <c r="AD10" s="420">
        <v>600000</v>
      </c>
      <c r="AE10" s="422"/>
      <c r="AF10" s="423">
        <v>0.5</v>
      </c>
      <c r="AG10" s="424">
        <v>3</v>
      </c>
      <c r="AH10" s="425">
        <v>1</v>
      </c>
      <c r="AI10" s="8">
        <f>ROUND((AD10*AF10*AG10*AH10),0)</f>
        <v>900000</v>
      </c>
      <c r="AJ10" s="249">
        <f>+IF(OR(AD10=0),1,0)</f>
        <v>0</v>
      </c>
    </row>
    <row r="11" spans="1:36" s="13" customFormat="1" ht="14.25" thickTop="1" thickBot="1">
      <c r="A11" s="414" t="s">
        <v>673</v>
      </c>
      <c r="B11" s="415" t="s">
        <v>674</v>
      </c>
      <c r="C11" s="426"/>
      <c r="D11" s="426"/>
      <c r="E11" s="426"/>
      <c r="F11" s="426"/>
      <c r="G11" s="427"/>
      <c r="H11" s="428"/>
      <c r="I11" s="249"/>
      <c r="J11" s="414" t="s">
        <v>673</v>
      </c>
      <c r="K11" s="415" t="s">
        <v>674</v>
      </c>
      <c r="L11" s="426"/>
      <c r="M11" s="426"/>
      <c r="N11" s="426"/>
      <c r="O11" s="426"/>
      <c r="P11" s="427"/>
      <c r="Q11" s="428"/>
      <c r="R11" s="249"/>
      <c r="S11" s="414" t="s">
        <v>673</v>
      </c>
      <c r="T11" s="415" t="s">
        <v>674</v>
      </c>
      <c r="U11" s="426"/>
      <c r="V11" s="426"/>
      <c r="W11" s="426"/>
      <c r="X11" s="426"/>
      <c r="Y11" s="427"/>
      <c r="Z11" s="428"/>
      <c r="AA11" s="249"/>
      <c r="AB11" s="414" t="s">
        <v>673</v>
      </c>
      <c r="AC11" s="415" t="s">
        <v>674</v>
      </c>
      <c r="AD11" s="426"/>
      <c r="AE11" s="426"/>
      <c r="AF11" s="426"/>
      <c r="AG11" s="426"/>
      <c r="AH11" s="427"/>
      <c r="AI11" s="428"/>
      <c r="AJ11" s="249"/>
    </row>
    <row r="12" spans="1:36" s="13" customFormat="1" ht="13.5" thickTop="1">
      <c r="A12" s="6" t="s">
        <v>675</v>
      </c>
      <c r="B12" s="429" t="s">
        <v>676</v>
      </c>
      <c r="C12" s="420">
        <v>2898406</v>
      </c>
      <c r="D12" s="421">
        <v>1.59</v>
      </c>
      <c r="E12" s="7">
        <v>0.5</v>
      </c>
      <c r="F12" s="35">
        <v>3</v>
      </c>
      <c r="G12" s="22">
        <v>1</v>
      </c>
      <c r="H12" s="430">
        <f>ROUND((C12*D12*E12*F12*G12),0)</f>
        <v>6912698</v>
      </c>
      <c r="I12" s="249">
        <f>+IF(OR(C12=0,D12=0),1,0)</f>
        <v>0</v>
      </c>
      <c r="J12" s="6" t="s">
        <v>675</v>
      </c>
      <c r="K12" s="429" t="s">
        <v>676</v>
      </c>
      <c r="L12" s="420">
        <v>3100000</v>
      </c>
      <c r="M12" s="421">
        <v>1.61</v>
      </c>
      <c r="N12" s="7">
        <v>0.5</v>
      </c>
      <c r="O12" s="35">
        <v>3</v>
      </c>
      <c r="P12" s="22">
        <v>1</v>
      </c>
      <c r="Q12" s="430">
        <f>ROUND((L12*M12*N12*O12*P12),0)</f>
        <v>7486500</v>
      </c>
      <c r="R12" s="249">
        <f>+IF(OR(L12=0,M12=0),1,0)</f>
        <v>0</v>
      </c>
      <c r="S12" s="6" t="s">
        <v>675</v>
      </c>
      <c r="T12" s="429" t="s">
        <v>676</v>
      </c>
      <c r="U12" s="420">
        <v>2950000</v>
      </c>
      <c r="V12" s="421">
        <v>1.65</v>
      </c>
      <c r="W12" s="7">
        <v>0.5</v>
      </c>
      <c r="X12" s="35">
        <v>3</v>
      </c>
      <c r="Y12" s="22">
        <v>1</v>
      </c>
      <c r="Z12" s="430">
        <f>ROUND((U12*V12*W12*X12*Y12),0)</f>
        <v>7301250</v>
      </c>
      <c r="AA12" s="249">
        <f>+IF(OR(U12=0,V12=0),1,0)</f>
        <v>0</v>
      </c>
      <c r="AB12" s="6" t="s">
        <v>675</v>
      </c>
      <c r="AC12" s="429" t="s">
        <v>676</v>
      </c>
      <c r="AD12" s="420">
        <v>3000000</v>
      </c>
      <c r="AE12" s="421">
        <v>1.6</v>
      </c>
      <c r="AF12" s="7">
        <v>0.5</v>
      </c>
      <c r="AG12" s="35">
        <v>3</v>
      </c>
      <c r="AH12" s="22">
        <v>1</v>
      </c>
      <c r="AI12" s="430">
        <f>ROUND((AD12*AE12*AF12*AG12*AH12),0)</f>
        <v>7200000</v>
      </c>
      <c r="AJ12" s="249">
        <f>+IF(OR(AD12=0,AE12=0),1,0)</f>
        <v>0</v>
      </c>
    </row>
    <row r="13" spans="1:36" s="13" customFormat="1" ht="13.5" thickBot="1">
      <c r="A13" s="6" t="s">
        <v>677</v>
      </c>
      <c r="B13" s="36" t="s">
        <v>678</v>
      </c>
      <c r="C13" s="420">
        <v>200000</v>
      </c>
      <c r="D13" s="422"/>
      <c r="E13" s="423">
        <v>1</v>
      </c>
      <c r="F13" s="424">
        <v>3</v>
      </c>
      <c r="G13" s="425">
        <v>1</v>
      </c>
      <c r="H13" s="8">
        <f>ROUND((C13*E13*F13*G13),0)</f>
        <v>600000</v>
      </c>
      <c r="I13" s="249">
        <f>+IF(OR(C13=0),1,0)</f>
        <v>0</v>
      </c>
      <c r="J13" s="6" t="s">
        <v>677</v>
      </c>
      <c r="K13" s="36" t="s">
        <v>678</v>
      </c>
      <c r="L13" s="420">
        <v>800000</v>
      </c>
      <c r="M13" s="422"/>
      <c r="N13" s="423">
        <v>1</v>
      </c>
      <c r="O13" s="424">
        <v>3</v>
      </c>
      <c r="P13" s="425">
        <v>1</v>
      </c>
      <c r="Q13" s="8">
        <f>ROUND((L13*N13*O13*P13),0)</f>
        <v>2400000</v>
      </c>
      <c r="R13" s="249">
        <f>+IF(OR(L13=0),1,0)</f>
        <v>0</v>
      </c>
      <c r="S13" s="6" t="s">
        <v>677</v>
      </c>
      <c r="T13" s="36" t="s">
        <v>678</v>
      </c>
      <c r="U13" s="420">
        <v>500000</v>
      </c>
      <c r="V13" s="422"/>
      <c r="W13" s="423">
        <v>1</v>
      </c>
      <c r="X13" s="424">
        <v>3</v>
      </c>
      <c r="Y13" s="425">
        <v>1</v>
      </c>
      <c r="Z13" s="8">
        <f>ROUND((U13*W13*X13*Y13),0)</f>
        <v>1500000</v>
      </c>
      <c r="AA13" s="249">
        <f>+IF(OR(U13=0),1,0)</f>
        <v>0</v>
      </c>
      <c r="AB13" s="6" t="s">
        <v>677</v>
      </c>
      <c r="AC13" s="36" t="s">
        <v>678</v>
      </c>
      <c r="AD13" s="420">
        <v>600000</v>
      </c>
      <c r="AE13" s="422"/>
      <c r="AF13" s="423">
        <v>1</v>
      </c>
      <c r="AG13" s="424">
        <v>3</v>
      </c>
      <c r="AH13" s="425">
        <v>1</v>
      </c>
      <c r="AI13" s="8">
        <f>ROUND((AD13*AF13*AG13*AH13),0)</f>
        <v>1800000</v>
      </c>
      <c r="AJ13" s="249">
        <f>+IF(OR(AD13=0),1,0)</f>
        <v>0</v>
      </c>
    </row>
    <row r="14" spans="1:36" s="13" customFormat="1" ht="27" thickTop="1" thickBot="1">
      <c r="A14" s="409" t="s">
        <v>679</v>
      </c>
      <c r="B14" s="410" t="s">
        <v>680</v>
      </c>
      <c r="C14" s="431"/>
      <c r="D14" s="431"/>
      <c r="E14" s="431"/>
      <c r="F14" s="432"/>
      <c r="G14" s="433"/>
      <c r="H14" s="434"/>
      <c r="I14" s="249"/>
      <c r="J14" s="409" t="s">
        <v>679</v>
      </c>
      <c r="K14" s="410" t="s">
        <v>680</v>
      </c>
      <c r="L14" s="431"/>
      <c r="M14" s="431"/>
      <c r="N14" s="431"/>
      <c r="O14" s="432"/>
      <c r="P14" s="433"/>
      <c r="Q14" s="434"/>
      <c r="R14" s="249"/>
      <c r="S14" s="409" t="s">
        <v>679</v>
      </c>
      <c r="T14" s="410" t="s">
        <v>680</v>
      </c>
      <c r="U14" s="431"/>
      <c r="V14" s="431"/>
      <c r="W14" s="431"/>
      <c r="X14" s="432"/>
      <c r="Y14" s="433"/>
      <c r="Z14" s="434"/>
      <c r="AA14" s="249"/>
      <c r="AB14" s="409" t="s">
        <v>679</v>
      </c>
      <c r="AC14" s="410" t="s">
        <v>680</v>
      </c>
      <c r="AD14" s="431"/>
      <c r="AE14" s="431"/>
      <c r="AF14" s="431"/>
      <c r="AG14" s="432"/>
      <c r="AH14" s="433"/>
      <c r="AI14" s="434"/>
      <c r="AJ14" s="249"/>
    </row>
    <row r="15" spans="1:36" s="13" customFormat="1" ht="14.25" thickTop="1" thickBot="1">
      <c r="A15" s="414" t="s">
        <v>60</v>
      </c>
      <c r="B15" s="415" t="s">
        <v>681</v>
      </c>
      <c r="C15" s="426"/>
      <c r="D15" s="426"/>
      <c r="E15" s="426"/>
      <c r="F15" s="435"/>
      <c r="G15" s="436"/>
      <c r="H15" s="428"/>
      <c r="I15" s="249"/>
      <c r="J15" s="414" t="s">
        <v>60</v>
      </c>
      <c r="K15" s="415" t="s">
        <v>681</v>
      </c>
      <c r="L15" s="426"/>
      <c r="M15" s="426"/>
      <c r="N15" s="426"/>
      <c r="O15" s="435"/>
      <c r="P15" s="436"/>
      <c r="Q15" s="428"/>
      <c r="R15" s="249"/>
      <c r="S15" s="414" t="s">
        <v>60</v>
      </c>
      <c r="T15" s="415" t="s">
        <v>681</v>
      </c>
      <c r="U15" s="426"/>
      <c r="V15" s="426"/>
      <c r="W15" s="426"/>
      <c r="X15" s="435"/>
      <c r="Y15" s="436"/>
      <c r="Z15" s="428"/>
      <c r="AA15" s="249"/>
      <c r="AB15" s="414" t="s">
        <v>60</v>
      </c>
      <c r="AC15" s="415" t="s">
        <v>681</v>
      </c>
      <c r="AD15" s="426"/>
      <c r="AE15" s="426"/>
      <c r="AF15" s="426"/>
      <c r="AG15" s="435"/>
      <c r="AH15" s="436"/>
      <c r="AI15" s="428"/>
      <c r="AJ15" s="249"/>
    </row>
    <row r="16" spans="1:36" s="13" customFormat="1" ht="36.75" thickTop="1">
      <c r="A16" s="6" t="s">
        <v>63</v>
      </c>
      <c r="B16" s="36" t="s">
        <v>682</v>
      </c>
      <c r="C16" s="420">
        <v>2070290</v>
      </c>
      <c r="D16" s="421">
        <v>1.59</v>
      </c>
      <c r="E16" s="7">
        <v>1</v>
      </c>
      <c r="F16" s="19">
        <v>5</v>
      </c>
      <c r="G16" s="20">
        <v>1</v>
      </c>
      <c r="H16" s="430">
        <f>ROUND((C16*D16*E16*F16*G16),0)</f>
        <v>16458806</v>
      </c>
      <c r="I16" s="249">
        <f>+IF(OR(C16=0,D16=0),1,0)</f>
        <v>0</v>
      </c>
      <c r="J16" s="6" t="s">
        <v>63</v>
      </c>
      <c r="K16" s="36" t="s">
        <v>682</v>
      </c>
      <c r="L16" s="420">
        <v>2800000</v>
      </c>
      <c r="M16" s="421">
        <v>1.61</v>
      </c>
      <c r="N16" s="7">
        <v>1</v>
      </c>
      <c r="O16" s="19">
        <v>5</v>
      </c>
      <c r="P16" s="20">
        <v>1</v>
      </c>
      <c r="Q16" s="430">
        <f>ROUND((L16*M16*N16*O16*P16),0)</f>
        <v>22540000</v>
      </c>
      <c r="R16" s="249">
        <f>+IF(OR(L16=0,M16=0),1,0)</f>
        <v>0</v>
      </c>
      <c r="S16" s="6" t="s">
        <v>63</v>
      </c>
      <c r="T16" s="36" t="s">
        <v>682</v>
      </c>
      <c r="U16" s="420">
        <v>2200000</v>
      </c>
      <c r="V16" s="421">
        <v>1.65</v>
      </c>
      <c r="W16" s="7">
        <v>1</v>
      </c>
      <c r="X16" s="19">
        <v>5</v>
      </c>
      <c r="Y16" s="20">
        <v>1</v>
      </c>
      <c r="Z16" s="430">
        <f>ROUND((U16*V16*W16*X16*Y16),0)</f>
        <v>18150000</v>
      </c>
      <c r="AA16" s="249">
        <f>+IF(OR(U16=0,V16=0),1,0)</f>
        <v>0</v>
      </c>
      <c r="AB16" s="6" t="s">
        <v>63</v>
      </c>
      <c r="AC16" s="36" t="s">
        <v>682</v>
      </c>
      <c r="AD16" s="420">
        <v>2500000</v>
      </c>
      <c r="AE16" s="421">
        <v>1.6</v>
      </c>
      <c r="AF16" s="7">
        <v>1</v>
      </c>
      <c r="AG16" s="19">
        <v>5</v>
      </c>
      <c r="AH16" s="20">
        <v>1</v>
      </c>
      <c r="AI16" s="430">
        <f>ROUND((AD16*AE16*AF16*AG16*AH16),0)</f>
        <v>20000000</v>
      </c>
      <c r="AJ16" s="249">
        <f>+IF(OR(AD16=0,AE16=0),1,0)</f>
        <v>0</v>
      </c>
    </row>
    <row r="17" spans="1:36" s="13" customFormat="1" ht="13.5" thickBot="1">
      <c r="A17" s="6" t="s">
        <v>683</v>
      </c>
      <c r="B17" s="36" t="s">
        <v>684</v>
      </c>
      <c r="C17" s="420">
        <v>200000</v>
      </c>
      <c r="D17" s="422"/>
      <c r="E17" s="437">
        <v>1</v>
      </c>
      <c r="F17" s="424">
        <v>5</v>
      </c>
      <c r="G17" s="425">
        <v>1</v>
      </c>
      <c r="H17" s="8">
        <f>ROUND((C17*E17*F17*G17),0)</f>
        <v>1000000</v>
      </c>
      <c r="I17" s="249">
        <f>+IF(OR(C17=0),1,0)</f>
        <v>0</v>
      </c>
      <c r="J17" s="6" t="s">
        <v>683</v>
      </c>
      <c r="K17" s="36" t="s">
        <v>684</v>
      </c>
      <c r="L17" s="420">
        <v>800000</v>
      </c>
      <c r="M17" s="422"/>
      <c r="N17" s="437">
        <v>1</v>
      </c>
      <c r="O17" s="424">
        <v>5</v>
      </c>
      <c r="P17" s="425">
        <v>1</v>
      </c>
      <c r="Q17" s="8">
        <f>ROUND((L17*N17*O17*P17),0)</f>
        <v>4000000</v>
      </c>
      <c r="R17" s="249">
        <f>+IF(OR(L17=0),1,0)</f>
        <v>0</v>
      </c>
      <c r="S17" s="6" t="s">
        <v>683</v>
      </c>
      <c r="T17" s="36" t="s">
        <v>684</v>
      </c>
      <c r="U17" s="420">
        <v>500000</v>
      </c>
      <c r="V17" s="422"/>
      <c r="W17" s="437">
        <v>1</v>
      </c>
      <c r="X17" s="424">
        <v>5</v>
      </c>
      <c r="Y17" s="425">
        <v>1</v>
      </c>
      <c r="Z17" s="8">
        <f>ROUND((U17*W17*X17*Y17),0)</f>
        <v>2500000</v>
      </c>
      <c r="AA17" s="249">
        <f>+IF(OR(U17=0),1,0)</f>
        <v>0</v>
      </c>
      <c r="AB17" s="6" t="s">
        <v>683</v>
      </c>
      <c r="AC17" s="36" t="s">
        <v>684</v>
      </c>
      <c r="AD17" s="420">
        <v>600000</v>
      </c>
      <c r="AE17" s="422"/>
      <c r="AF17" s="437">
        <v>1</v>
      </c>
      <c r="AG17" s="424">
        <v>5</v>
      </c>
      <c r="AH17" s="425">
        <v>1</v>
      </c>
      <c r="AI17" s="8">
        <f>ROUND((AD17*AF17*AG17*AH17),0)</f>
        <v>3000000</v>
      </c>
      <c r="AJ17" s="249">
        <f>+IF(OR(AD17=0),1,0)</f>
        <v>0</v>
      </c>
    </row>
    <row r="18" spans="1:36" s="13" customFormat="1" ht="14.25" thickTop="1" thickBot="1">
      <c r="A18" s="414" t="s">
        <v>180</v>
      </c>
      <c r="B18" s="415" t="s">
        <v>685</v>
      </c>
      <c r="C18" s="426"/>
      <c r="D18" s="426"/>
      <c r="E18" s="426"/>
      <c r="F18" s="426"/>
      <c r="G18" s="427"/>
      <c r="H18" s="428"/>
      <c r="I18" s="249"/>
      <c r="J18" s="414" t="s">
        <v>180</v>
      </c>
      <c r="K18" s="415" t="s">
        <v>685</v>
      </c>
      <c r="L18" s="426"/>
      <c r="M18" s="426"/>
      <c r="N18" s="426"/>
      <c r="O18" s="426"/>
      <c r="P18" s="427"/>
      <c r="Q18" s="428"/>
      <c r="R18" s="249"/>
      <c r="S18" s="414" t="s">
        <v>180</v>
      </c>
      <c r="T18" s="415" t="s">
        <v>685</v>
      </c>
      <c r="U18" s="426"/>
      <c r="V18" s="426"/>
      <c r="W18" s="426"/>
      <c r="X18" s="426"/>
      <c r="Y18" s="427"/>
      <c r="Z18" s="428"/>
      <c r="AA18" s="249"/>
      <c r="AB18" s="414" t="s">
        <v>180</v>
      </c>
      <c r="AC18" s="415" t="s">
        <v>685</v>
      </c>
      <c r="AD18" s="426"/>
      <c r="AE18" s="426"/>
      <c r="AF18" s="426"/>
      <c r="AG18" s="426"/>
      <c r="AH18" s="427"/>
      <c r="AI18" s="428"/>
      <c r="AJ18" s="249"/>
    </row>
    <row r="19" spans="1:36" s="13" customFormat="1" ht="25.5" thickTop="1" thickBot="1">
      <c r="A19" s="37" t="s">
        <v>686</v>
      </c>
      <c r="B19" s="38" t="s">
        <v>687</v>
      </c>
      <c r="C19" s="438">
        <v>750000</v>
      </c>
      <c r="D19" s="39"/>
      <c r="E19" s="423">
        <v>1</v>
      </c>
      <c r="F19" s="40">
        <v>5</v>
      </c>
      <c r="G19" s="41">
        <v>1</v>
      </c>
      <c r="H19" s="8">
        <f>ROUND((C19*E19*F19*G19),0)</f>
        <v>3750000</v>
      </c>
      <c r="I19" s="249">
        <f>+IF(OR(C19=0),1,0)</f>
        <v>0</v>
      </c>
      <c r="J19" s="37" t="s">
        <v>686</v>
      </c>
      <c r="K19" s="38" t="s">
        <v>687</v>
      </c>
      <c r="L19" s="438">
        <v>1500000</v>
      </c>
      <c r="M19" s="39"/>
      <c r="N19" s="423">
        <v>1</v>
      </c>
      <c r="O19" s="40">
        <v>5</v>
      </c>
      <c r="P19" s="41">
        <v>1</v>
      </c>
      <c r="Q19" s="8">
        <f>ROUND((L19*N19*O19*P19),0)</f>
        <v>7500000</v>
      </c>
      <c r="R19" s="249">
        <f>+IF(OR(L19=0),1,0)</f>
        <v>0</v>
      </c>
      <c r="S19" s="37" t="s">
        <v>686</v>
      </c>
      <c r="T19" s="38" t="s">
        <v>687</v>
      </c>
      <c r="U19" s="438">
        <v>1500000</v>
      </c>
      <c r="V19" s="39"/>
      <c r="W19" s="423">
        <v>1</v>
      </c>
      <c r="X19" s="40">
        <v>5</v>
      </c>
      <c r="Y19" s="41">
        <v>1</v>
      </c>
      <c r="Z19" s="8">
        <f>ROUND((U19*W19*X19*Y19),0)</f>
        <v>7500000</v>
      </c>
      <c r="AA19" s="249">
        <f>+IF(OR(U19=0),1,0)</f>
        <v>0</v>
      </c>
      <c r="AB19" s="37" t="s">
        <v>686</v>
      </c>
      <c r="AC19" s="38" t="s">
        <v>687</v>
      </c>
      <c r="AD19" s="438">
        <v>2000000</v>
      </c>
      <c r="AE19" s="39"/>
      <c r="AF19" s="423">
        <v>1</v>
      </c>
      <c r="AG19" s="40">
        <v>5</v>
      </c>
      <c r="AH19" s="41">
        <v>1</v>
      </c>
      <c r="AI19" s="8">
        <f>ROUND((AD19*AF19*AG19*AH19),0)</f>
        <v>10000000</v>
      </c>
      <c r="AJ19" s="249">
        <f>+IF(OR(AD19=0),1,0)</f>
        <v>0</v>
      </c>
    </row>
    <row r="20" spans="1:36" s="13" customFormat="1" ht="14.25" thickTop="1" thickBot="1">
      <c r="A20" s="409" t="s">
        <v>64</v>
      </c>
      <c r="B20" s="410" t="s">
        <v>75</v>
      </c>
      <c r="C20" s="431"/>
      <c r="D20" s="431"/>
      <c r="E20" s="431"/>
      <c r="F20" s="431"/>
      <c r="G20" s="439"/>
      <c r="H20" s="434"/>
      <c r="I20" s="249"/>
      <c r="J20" s="409" t="s">
        <v>64</v>
      </c>
      <c r="K20" s="410" t="s">
        <v>75</v>
      </c>
      <c r="L20" s="431"/>
      <c r="M20" s="431"/>
      <c r="N20" s="431"/>
      <c r="O20" s="431"/>
      <c r="P20" s="439"/>
      <c r="Q20" s="434"/>
      <c r="R20" s="249"/>
      <c r="S20" s="409" t="s">
        <v>64</v>
      </c>
      <c r="T20" s="410" t="s">
        <v>75</v>
      </c>
      <c r="U20" s="431"/>
      <c r="V20" s="431"/>
      <c r="W20" s="431"/>
      <c r="X20" s="431"/>
      <c r="Y20" s="439"/>
      <c r="Z20" s="434"/>
      <c r="AA20" s="249"/>
      <c r="AB20" s="409" t="s">
        <v>64</v>
      </c>
      <c r="AC20" s="410" t="s">
        <v>75</v>
      </c>
      <c r="AD20" s="431"/>
      <c r="AE20" s="431"/>
      <c r="AF20" s="431"/>
      <c r="AG20" s="431"/>
      <c r="AH20" s="439"/>
      <c r="AI20" s="434"/>
      <c r="AJ20" s="249"/>
    </row>
    <row r="21" spans="1:36" s="13" customFormat="1" ht="14.25" thickTop="1" thickBot="1">
      <c r="A21" s="440" t="s">
        <v>61</v>
      </c>
      <c r="B21" s="415" t="s">
        <v>688</v>
      </c>
      <c r="C21" s="426"/>
      <c r="D21" s="426"/>
      <c r="E21" s="426"/>
      <c r="F21" s="435"/>
      <c r="G21" s="436"/>
      <c r="H21" s="428"/>
      <c r="I21" s="249"/>
      <c r="J21" s="440" t="s">
        <v>61</v>
      </c>
      <c r="K21" s="415" t="s">
        <v>688</v>
      </c>
      <c r="L21" s="426"/>
      <c r="M21" s="426"/>
      <c r="N21" s="426"/>
      <c r="O21" s="435"/>
      <c r="P21" s="436"/>
      <c r="Q21" s="428"/>
      <c r="R21" s="249"/>
      <c r="S21" s="440" t="s">
        <v>61</v>
      </c>
      <c r="T21" s="415" t="s">
        <v>688</v>
      </c>
      <c r="U21" s="426"/>
      <c r="V21" s="426"/>
      <c r="W21" s="426"/>
      <c r="X21" s="435"/>
      <c r="Y21" s="436"/>
      <c r="Z21" s="428"/>
      <c r="AA21" s="249"/>
      <c r="AB21" s="440" t="s">
        <v>61</v>
      </c>
      <c r="AC21" s="415" t="s">
        <v>688</v>
      </c>
      <c r="AD21" s="426"/>
      <c r="AE21" s="426"/>
      <c r="AF21" s="426"/>
      <c r="AG21" s="435"/>
      <c r="AH21" s="436"/>
      <c r="AI21" s="428"/>
      <c r="AJ21" s="249"/>
    </row>
    <row r="22" spans="1:36" s="13" customFormat="1" ht="14.25" thickTop="1" thickBot="1">
      <c r="A22" s="440" t="s">
        <v>689</v>
      </c>
      <c r="B22" s="21" t="s">
        <v>76</v>
      </c>
      <c r="C22" s="420">
        <v>500000</v>
      </c>
      <c r="D22" s="441">
        <v>1.59</v>
      </c>
      <c r="E22" s="7">
        <v>0.25</v>
      </c>
      <c r="F22" s="35">
        <v>5</v>
      </c>
      <c r="G22" s="22">
        <v>1</v>
      </c>
      <c r="H22" s="8">
        <f>ROUND((C22*D22*E22*F22*G22),0)</f>
        <v>993750</v>
      </c>
      <c r="I22" s="249">
        <f>+IF(OR(C22=0,D22=0),1,0)</f>
        <v>0</v>
      </c>
      <c r="J22" s="440" t="s">
        <v>689</v>
      </c>
      <c r="K22" s="21" t="s">
        <v>76</v>
      </c>
      <c r="L22" s="420">
        <v>1500000</v>
      </c>
      <c r="M22" s="441">
        <v>1.61</v>
      </c>
      <c r="N22" s="7">
        <v>0.25</v>
      </c>
      <c r="O22" s="35">
        <v>5</v>
      </c>
      <c r="P22" s="22">
        <v>1</v>
      </c>
      <c r="Q22" s="8">
        <f>ROUND((L22*M22*N22*O22*P22),0)</f>
        <v>3018750</v>
      </c>
      <c r="R22" s="249">
        <f>+IF(OR(L22=0,M22=0),1,0)</f>
        <v>0</v>
      </c>
      <c r="S22" s="440" t="s">
        <v>689</v>
      </c>
      <c r="T22" s="21" t="s">
        <v>76</v>
      </c>
      <c r="U22" s="420">
        <v>1500000</v>
      </c>
      <c r="V22" s="441">
        <v>1.65</v>
      </c>
      <c r="W22" s="7">
        <v>0.25</v>
      </c>
      <c r="X22" s="35">
        <v>5</v>
      </c>
      <c r="Y22" s="22">
        <v>1</v>
      </c>
      <c r="Z22" s="8">
        <f>ROUND((U22*V22*W22*X22*Y22),0)</f>
        <v>3093750</v>
      </c>
      <c r="AA22" s="249">
        <f>+IF(OR(U22=0,V22=0),1,0)</f>
        <v>0</v>
      </c>
      <c r="AB22" s="440" t="s">
        <v>689</v>
      </c>
      <c r="AC22" s="21" t="s">
        <v>76</v>
      </c>
      <c r="AD22" s="420">
        <v>2000000</v>
      </c>
      <c r="AE22" s="441">
        <v>1.6</v>
      </c>
      <c r="AF22" s="7">
        <v>0.25</v>
      </c>
      <c r="AG22" s="35">
        <v>5</v>
      </c>
      <c r="AH22" s="22">
        <v>1</v>
      </c>
      <c r="AI22" s="8">
        <f>ROUND((AD22*AE22*AF22*AG22*AH22),0)</f>
        <v>4000000</v>
      </c>
      <c r="AJ22" s="249">
        <f>+IF(OR(AD22=0,AE22=0),1,0)</f>
        <v>0</v>
      </c>
    </row>
    <row r="23" spans="1:36" s="13" customFormat="1" ht="14.25" thickTop="1" thickBot="1">
      <c r="A23" s="414" t="s">
        <v>62</v>
      </c>
      <c r="B23" s="415" t="s">
        <v>690</v>
      </c>
      <c r="C23" s="426"/>
      <c r="D23" s="426"/>
      <c r="E23" s="426"/>
      <c r="F23" s="435"/>
      <c r="G23" s="436"/>
      <c r="H23" s="428"/>
      <c r="I23" s="249">
        <f>+IF(OR(H23=0),1,0)</f>
        <v>1</v>
      </c>
      <c r="J23" s="414" t="s">
        <v>62</v>
      </c>
      <c r="K23" s="415" t="s">
        <v>690</v>
      </c>
      <c r="L23" s="426"/>
      <c r="M23" s="426"/>
      <c r="N23" s="426"/>
      <c r="O23" s="435"/>
      <c r="P23" s="436"/>
      <c r="Q23" s="428"/>
      <c r="R23" s="249">
        <f>+IF(OR(Q23=0),1,0)</f>
        <v>1</v>
      </c>
      <c r="S23" s="414" t="s">
        <v>62</v>
      </c>
      <c r="T23" s="415" t="s">
        <v>690</v>
      </c>
      <c r="U23" s="426"/>
      <c r="V23" s="426"/>
      <c r="W23" s="426"/>
      <c r="X23" s="435"/>
      <c r="Y23" s="436"/>
      <c r="Z23" s="428"/>
      <c r="AA23" s="249">
        <f>+IF(OR(Z23=0),1,0)</f>
        <v>1</v>
      </c>
      <c r="AB23" s="414" t="s">
        <v>62</v>
      </c>
      <c r="AC23" s="415" t="s">
        <v>690</v>
      </c>
      <c r="AD23" s="426"/>
      <c r="AE23" s="426"/>
      <c r="AF23" s="426"/>
      <c r="AG23" s="435"/>
      <c r="AH23" s="436"/>
      <c r="AI23" s="428"/>
      <c r="AJ23" s="249">
        <f>+IF(OR(AI23=0),1,0)</f>
        <v>1</v>
      </c>
    </row>
    <row r="24" spans="1:36" s="13" customFormat="1" ht="13.5" thickTop="1">
      <c r="A24" s="6" t="s">
        <v>691</v>
      </c>
      <c r="B24" s="442" t="s">
        <v>101</v>
      </c>
      <c r="C24" s="443">
        <v>50000</v>
      </c>
      <c r="D24" s="444"/>
      <c r="E24" s="445">
        <v>1</v>
      </c>
      <c r="F24" s="446">
        <v>5</v>
      </c>
      <c r="G24" s="446">
        <v>1</v>
      </c>
      <c r="H24" s="447">
        <f>ROUND((C24*E24*F24),0)</f>
        <v>250000</v>
      </c>
      <c r="I24" s="249">
        <f t="shared" ref="I24:I30" si="0">+IF(OR(C24=0),1,0)</f>
        <v>0</v>
      </c>
      <c r="J24" s="6" t="s">
        <v>691</v>
      </c>
      <c r="K24" s="442" t="s">
        <v>101</v>
      </c>
      <c r="L24" s="443">
        <v>300000</v>
      </c>
      <c r="M24" s="444"/>
      <c r="N24" s="445">
        <v>1</v>
      </c>
      <c r="O24" s="446">
        <v>5</v>
      </c>
      <c r="P24" s="446">
        <v>1</v>
      </c>
      <c r="Q24" s="447">
        <f>ROUND((L24*N24*O24),0)</f>
        <v>1500000</v>
      </c>
      <c r="R24" s="249">
        <f t="shared" ref="R24:R27" si="1">+IF(OR(L24=0),1,0)</f>
        <v>0</v>
      </c>
      <c r="S24" s="6" t="s">
        <v>691</v>
      </c>
      <c r="T24" s="442" t="s">
        <v>101</v>
      </c>
      <c r="U24" s="443">
        <v>300000</v>
      </c>
      <c r="V24" s="444"/>
      <c r="W24" s="445">
        <v>1</v>
      </c>
      <c r="X24" s="446">
        <v>5</v>
      </c>
      <c r="Y24" s="446">
        <v>1</v>
      </c>
      <c r="Z24" s="447">
        <f>ROUND((U24*W24*X24),0)</f>
        <v>1500000</v>
      </c>
      <c r="AA24" s="249">
        <f t="shared" ref="AA24:AA27" si="2">+IF(OR(U24=0),1,0)</f>
        <v>0</v>
      </c>
      <c r="AB24" s="6" t="s">
        <v>691</v>
      </c>
      <c r="AC24" s="442" t="s">
        <v>101</v>
      </c>
      <c r="AD24" s="443">
        <v>200000</v>
      </c>
      <c r="AE24" s="444"/>
      <c r="AF24" s="445">
        <v>1</v>
      </c>
      <c r="AG24" s="446">
        <v>5</v>
      </c>
      <c r="AH24" s="446">
        <v>1</v>
      </c>
      <c r="AI24" s="447">
        <f>ROUND((AD24*AF24*AG24),0)</f>
        <v>1000000</v>
      </c>
      <c r="AJ24" s="249">
        <f t="shared" ref="AJ24:AJ27" si="3">+IF(OR(AD24=0),1,0)</f>
        <v>0</v>
      </c>
    </row>
    <row r="25" spans="1:36" s="13" customFormat="1">
      <c r="A25" s="6" t="s">
        <v>692</v>
      </c>
      <c r="B25" s="442" t="s">
        <v>102</v>
      </c>
      <c r="C25" s="443">
        <v>70000</v>
      </c>
      <c r="D25" s="444"/>
      <c r="E25" s="445">
        <v>1</v>
      </c>
      <c r="F25" s="446">
        <v>5</v>
      </c>
      <c r="G25" s="446">
        <v>2</v>
      </c>
      <c r="H25" s="447">
        <f>ROUND((C25*E25*F25*G25),0)</f>
        <v>700000</v>
      </c>
      <c r="I25" s="249">
        <f t="shared" si="0"/>
        <v>0</v>
      </c>
      <c r="J25" s="6" t="s">
        <v>692</v>
      </c>
      <c r="K25" s="442" t="s">
        <v>102</v>
      </c>
      <c r="L25" s="443">
        <v>250000</v>
      </c>
      <c r="M25" s="444"/>
      <c r="N25" s="445">
        <v>1</v>
      </c>
      <c r="O25" s="446">
        <v>5</v>
      </c>
      <c r="P25" s="469">
        <v>2</v>
      </c>
      <c r="Q25" s="470">
        <f>ROUND((L25*N25*O25),0)</f>
        <v>1250000</v>
      </c>
      <c r="R25" s="249">
        <f t="shared" si="1"/>
        <v>0</v>
      </c>
      <c r="S25" s="6" t="s">
        <v>692</v>
      </c>
      <c r="T25" s="442" t="s">
        <v>102</v>
      </c>
      <c r="U25" s="443">
        <v>300000</v>
      </c>
      <c r="V25" s="444"/>
      <c r="W25" s="445">
        <v>1</v>
      </c>
      <c r="X25" s="446">
        <v>5</v>
      </c>
      <c r="Y25" s="469">
        <v>2</v>
      </c>
      <c r="Z25" s="470">
        <f>ROUND((U25*W25*X25),0)</f>
        <v>1500000</v>
      </c>
      <c r="AA25" s="249">
        <f t="shared" si="2"/>
        <v>0</v>
      </c>
      <c r="AB25" s="6" t="s">
        <v>692</v>
      </c>
      <c r="AC25" s="442" t="s">
        <v>102</v>
      </c>
      <c r="AD25" s="443">
        <v>200000</v>
      </c>
      <c r="AE25" s="444"/>
      <c r="AF25" s="445">
        <v>1</v>
      </c>
      <c r="AG25" s="469">
        <v>5</v>
      </c>
      <c r="AH25" s="469">
        <v>2</v>
      </c>
      <c r="AI25" s="470">
        <f>ROUND((AD25*AF25*AG25),0)</f>
        <v>1000000</v>
      </c>
      <c r="AJ25" s="249">
        <f t="shared" si="3"/>
        <v>0</v>
      </c>
    </row>
    <row r="26" spans="1:36" s="13" customFormat="1" ht="36">
      <c r="A26" s="6" t="s">
        <v>693</v>
      </c>
      <c r="B26" s="442" t="s">
        <v>103</v>
      </c>
      <c r="C26" s="443">
        <v>150000</v>
      </c>
      <c r="D26" s="444"/>
      <c r="E26" s="445"/>
      <c r="F26" s="446"/>
      <c r="G26" s="446">
        <v>2</v>
      </c>
      <c r="H26" s="447">
        <f>ROUND((C26*G26),0)</f>
        <v>300000</v>
      </c>
      <c r="I26" s="249">
        <f t="shared" si="0"/>
        <v>0</v>
      </c>
      <c r="J26" s="6" t="s">
        <v>693</v>
      </c>
      <c r="K26" s="442" t="s">
        <v>103</v>
      </c>
      <c r="L26" s="443">
        <v>300000</v>
      </c>
      <c r="M26" s="444"/>
      <c r="N26" s="445"/>
      <c r="O26" s="446"/>
      <c r="P26" s="446">
        <v>2</v>
      </c>
      <c r="Q26" s="447">
        <f>ROUND((L26*P26),0)</f>
        <v>600000</v>
      </c>
      <c r="R26" s="249">
        <f t="shared" si="1"/>
        <v>0</v>
      </c>
      <c r="S26" s="6" t="s">
        <v>693</v>
      </c>
      <c r="T26" s="442" t="s">
        <v>103</v>
      </c>
      <c r="U26" s="443">
        <v>400000</v>
      </c>
      <c r="V26" s="444"/>
      <c r="W26" s="445"/>
      <c r="X26" s="446"/>
      <c r="Y26" s="446">
        <v>2</v>
      </c>
      <c r="Z26" s="447">
        <f>ROUND((U26*Y26),0)</f>
        <v>800000</v>
      </c>
      <c r="AA26" s="249">
        <f t="shared" si="2"/>
        <v>0</v>
      </c>
      <c r="AB26" s="6" t="s">
        <v>693</v>
      </c>
      <c r="AC26" s="442" t="s">
        <v>103</v>
      </c>
      <c r="AD26" s="443">
        <v>200000</v>
      </c>
      <c r="AE26" s="444"/>
      <c r="AF26" s="445"/>
      <c r="AG26" s="446"/>
      <c r="AH26" s="446">
        <v>2</v>
      </c>
      <c r="AI26" s="447">
        <f>ROUND((AD26*AH26),0)</f>
        <v>400000</v>
      </c>
      <c r="AJ26" s="249">
        <f t="shared" si="3"/>
        <v>0</v>
      </c>
    </row>
    <row r="27" spans="1:36" s="13" customFormat="1" ht="24.75" thickBot="1">
      <c r="A27" s="6" t="s">
        <v>694</v>
      </c>
      <c r="B27" s="442" t="s">
        <v>695</v>
      </c>
      <c r="C27" s="443">
        <v>90000</v>
      </c>
      <c r="D27" s="444"/>
      <c r="E27" s="445"/>
      <c r="F27" s="446"/>
      <c r="G27" s="446">
        <v>4</v>
      </c>
      <c r="H27" s="447">
        <f>ROUND((C27*G27),0)</f>
        <v>360000</v>
      </c>
      <c r="I27" s="249">
        <f t="shared" si="0"/>
        <v>0</v>
      </c>
      <c r="J27" s="6" t="s">
        <v>694</v>
      </c>
      <c r="K27" s="442" t="s">
        <v>695</v>
      </c>
      <c r="L27" s="443">
        <v>150000</v>
      </c>
      <c r="M27" s="444"/>
      <c r="N27" s="445"/>
      <c r="O27" s="446"/>
      <c r="P27" s="446">
        <v>4</v>
      </c>
      <c r="Q27" s="447">
        <f>ROUND((L27*P27),0)</f>
        <v>600000</v>
      </c>
      <c r="R27" s="249">
        <f t="shared" si="1"/>
        <v>0</v>
      </c>
      <c r="S27" s="6" t="s">
        <v>694</v>
      </c>
      <c r="T27" s="442" t="s">
        <v>695</v>
      </c>
      <c r="U27" s="443">
        <v>150000</v>
      </c>
      <c r="V27" s="444"/>
      <c r="W27" s="445"/>
      <c r="X27" s="446"/>
      <c r="Y27" s="446">
        <v>4</v>
      </c>
      <c r="Z27" s="447">
        <f>ROUND((U27*Y27),0)</f>
        <v>600000</v>
      </c>
      <c r="AA27" s="249">
        <f t="shared" si="2"/>
        <v>0</v>
      </c>
      <c r="AB27" s="6" t="s">
        <v>694</v>
      </c>
      <c r="AC27" s="442" t="s">
        <v>695</v>
      </c>
      <c r="AD27" s="443">
        <v>100000</v>
      </c>
      <c r="AE27" s="444"/>
      <c r="AF27" s="445"/>
      <c r="AG27" s="446"/>
      <c r="AH27" s="446">
        <v>4</v>
      </c>
      <c r="AI27" s="447">
        <f>ROUND((AD27*AH27),0)</f>
        <v>400000</v>
      </c>
      <c r="AJ27" s="249">
        <f t="shared" si="3"/>
        <v>0</v>
      </c>
    </row>
    <row r="28" spans="1:36" s="13" customFormat="1" ht="54.75" customHeight="1" thickTop="1" thickBot="1">
      <c r="A28" s="409" t="s">
        <v>65</v>
      </c>
      <c r="B28" s="410" t="s">
        <v>696</v>
      </c>
      <c r="C28" s="431"/>
      <c r="D28" s="431"/>
      <c r="E28" s="431"/>
      <c r="F28" s="431"/>
      <c r="G28" s="439"/>
      <c r="H28" s="434"/>
      <c r="I28" s="249"/>
      <c r="J28" s="409" t="s">
        <v>65</v>
      </c>
      <c r="K28" s="410" t="s">
        <v>696</v>
      </c>
      <c r="L28" s="431"/>
      <c r="M28" s="431"/>
      <c r="N28" s="431"/>
      <c r="O28" s="431"/>
      <c r="P28" s="439"/>
      <c r="Q28" s="434"/>
      <c r="R28" s="249"/>
      <c r="S28" s="409" t="s">
        <v>65</v>
      </c>
      <c r="T28" s="410" t="s">
        <v>696</v>
      </c>
      <c r="U28" s="431"/>
      <c r="V28" s="431"/>
      <c r="W28" s="431"/>
      <c r="X28" s="431"/>
      <c r="Y28" s="439"/>
      <c r="Z28" s="434"/>
      <c r="AA28" s="249"/>
      <c r="AB28" s="409" t="s">
        <v>65</v>
      </c>
      <c r="AC28" s="410" t="s">
        <v>696</v>
      </c>
      <c r="AD28" s="431"/>
      <c r="AE28" s="431"/>
      <c r="AF28" s="431"/>
      <c r="AG28" s="431"/>
      <c r="AH28" s="439"/>
      <c r="AI28" s="434"/>
      <c r="AJ28" s="249"/>
    </row>
    <row r="29" spans="1:36" ht="13.5" thickTop="1">
      <c r="A29" s="6" t="s">
        <v>108</v>
      </c>
      <c r="B29" s="442" t="s">
        <v>697</v>
      </c>
      <c r="C29" s="443">
        <v>8000</v>
      </c>
      <c r="D29" s="444"/>
      <c r="E29" s="445"/>
      <c r="F29" s="446"/>
      <c r="G29" s="446">
        <v>40</v>
      </c>
      <c r="H29" s="447">
        <f>ROUND((C29*G29),0)</f>
        <v>320000</v>
      </c>
      <c r="I29" s="249">
        <f t="shared" si="0"/>
        <v>0</v>
      </c>
      <c r="J29" s="6" t="s">
        <v>108</v>
      </c>
      <c r="K29" s="442" t="s">
        <v>697</v>
      </c>
      <c r="L29" s="443">
        <v>20000</v>
      </c>
      <c r="M29" s="444"/>
      <c r="N29" s="445"/>
      <c r="O29" s="446"/>
      <c r="P29" s="446">
        <v>40</v>
      </c>
      <c r="Q29" s="447">
        <f>ROUND((L29*P29),0)</f>
        <v>800000</v>
      </c>
      <c r="R29" s="249">
        <f t="shared" ref="R29:R30" si="4">+IF(OR(L29=0),1,0)</f>
        <v>0</v>
      </c>
      <c r="S29" s="6" t="s">
        <v>108</v>
      </c>
      <c r="T29" s="442" t="s">
        <v>697</v>
      </c>
      <c r="U29" s="443">
        <v>20000</v>
      </c>
      <c r="V29" s="444"/>
      <c r="W29" s="445"/>
      <c r="X29" s="446"/>
      <c r="Y29" s="446">
        <v>40</v>
      </c>
      <c r="Z29" s="447">
        <f>ROUND((U29*Y29),0)</f>
        <v>800000</v>
      </c>
      <c r="AA29" s="249">
        <f t="shared" ref="AA29:AA30" si="5">+IF(OR(U29=0),1,0)</f>
        <v>0</v>
      </c>
      <c r="AB29" s="6" t="s">
        <v>108</v>
      </c>
      <c r="AC29" s="442" t="s">
        <v>697</v>
      </c>
      <c r="AD29" s="443">
        <v>12000</v>
      </c>
      <c r="AE29" s="444"/>
      <c r="AF29" s="445"/>
      <c r="AG29" s="446"/>
      <c r="AH29" s="446">
        <v>40</v>
      </c>
      <c r="AI29" s="447">
        <f>ROUND((AD29*AH29),0)</f>
        <v>480000</v>
      </c>
      <c r="AJ29" s="249">
        <f t="shared" ref="AJ29:AJ30" si="6">+IF(OR(AD29=0),1,0)</f>
        <v>0</v>
      </c>
    </row>
    <row r="30" spans="1:36" ht="13.5" thickBot="1">
      <c r="A30" s="6"/>
      <c r="B30" s="442" t="s">
        <v>698</v>
      </c>
      <c r="C30" s="443">
        <v>350000</v>
      </c>
      <c r="D30" s="444"/>
      <c r="E30" s="445"/>
      <c r="F30" s="446"/>
      <c r="G30" s="446">
        <v>1</v>
      </c>
      <c r="H30" s="447">
        <f>ROUND((C30*G30),0)</f>
        <v>350000</v>
      </c>
      <c r="I30" s="249">
        <f t="shared" si="0"/>
        <v>0</v>
      </c>
      <c r="J30" s="6"/>
      <c r="K30" s="442" t="s">
        <v>698</v>
      </c>
      <c r="L30" s="443">
        <v>300000</v>
      </c>
      <c r="M30" s="444"/>
      <c r="N30" s="445"/>
      <c r="O30" s="446"/>
      <c r="P30" s="446">
        <v>1</v>
      </c>
      <c r="Q30" s="447">
        <f t="shared" ref="Q30" si="7">ROUND((L30*P30),0)</f>
        <v>300000</v>
      </c>
      <c r="R30" s="249">
        <f t="shared" si="4"/>
        <v>0</v>
      </c>
      <c r="S30" s="6"/>
      <c r="T30" s="442" t="s">
        <v>698</v>
      </c>
      <c r="U30" s="443">
        <v>500000</v>
      </c>
      <c r="V30" s="444"/>
      <c r="W30" s="445"/>
      <c r="X30" s="446"/>
      <c r="Y30" s="446">
        <v>1</v>
      </c>
      <c r="Z30" s="447">
        <f t="shared" ref="Z30" si="8">ROUND((U30*Y30),0)</f>
        <v>500000</v>
      </c>
      <c r="AA30" s="249">
        <f t="shared" si="5"/>
        <v>0</v>
      </c>
      <c r="AB30" s="6"/>
      <c r="AC30" s="442" t="s">
        <v>698</v>
      </c>
      <c r="AD30" s="443">
        <v>200000</v>
      </c>
      <c r="AE30" s="444"/>
      <c r="AF30" s="445"/>
      <c r="AG30" s="446"/>
      <c r="AH30" s="446">
        <v>1</v>
      </c>
      <c r="AI30" s="447">
        <f t="shared" ref="AI30" si="9">ROUND((AD30*AH30),0)</f>
        <v>200000</v>
      </c>
      <c r="AJ30" s="249">
        <f t="shared" si="6"/>
        <v>0</v>
      </c>
    </row>
    <row r="31" spans="1:36" ht="14.25" thickTop="1" thickBot="1">
      <c r="A31" s="409" t="s">
        <v>699</v>
      </c>
      <c r="B31" s="410" t="s">
        <v>66</v>
      </c>
      <c r="C31" s="431"/>
      <c r="D31" s="431"/>
      <c r="E31" s="431"/>
      <c r="F31" s="431"/>
      <c r="G31" s="439"/>
      <c r="H31" s="434"/>
      <c r="J31" s="409" t="s">
        <v>699</v>
      </c>
      <c r="K31" s="410" t="s">
        <v>66</v>
      </c>
      <c r="L31" s="431"/>
      <c r="M31" s="431"/>
      <c r="N31" s="431"/>
      <c r="O31" s="431"/>
      <c r="P31" s="439"/>
      <c r="Q31" s="434"/>
      <c r="R31" s="248"/>
      <c r="S31" s="409" t="s">
        <v>699</v>
      </c>
      <c r="T31" s="410" t="s">
        <v>66</v>
      </c>
      <c r="U31" s="431"/>
      <c r="V31" s="431"/>
      <c r="W31" s="431"/>
      <c r="X31" s="431"/>
      <c r="Y31" s="439"/>
      <c r="Z31" s="434"/>
      <c r="AA31" s="248"/>
      <c r="AB31" s="409" t="s">
        <v>699</v>
      </c>
      <c r="AC31" s="410" t="s">
        <v>66</v>
      </c>
      <c r="AD31" s="431"/>
      <c r="AE31" s="431"/>
      <c r="AF31" s="431"/>
      <c r="AG31" s="431"/>
      <c r="AH31" s="439"/>
      <c r="AI31" s="434"/>
      <c r="AJ31" s="248"/>
    </row>
    <row r="32" spans="1:36" s="13" customFormat="1" ht="14.25" thickTop="1" thickBot="1">
      <c r="A32" s="10" t="s">
        <v>202</v>
      </c>
      <c r="B32" s="11" t="s">
        <v>77</v>
      </c>
      <c r="C32" s="448">
        <v>13190508</v>
      </c>
      <c r="D32" s="23"/>
      <c r="E32" s="12"/>
      <c r="F32" s="23"/>
      <c r="G32" s="24"/>
      <c r="H32" s="8">
        <f>C32</f>
        <v>13190508</v>
      </c>
      <c r="I32" s="249">
        <f t="shared" ref="I32" si="10">+IF(OR(C32=0),1,0)</f>
        <v>0</v>
      </c>
      <c r="J32" s="10" t="s">
        <v>202</v>
      </c>
      <c r="K32" s="11" t="s">
        <v>77</v>
      </c>
      <c r="L32" s="448">
        <v>5800000</v>
      </c>
      <c r="M32" s="23"/>
      <c r="N32" s="12"/>
      <c r="O32" s="23"/>
      <c r="P32" s="24"/>
      <c r="Q32" s="8">
        <f>L32</f>
        <v>5800000</v>
      </c>
      <c r="R32" s="249">
        <f t="shared" ref="R32" si="11">+IF(OR(L32=0),1,0)</f>
        <v>0</v>
      </c>
      <c r="S32" s="10" t="s">
        <v>202</v>
      </c>
      <c r="T32" s="11" t="s">
        <v>77</v>
      </c>
      <c r="U32" s="448">
        <v>4900000</v>
      </c>
      <c r="V32" s="23"/>
      <c r="W32" s="12"/>
      <c r="X32" s="23"/>
      <c r="Y32" s="24"/>
      <c r="Z32" s="8">
        <f>U32</f>
        <v>4900000</v>
      </c>
      <c r="AA32" s="249">
        <f t="shared" ref="AA32" si="12">+IF(OR(U32=0),1,0)</f>
        <v>0</v>
      </c>
      <c r="AB32" s="10" t="s">
        <v>202</v>
      </c>
      <c r="AC32" s="11" t="s">
        <v>77</v>
      </c>
      <c r="AD32" s="448">
        <v>7000000</v>
      </c>
      <c r="AE32" s="23"/>
      <c r="AF32" s="12"/>
      <c r="AG32" s="23"/>
      <c r="AH32" s="24"/>
      <c r="AI32" s="8">
        <f>AD32</f>
        <v>7000000</v>
      </c>
      <c r="AJ32" s="249">
        <f t="shared" ref="AJ32" si="13">+IF(OR(AD32=0),1,0)</f>
        <v>0</v>
      </c>
    </row>
    <row r="33" spans="1:38" ht="14.25" thickTop="1" thickBot="1">
      <c r="A33" s="449"/>
      <c r="B33" s="450" t="s">
        <v>95</v>
      </c>
      <c r="C33" s="451"/>
      <c r="D33" s="451"/>
      <c r="E33" s="451"/>
      <c r="F33" s="451"/>
      <c r="G33" s="452"/>
      <c r="H33" s="453">
        <f>SUM(H6:H32)</f>
        <v>84103487</v>
      </c>
      <c r="J33" s="449"/>
      <c r="K33" s="450" t="s">
        <v>95</v>
      </c>
      <c r="L33" s="451"/>
      <c r="M33" s="451"/>
      <c r="N33" s="451"/>
      <c r="O33" s="451"/>
      <c r="P33" s="452"/>
      <c r="Q33" s="453">
        <f>SUM(Q6:Q32)</f>
        <v>102923250</v>
      </c>
      <c r="R33" s="248"/>
      <c r="S33" s="449"/>
      <c r="T33" s="450" t="s">
        <v>95</v>
      </c>
      <c r="U33" s="451"/>
      <c r="V33" s="451"/>
      <c r="W33" s="451"/>
      <c r="X33" s="451"/>
      <c r="Y33" s="452"/>
      <c r="Z33" s="453">
        <f>SUM(Z6:Z32)</f>
        <v>92835000</v>
      </c>
      <c r="AA33" s="248"/>
      <c r="AB33" s="449"/>
      <c r="AC33" s="450" t="s">
        <v>95</v>
      </c>
      <c r="AD33" s="451"/>
      <c r="AE33" s="451"/>
      <c r="AF33" s="451"/>
      <c r="AG33" s="451"/>
      <c r="AH33" s="452"/>
      <c r="AI33" s="453">
        <f>SUM(AI6:AI32)</f>
        <v>98780000</v>
      </c>
      <c r="AJ33" s="248"/>
    </row>
    <row r="34" spans="1:38" ht="14.25" thickTop="1" thickBot="1">
      <c r="H34" s="13"/>
      <c r="Q34" s="13"/>
      <c r="R34" s="248"/>
      <c r="Z34" s="13"/>
      <c r="AA34" s="248"/>
      <c r="AI34" s="13"/>
      <c r="AJ34" s="248"/>
    </row>
    <row r="35" spans="1:38" ht="14.25" thickTop="1" thickBot="1">
      <c r="A35" s="454"/>
      <c r="B35" s="455" t="s">
        <v>96</v>
      </c>
      <c r="C35" s="456"/>
      <c r="D35" s="456"/>
      <c r="E35" s="456"/>
      <c r="F35" s="456"/>
      <c r="G35" s="457"/>
      <c r="H35" s="458">
        <f>+'Presupuesto Consolidado'!F260</f>
        <v>1157127617</v>
      </c>
      <c r="J35" s="454"/>
      <c r="K35" s="455" t="s">
        <v>96</v>
      </c>
      <c r="L35" s="456"/>
      <c r="M35" s="456"/>
      <c r="N35" s="456"/>
      <c r="O35" s="456"/>
      <c r="P35" s="457"/>
      <c r="Q35" s="458">
        <f>'Presupuesto Consolidado'!N260</f>
        <v>1218841856</v>
      </c>
      <c r="R35" s="248"/>
      <c r="S35" s="454"/>
      <c r="T35" s="455" t="s">
        <v>96</v>
      </c>
      <c r="U35" s="456"/>
      <c r="V35" s="456"/>
      <c r="W35" s="456"/>
      <c r="X35" s="456"/>
      <c r="Y35" s="457"/>
      <c r="Z35" s="458">
        <f>'Presupuesto Consolidado'!V260</f>
        <v>1203021962</v>
      </c>
      <c r="AA35" s="248"/>
      <c r="AB35" s="454"/>
      <c r="AC35" s="455" t="s">
        <v>96</v>
      </c>
      <c r="AD35" s="456"/>
      <c r="AE35" s="456"/>
      <c r="AF35" s="456"/>
      <c r="AG35" s="456"/>
      <c r="AH35" s="457"/>
      <c r="AI35" s="458">
        <f>'Presupuesto Consolidado'!AD260</f>
        <v>1219985163</v>
      </c>
      <c r="AJ35" s="248"/>
    </row>
    <row r="36" spans="1:38" s="13" customFormat="1" ht="13.5" thickTop="1">
      <c r="A36" s="9"/>
      <c r="B36" s="28" t="s">
        <v>67</v>
      </c>
      <c r="C36" s="14"/>
      <c r="D36" s="15"/>
      <c r="E36" s="16"/>
      <c r="F36" s="487">
        <f>H33/H35</f>
        <v>7.2682983073249038E-2</v>
      </c>
      <c r="G36" s="25" t="s">
        <v>97</v>
      </c>
      <c r="H36" s="30">
        <f>ROUND(H35*F36,0)</f>
        <v>84103487</v>
      </c>
      <c r="I36" s="249"/>
      <c r="J36" s="9"/>
      <c r="K36" s="28" t="s">
        <v>67</v>
      </c>
      <c r="L36" s="14"/>
      <c r="M36" s="15"/>
      <c r="N36" s="16"/>
      <c r="O36" s="486">
        <f>ROUND(($Q$33/$Q$35),4)</f>
        <v>8.4400000000000003E-2</v>
      </c>
      <c r="P36" s="25" t="s">
        <v>97</v>
      </c>
      <c r="Q36" s="30">
        <f>ROUND(Q35*O36,0)</f>
        <v>102870253</v>
      </c>
      <c r="R36" s="249"/>
      <c r="S36" s="9"/>
      <c r="T36" s="28" t="s">
        <v>67</v>
      </c>
      <c r="U36" s="14"/>
      <c r="V36" s="15"/>
      <c r="W36" s="16"/>
      <c r="X36" s="27">
        <f>ROUND(($Z$33/$Z$35),4)</f>
        <v>7.7200000000000005E-2</v>
      </c>
      <c r="Y36" s="25" t="s">
        <v>97</v>
      </c>
      <c r="Z36" s="30">
        <f>ROUND(Z35*X36,0)</f>
        <v>92873295</v>
      </c>
      <c r="AA36" s="249"/>
      <c r="AB36" s="9"/>
      <c r="AC36" s="28" t="s">
        <v>67</v>
      </c>
      <c r="AD36" s="14"/>
      <c r="AE36" s="15"/>
      <c r="AF36" s="16"/>
      <c r="AG36" s="27">
        <f>ROUND(($AI$33/$AI$35),4)</f>
        <v>8.1000000000000003E-2</v>
      </c>
      <c r="AH36" s="25" t="s">
        <v>97</v>
      </c>
      <c r="AI36" s="30">
        <f>ROUND(AI35*AG36,0)</f>
        <v>98818798</v>
      </c>
      <c r="AJ36" s="249"/>
    </row>
    <row r="37" spans="1:38" s="13" customFormat="1">
      <c r="A37" s="9"/>
      <c r="B37" s="28" t="s">
        <v>68</v>
      </c>
      <c r="C37" s="14"/>
      <c r="D37" s="15"/>
      <c r="E37" s="16"/>
      <c r="F37" s="486">
        <v>2.2499999999999999E-2</v>
      </c>
      <c r="G37" s="25" t="s">
        <v>98</v>
      </c>
      <c r="H37" s="30">
        <f>ROUND(H35*F37,0)</f>
        <v>26035371</v>
      </c>
      <c r="I37" s="249">
        <f>+IF(OR(F37=0),1,0)</f>
        <v>0</v>
      </c>
      <c r="J37" s="9"/>
      <c r="K37" s="28" t="s">
        <v>68</v>
      </c>
      <c r="L37" s="14"/>
      <c r="M37" s="15"/>
      <c r="N37" s="16"/>
      <c r="O37" s="512">
        <v>1.06E-2</v>
      </c>
      <c r="P37" s="25" t="s">
        <v>98</v>
      </c>
      <c r="Q37" s="30">
        <f>ROUND(Q35*O37,0)</f>
        <v>12919724</v>
      </c>
      <c r="R37" s="249">
        <f>+IF(OR(O37=0),1,0)</f>
        <v>0</v>
      </c>
      <c r="S37" s="9"/>
      <c r="T37" s="28" t="s">
        <v>68</v>
      </c>
      <c r="U37" s="14"/>
      <c r="V37" s="15"/>
      <c r="W37" s="16"/>
      <c r="X37" s="16">
        <v>0.03</v>
      </c>
      <c r="Y37" s="25" t="s">
        <v>98</v>
      </c>
      <c r="Z37" s="30">
        <f>ROUND(Z35*X37,0)</f>
        <v>36090659</v>
      </c>
      <c r="AA37" s="249">
        <f>+IF(OR(X37=0),1,0)</f>
        <v>0</v>
      </c>
      <c r="AB37" s="9"/>
      <c r="AC37" s="28" t="s">
        <v>68</v>
      </c>
      <c r="AD37" s="14"/>
      <c r="AE37" s="15"/>
      <c r="AF37" s="16"/>
      <c r="AG37" s="16">
        <v>0.01</v>
      </c>
      <c r="AH37" s="25" t="s">
        <v>98</v>
      </c>
      <c r="AI37" s="30">
        <f>ROUND(AI35*AG37,0)</f>
        <v>12199852</v>
      </c>
      <c r="AJ37" s="249">
        <f>+IF(OR(AG37=0),1,0)</f>
        <v>0</v>
      </c>
    </row>
    <row r="38" spans="1:38" ht="14.25" customHeight="1" thickBot="1">
      <c r="A38" s="31"/>
      <c r="B38" s="32" t="s">
        <v>700</v>
      </c>
      <c r="C38" s="33"/>
      <c r="D38" s="33"/>
      <c r="E38" s="33"/>
      <c r="F38" s="17"/>
      <c r="G38" s="26"/>
      <c r="H38" s="34">
        <f>+H36+H37</f>
        <v>110138858</v>
      </c>
      <c r="J38" s="31"/>
      <c r="K38" s="32" t="s">
        <v>700</v>
      </c>
      <c r="L38" s="33"/>
      <c r="M38" s="33"/>
      <c r="N38" s="33"/>
      <c r="O38" s="17"/>
      <c r="P38" s="26"/>
      <c r="Q38" s="34">
        <f>+Q36+Q37</f>
        <v>115789977</v>
      </c>
      <c r="R38" s="248"/>
      <c r="S38" s="31"/>
      <c r="T38" s="32" t="s">
        <v>700</v>
      </c>
      <c r="U38" s="33"/>
      <c r="V38" s="33"/>
      <c r="W38" s="33"/>
      <c r="X38" s="17"/>
      <c r="Y38" s="26"/>
      <c r="Z38" s="34">
        <f>+Z36+Z37</f>
        <v>128963954</v>
      </c>
      <c r="AA38" s="248"/>
      <c r="AB38" s="31"/>
      <c r="AC38" s="32" t="s">
        <v>700</v>
      </c>
      <c r="AD38" s="33"/>
      <c r="AE38" s="33"/>
      <c r="AF38" s="33"/>
      <c r="AG38" s="17"/>
      <c r="AH38" s="26"/>
      <c r="AI38" s="34">
        <f>+AI36+AI37</f>
        <v>111018650</v>
      </c>
      <c r="AJ38" s="248"/>
    </row>
    <row r="39" spans="1:38" ht="14.25" customHeight="1" thickTop="1" thickBot="1">
      <c r="A39" s="707" t="s">
        <v>701</v>
      </c>
      <c r="B39" s="708"/>
      <c r="C39" s="708"/>
      <c r="D39" s="708"/>
      <c r="E39" s="709"/>
      <c r="F39" s="459">
        <f>+F37+F36</f>
        <v>9.5182983073249045E-2</v>
      </c>
      <c r="G39" s="460"/>
      <c r="H39" s="461">
        <f>+SUM(H38+H35)</f>
        <v>1267266475</v>
      </c>
      <c r="J39" s="707" t="s">
        <v>701</v>
      </c>
      <c r="K39" s="708"/>
      <c r="L39" s="708"/>
      <c r="M39" s="708"/>
      <c r="N39" s="709"/>
      <c r="O39" s="459">
        <f>+O37+O36</f>
        <v>9.5000000000000001E-2</v>
      </c>
      <c r="P39" s="460"/>
      <c r="Q39" s="461">
        <f>+SUM(Q38+Q35)</f>
        <v>1334631833</v>
      </c>
      <c r="R39" s="248"/>
      <c r="S39" s="707" t="s">
        <v>701</v>
      </c>
      <c r="T39" s="708"/>
      <c r="U39" s="708"/>
      <c r="V39" s="708"/>
      <c r="W39" s="709"/>
      <c r="X39" s="459">
        <f>+X37+X36</f>
        <v>0.1072</v>
      </c>
      <c r="Y39" s="460"/>
      <c r="Z39" s="461">
        <f>+SUM(Z38+Z35)</f>
        <v>1331985916</v>
      </c>
      <c r="AA39" s="248"/>
      <c r="AB39" s="707" t="s">
        <v>701</v>
      </c>
      <c r="AC39" s="708"/>
      <c r="AD39" s="708"/>
      <c r="AE39" s="708"/>
      <c r="AF39" s="709"/>
      <c r="AG39" s="459">
        <f>+AG37+AG36</f>
        <v>9.0999999999999998E-2</v>
      </c>
      <c r="AH39" s="460"/>
      <c r="AI39" s="461">
        <f>+SUM(AI38+AI35)</f>
        <v>1331003813</v>
      </c>
      <c r="AJ39" s="248"/>
    </row>
    <row r="40" spans="1:38" ht="14.25" thickTop="1" thickBot="1">
      <c r="R40" s="248"/>
      <c r="AA40" s="248"/>
      <c r="AJ40" s="248"/>
    </row>
    <row r="41" spans="1:38" ht="13.5" thickBot="1">
      <c r="C41" s="693" t="s">
        <v>771</v>
      </c>
      <c r="D41" s="694"/>
      <c r="F41" s="489">
        <f>ROUND(($H$33/$H$35),4)</f>
        <v>7.2700000000000001E-2</v>
      </c>
      <c r="G41" s="485" t="s">
        <v>97</v>
      </c>
      <c r="H41" s="481">
        <f>ROUND(H35*F41,0)</f>
        <v>84123178</v>
      </c>
      <c r="N41" s="700" t="s">
        <v>768</v>
      </c>
      <c r="O41" s="701"/>
      <c r="P41" s="701"/>
      <c r="Q41" s="702"/>
      <c r="R41" s="248"/>
      <c r="W41" s="700" t="s">
        <v>768</v>
      </c>
      <c r="X41" s="701"/>
      <c r="Y41" s="701"/>
      <c r="Z41" s="702"/>
      <c r="AA41" s="248"/>
      <c r="AF41" s="700" t="s">
        <v>768</v>
      </c>
      <c r="AG41" s="701"/>
      <c r="AH41" s="701"/>
      <c r="AI41" s="702"/>
      <c r="AJ41" s="248"/>
    </row>
    <row r="42" spans="1:38">
      <c r="C42" s="695"/>
      <c r="D42" s="696"/>
      <c r="F42" s="488">
        <v>2.2499999999999999E-2</v>
      </c>
      <c r="G42" s="485" t="s">
        <v>98</v>
      </c>
      <c r="H42" s="481">
        <f>ROUND(H35*F42,0)</f>
        <v>26035371</v>
      </c>
      <c r="J42" s="478"/>
      <c r="N42" s="482"/>
      <c r="O42" s="482"/>
      <c r="P42" s="482"/>
      <c r="Q42" s="482"/>
      <c r="R42" s="483"/>
      <c r="S42" s="484"/>
      <c r="T42" s="484"/>
      <c r="U42" s="484"/>
      <c r="V42" s="484"/>
      <c r="W42" s="482"/>
      <c r="X42" s="482"/>
      <c r="Y42" s="482"/>
      <c r="Z42" s="482"/>
      <c r="AA42" s="483"/>
      <c r="AB42" s="484"/>
      <c r="AC42" s="484"/>
      <c r="AD42" s="484"/>
      <c r="AE42" s="484"/>
      <c r="AF42" s="482"/>
      <c r="AG42" s="482"/>
      <c r="AH42" s="482"/>
      <c r="AI42" s="482"/>
      <c r="AJ42" s="483"/>
      <c r="AK42" s="484"/>
      <c r="AL42" s="484"/>
    </row>
    <row r="43" spans="1:38" ht="13.5" thickBot="1">
      <c r="C43" s="697"/>
      <c r="D43" s="698"/>
      <c r="F43" s="496" t="s">
        <v>700</v>
      </c>
      <c r="G43" s="480"/>
      <c r="H43" s="481">
        <f>+H41+H42</f>
        <v>110158549</v>
      </c>
      <c r="J43" s="478"/>
      <c r="N43" s="482"/>
      <c r="O43" s="482"/>
      <c r="P43" s="482"/>
      <c r="Q43" s="482"/>
      <c r="R43" s="483"/>
      <c r="S43" s="484"/>
      <c r="T43" s="484"/>
      <c r="U43" s="484"/>
      <c r="V43" s="484"/>
      <c r="W43" s="482"/>
      <c r="X43" s="482"/>
      <c r="Y43" s="482"/>
      <c r="Z43" s="482"/>
      <c r="AA43" s="483"/>
      <c r="AB43" s="484"/>
      <c r="AC43" s="484"/>
      <c r="AD43" s="484"/>
      <c r="AE43" s="484"/>
      <c r="AF43" s="482"/>
      <c r="AG43" s="482"/>
      <c r="AH43" s="482"/>
      <c r="AI43" s="482"/>
      <c r="AJ43" s="483"/>
      <c r="AK43" s="484"/>
      <c r="AL43" s="484"/>
    </row>
    <row r="44" spans="1:38">
      <c r="C44" s="699">
        <f>+ABS(H39-H44)/H39</f>
        <v>1.5538168481889335E-5</v>
      </c>
      <c r="D44" s="699"/>
      <c r="F44" s="479">
        <f>+F41+F42</f>
        <v>9.5200000000000007E-2</v>
      </c>
      <c r="G44" s="480"/>
      <c r="H44" s="481">
        <f>+H35+H43</f>
        <v>1267286166</v>
      </c>
      <c r="J44" s="478"/>
      <c r="N44" s="482"/>
      <c r="O44" s="482"/>
      <c r="P44" s="482"/>
      <c r="Q44" s="482"/>
      <c r="R44" s="483"/>
      <c r="S44" s="484"/>
      <c r="T44" s="484"/>
      <c r="U44" s="484"/>
      <c r="V44" s="484"/>
      <c r="W44" s="482"/>
      <c r="X44" s="482"/>
      <c r="Y44" s="482"/>
      <c r="Z44" s="482"/>
      <c r="AA44" s="483"/>
      <c r="AB44" s="484"/>
      <c r="AC44" s="484"/>
      <c r="AD44" s="484"/>
      <c r="AE44" s="484"/>
      <c r="AF44" s="482"/>
      <c r="AG44" s="482"/>
      <c r="AH44" s="482"/>
      <c r="AI44" s="482"/>
      <c r="AJ44" s="483"/>
      <c r="AK44" s="484"/>
      <c r="AL44" s="484"/>
    </row>
    <row r="45" spans="1:38">
      <c r="D45" s="477"/>
      <c r="F45" s="474"/>
      <c r="G45" s="475"/>
      <c r="H45" s="476"/>
      <c r="N45" s="482"/>
      <c r="O45" s="482"/>
      <c r="P45" s="482"/>
      <c r="Q45" s="482"/>
      <c r="R45" s="483"/>
      <c r="S45" s="484"/>
      <c r="T45" s="484"/>
      <c r="U45" s="484"/>
      <c r="V45" s="484"/>
      <c r="W45" s="482"/>
      <c r="X45" s="482"/>
      <c r="Y45" s="482"/>
      <c r="Z45" s="482"/>
      <c r="AA45" s="483"/>
      <c r="AB45" s="484"/>
      <c r="AC45" s="484"/>
      <c r="AD45" s="484"/>
      <c r="AE45" s="484"/>
      <c r="AF45" s="482"/>
      <c r="AG45" s="482"/>
      <c r="AH45" s="482"/>
      <c r="AI45" s="482"/>
      <c r="AJ45" s="483"/>
      <c r="AK45" s="484"/>
      <c r="AL45" s="484"/>
    </row>
    <row r="46" spans="1:38">
      <c r="D46" s="477"/>
      <c r="F46" s="474"/>
      <c r="G46" s="475"/>
      <c r="H46" s="476"/>
      <c r="N46" s="482"/>
      <c r="O46" s="482"/>
      <c r="P46" s="482"/>
      <c r="Q46" s="482"/>
      <c r="R46" s="483"/>
      <c r="S46" s="484"/>
      <c r="T46" s="484"/>
      <c r="U46" s="484"/>
      <c r="V46" s="484"/>
      <c r="W46" s="482"/>
      <c r="X46" s="482"/>
      <c r="Y46" s="482"/>
      <c r="Z46" s="482"/>
      <c r="AA46" s="483"/>
      <c r="AB46" s="484"/>
      <c r="AC46" s="484"/>
      <c r="AD46" s="484"/>
      <c r="AE46" s="484"/>
      <c r="AF46" s="482"/>
      <c r="AG46" s="482"/>
      <c r="AH46" s="482"/>
      <c r="AI46" s="482"/>
      <c r="AJ46" s="483"/>
      <c r="AK46" s="484"/>
      <c r="AL46" s="484"/>
    </row>
    <row r="47" spans="1:38">
      <c r="D47" s="477"/>
      <c r="F47" s="474"/>
      <c r="G47" s="475"/>
      <c r="H47" s="476"/>
      <c r="N47" s="482"/>
      <c r="O47" s="482"/>
      <c r="P47" s="482"/>
      <c r="Q47" s="482"/>
      <c r="R47" s="483"/>
      <c r="S47" s="484"/>
      <c r="T47" s="484"/>
      <c r="U47" s="484"/>
      <c r="V47" s="484"/>
      <c r="W47" s="482"/>
      <c r="X47" s="482"/>
      <c r="Y47" s="482"/>
      <c r="Z47" s="482"/>
      <c r="AA47" s="483"/>
      <c r="AB47" s="484"/>
      <c r="AC47" s="484"/>
      <c r="AD47" s="484"/>
      <c r="AE47" s="484"/>
      <c r="AF47" s="482"/>
      <c r="AG47" s="482"/>
      <c r="AH47" s="482"/>
      <c r="AI47" s="482"/>
      <c r="AJ47" s="483"/>
      <c r="AK47" s="484"/>
      <c r="AL47" s="484"/>
    </row>
    <row r="48" spans="1:38">
      <c r="R48" s="248"/>
      <c r="AA48" s="248"/>
      <c r="AJ48" s="248"/>
    </row>
    <row r="49" spans="7:36" ht="20.25" customHeight="1">
      <c r="G49" s="49" t="s">
        <v>114</v>
      </c>
      <c r="H49" s="42" t="str">
        <f>+IF(H39&gt;'10. EVALUACIÓN'!O6,"NO HABILITADO","OK")</f>
        <v>OK</v>
      </c>
      <c r="P49" s="49" t="s">
        <v>114</v>
      </c>
      <c r="Q49" s="42" t="str">
        <f>+IF(Q39&gt;'10. EVALUACIÓN'!X6,"NO HABILITADO","OK")</f>
        <v>NO HABILITADO</v>
      </c>
      <c r="R49" s="248"/>
      <c r="Y49" s="49" t="s">
        <v>114</v>
      </c>
      <c r="Z49" s="42" t="str">
        <f>+IF(Z39&gt;'10. EVALUACIÓN'!AG6,"NO HABILITADO","OK")</f>
        <v>NO HABILITADO</v>
      </c>
      <c r="AA49" s="248"/>
      <c r="AH49" s="49" t="s">
        <v>114</v>
      </c>
      <c r="AI49" s="42" t="str">
        <f>+IF(AI39&gt;'10. EVALUACIÓN'!AP6,"NO HABILITADO","OK")</f>
        <v>NO HABILITADO</v>
      </c>
      <c r="AJ49" s="248"/>
    </row>
    <row r="50" spans="7:36" ht="20.25" customHeight="1">
      <c r="G50" s="49" t="s">
        <v>115</v>
      </c>
      <c r="H50" s="42" t="str">
        <f>+IF(F36&gt;'10. EVALUACIÓN'!$C$9,"NO HABILITADO","OK")</f>
        <v>OK</v>
      </c>
      <c r="P50" s="49" t="s">
        <v>115</v>
      </c>
      <c r="Q50" s="42" t="str">
        <f>+IF(O36&gt;'10. EVALUACIÓN'!$C$9,"NO HABILITADO","OK")</f>
        <v>OK</v>
      </c>
      <c r="R50" s="248"/>
      <c r="Y50" s="49" t="s">
        <v>115</v>
      </c>
      <c r="Z50" s="42" t="str">
        <f>+IF(X36&gt;'10. EVALUACIÓN'!$C$9,"NO HABILITADO","OK")</f>
        <v>OK</v>
      </c>
      <c r="AA50" s="248"/>
      <c r="AH50" s="49" t="s">
        <v>115</v>
      </c>
      <c r="AI50" s="42" t="str">
        <f>+IF(AG36&gt;'10. EVALUACIÓN'!$C$9,"NO HABILITADO","OK")</f>
        <v>OK</v>
      </c>
      <c r="AJ50" s="248"/>
    </row>
    <row r="51" spans="7:36" ht="20.25" customHeight="1">
      <c r="G51" s="49" t="s">
        <v>133</v>
      </c>
      <c r="H51" s="42" t="str">
        <f>+IF(SUM(I5:I37)&lt;&gt;0,"NO HABILITADO","OK")</f>
        <v>NO HABILITADO</v>
      </c>
      <c r="P51" s="49" t="s">
        <v>133</v>
      </c>
      <c r="Q51" s="42" t="str">
        <f>+IF(SUM(R5:R37)&lt;&gt;0,"NO HABILITADO","OK")</f>
        <v>NO HABILITADO</v>
      </c>
      <c r="R51" s="248"/>
      <c r="Y51" s="49" t="s">
        <v>133</v>
      </c>
      <c r="Z51" s="42" t="str">
        <f>+IF(SUM(AA5:AA37)&lt;&gt;0,"NO HABILITADO","OK")</f>
        <v>NO HABILITADO</v>
      </c>
      <c r="AA51" s="248"/>
      <c r="AH51" s="49" t="s">
        <v>133</v>
      </c>
      <c r="AI51" s="42" t="str">
        <f>+IF(SUM(AJ5:AJ37)&lt;&gt;0,"NO HABILITADO","OK")</f>
        <v>NO HABILITADO</v>
      </c>
      <c r="AJ51" s="248"/>
    </row>
    <row r="55" spans="7:36">
      <c r="H55" s="471"/>
    </row>
  </sheetData>
  <sheetProtection algorithmName="SHA-512" hashValue="yNT9w593D5R33g66VMTYD+vPTZ0LWkNCpeZbj+NwJ/R1shzxvFeItMjy1FUB20BQ6UlpbL8ydSH5wQW7u3eAnA==" saltValue="m4Q8K1ipbVTQXLDHrzohpQ==" spinCount="100000" sheet="1" objects="1" scenarios="1" selectLockedCells="1" selectUnlockedCells="1"/>
  <mergeCells count="21">
    <mergeCell ref="L2:Q2"/>
    <mergeCell ref="J39:N39"/>
    <mergeCell ref="AB2:AC2"/>
    <mergeCell ref="AD2:AI2"/>
    <mergeCell ref="AB39:AF39"/>
    <mergeCell ref="T1:Z1"/>
    <mergeCell ref="AC1:AI1"/>
    <mergeCell ref="C41:D43"/>
    <mergeCell ref="C44:D44"/>
    <mergeCell ref="N41:Q41"/>
    <mergeCell ref="W41:Z41"/>
    <mergeCell ref="AF41:AI41"/>
    <mergeCell ref="B1:H1"/>
    <mergeCell ref="K1:Q1"/>
    <mergeCell ref="S2:T2"/>
    <mergeCell ref="U2:Z2"/>
    <mergeCell ref="S39:W39"/>
    <mergeCell ref="A2:B2"/>
    <mergeCell ref="C2:H2"/>
    <mergeCell ref="A39:E39"/>
    <mergeCell ref="J2:K2"/>
  </mergeCells>
  <pageMargins left="0.70866141732283472" right="0.70866141732283472" top="0.74803149606299213" bottom="0.74803149606299213" header="0.31496062992125984" footer="0.31496062992125984"/>
  <pageSetup paperSize="9" scale="9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23"/>
  <sheetViews>
    <sheetView zoomScale="90" zoomScaleNormal="90" workbookViewId="0">
      <selection activeCell="E27" sqref="E27"/>
    </sheetView>
  </sheetViews>
  <sheetFormatPr baseColWidth="10" defaultColWidth="11.42578125" defaultRowHeight="14.25"/>
  <cols>
    <col min="1" max="1" width="11.5703125" style="5" customWidth="1"/>
    <col min="2" max="2" width="16.5703125" style="5" customWidth="1"/>
    <col min="3" max="3" width="13.42578125" style="5" customWidth="1"/>
    <col min="4" max="4" width="34.140625" style="5" customWidth="1"/>
    <col min="5" max="5" width="18.140625" style="5" customWidth="1"/>
    <col min="6" max="6" width="28.5703125" style="5" customWidth="1"/>
    <col min="7" max="7" width="24.28515625" style="5" customWidth="1"/>
    <col min="8" max="8" width="16.42578125" style="5" customWidth="1"/>
    <col min="9" max="9" width="39.28515625" style="5" customWidth="1"/>
    <col min="10" max="16384" width="11.42578125" style="5"/>
  </cols>
  <sheetData>
    <row r="1" spans="1:9" ht="34.5" customHeight="1">
      <c r="A1" s="532"/>
      <c r="B1" s="524" t="s">
        <v>7</v>
      </c>
      <c r="C1" s="524"/>
      <c r="D1" s="524"/>
      <c r="E1" s="524"/>
      <c r="F1" s="524"/>
      <c r="G1" s="524"/>
      <c r="H1" s="524"/>
      <c r="I1" s="525"/>
    </row>
    <row r="2" spans="1:9" ht="32.25" customHeight="1">
      <c r="A2" s="533"/>
      <c r="B2" s="526" t="str">
        <f>+ENTREGA!A2</f>
        <v>Invitación Pública N° SIU-20230015-01-2019</v>
      </c>
      <c r="C2" s="526"/>
      <c r="D2" s="526"/>
      <c r="E2" s="526"/>
      <c r="F2" s="526"/>
      <c r="G2" s="526"/>
      <c r="H2" s="526"/>
      <c r="I2" s="527"/>
    </row>
    <row r="3" spans="1:9" ht="57" customHeight="1">
      <c r="A3" s="533"/>
      <c r="B3" s="528" t="str">
        <f>+ENTREGA!A3</f>
        <v>OBJETO: “Ejecutar las obras civiles de mantenimiento, adecuaciones, reparaciones, y obras complementarias para la infraestructura de la Biofábrica, por la modalidad de precios unitarios fijos no reajustables, conforme las especificaciones técnicas de construcción del proyecto” proyecto (ver anexo 1)”</v>
      </c>
      <c r="C3" s="528"/>
      <c r="D3" s="528"/>
      <c r="E3" s="528"/>
      <c r="F3" s="528"/>
      <c r="G3" s="528"/>
      <c r="H3" s="528"/>
      <c r="I3" s="529"/>
    </row>
    <row r="4" spans="1:9" ht="18" customHeight="1">
      <c r="A4" s="537" t="s">
        <v>70</v>
      </c>
      <c r="B4" s="538"/>
      <c r="C4" s="538"/>
      <c r="D4" s="538"/>
      <c r="E4" s="538"/>
      <c r="F4" s="538"/>
      <c r="G4" s="538"/>
      <c r="H4" s="538"/>
      <c r="I4" s="539"/>
    </row>
    <row r="5" spans="1:9" ht="33" customHeight="1">
      <c r="A5" s="534" t="s">
        <v>851</v>
      </c>
      <c r="B5" s="535"/>
      <c r="C5" s="536"/>
      <c r="D5" s="154"/>
      <c r="E5" s="155"/>
      <c r="F5" s="155"/>
      <c r="G5" s="155"/>
      <c r="H5" s="155"/>
      <c r="I5" s="156"/>
    </row>
    <row r="6" spans="1:9" ht="45">
      <c r="A6" s="43" t="s">
        <v>45</v>
      </c>
      <c r="B6" s="43" t="s">
        <v>46</v>
      </c>
      <c r="C6" s="44" t="s">
        <v>47</v>
      </c>
      <c r="D6" s="43" t="s">
        <v>41</v>
      </c>
      <c r="E6" s="44" t="s">
        <v>48</v>
      </c>
      <c r="F6" s="44" t="s">
        <v>49</v>
      </c>
      <c r="G6" s="44" t="s">
        <v>50</v>
      </c>
      <c r="H6" s="44" t="s">
        <v>51</v>
      </c>
      <c r="I6" s="44" t="s">
        <v>19</v>
      </c>
    </row>
    <row r="7" spans="1:9" ht="42" customHeight="1">
      <c r="A7" s="50">
        <f>IF(ENTREGA!A7="","",ENTREGA!A7)</f>
        <v>1</v>
      </c>
      <c r="B7" s="119">
        <v>2019005592</v>
      </c>
      <c r="C7" s="464">
        <v>0.41739583333333335</v>
      </c>
      <c r="D7" s="45" t="str">
        <f>IF(A7="","",VLOOKUP(A7,ENTREGA!$A$7:$B$21,2,FALSE))</f>
        <v xml:space="preserve">GUSTAVO ADOLFO CARMONA ALARCÓN </v>
      </c>
      <c r="E7" s="122">
        <v>71577370</v>
      </c>
      <c r="F7" s="465" t="str">
        <f>[4]ENTREGA!B7</f>
        <v xml:space="preserve">GUSTAVO ADOLFO CARMONA ALARCÓN </v>
      </c>
      <c r="G7" s="123" t="s">
        <v>709</v>
      </c>
      <c r="H7" s="124">
        <v>1272213196</v>
      </c>
      <c r="I7" s="125"/>
    </row>
    <row r="8" spans="1:9" ht="42" customHeight="1">
      <c r="A8" s="50">
        <f>IF(ENTREGA!A8="","",ENTREGA!A8)</f>
        <v>2</v>
      </c>
      <c r="B8" s="120">
        <v>2019005593</v>
      </c>
      <c r="C8" s="464">
        <v>0.41775462962962967</v>
      </c>
      <c r="D8" s="45" t="str">
        <f>IF(A8="","",VLOOKUP(A8,ENTREGA!$A$7:$B$21,2,FALSE))</f>
        <v>CONSTRUCTORES E INGENIEROS UNIDOS S.A.S (CONINSAS)</v>
      </c>
      <c r="E8" s="126" t="s">
        <v>705</v>
      </c>
      <c r="F8" s="466" t="s">
        <v>707</v>
      </c>
      <c r="G8" s="127" t="s">
        <v>710</v>
      </c>
      <c r="H8" s="128">
        <v>1337086580</v>
      </c>
      <c r="I8" s="125"/>
    </row>
    <row r="9" spans="1:9" ht="42" customHeight="1">
      <c r="A9" s="50">
        <f>IF(ENTREGA!A9="","",ENTREGA!A9)</f>
        <v>3</v>
      </c>
      <c r="B9" s="120">
        <v>2019005594</v>
      </c>
      <c r="C9" s="464">
        <v>0.41859953703703701</v>
      </c>
      <c r="D9" s="45" t="str">
        <f>IF(A9="","",VLOOKUP(A9,ENTREGA!$A$7:$B$21,2,FALSE))</f>
        <v>ADMINISTRACCIÓN PUBLICA COOPERATIVA DE DEPARTAMENTOS Y MUNICIPIOS DE COLOMBIA (CODENCO)</v>
      </c>
      <c r="E9" s="126" t="s">
        <v>706</v>
      </c>
      <c r="F9" s="466" t="s">
        <v>708</v>
      </c>
      <c r="G9" s="127" t="s">
        <v>711</v>
      </c>
      <c r="H9" s="128">
        <v>1338843142</v>
      </c>
      <c r="I9" s="125"/>
    </row>
    <row r="10" spans="1:9" ht="42" customHeight="1">
      <c r="A10" s="50">
        <f>IF(ENTREGA!A10="","",ENTREGA!A10)</f>
        <v>4</v>
      </c>
      <c r="B10" s="120">
        <v>2019005595</v>
      </c>
      <c r="C10" s="464">
        <v>0.41998842592592589</v>
      </c>
      <c r="D10" s="45" t="str">
        <f>IF(A10="","",VLOOKUP(A10,ENTREGA!$A$7:$B$21,2,FALSE))</f>
        <v>GUSTAVO ENRIQUE CARDONA VERGARA</v>
      </c>
      <c r="E10" s="126">
        <v>73581245</v>
      </c>
      <c r="F10" s="466" t="str">
        <f>[4]ENTREGA!B10</f>
        <v>GUSTAVO ENRIQUE CARDONA VERGARA</v>
      </c>
      <c r="G10" s="127" t="s">
        <v>712</v>
      </c>
      <c r="H10" s="128">
        <v>1333321785</v>
      </c>
      <c r="I10" s="125"/>
    </row>
    <row r="11" spans="1:9" ht="42" hidden="1" customHeight="1">
      <c r="A11" s="50" t="str">
        <f>IF(ENTREGA!A11="","",ENTREGA!A11)</f>
        <v/>
      </c>
      <c r="B11" s="120"/>
      <c r="C11" s="121"/>
      <c r="D11" s="45" t="str">
        <f>IF(A11="","",VLOOKUP(A11,ENTREGA!$A$7:$B$21,2,FALSE))</f>
        <v/>
      </c>
      <c r="E11" s="126"/>
      <c r="F11" s="123"/>
      <c r="G11" s="127"/>
      <c r="H11" s="128"/>
      <c r="I11" s="125"/>
    </row>
    <row r="12" spans="1:9" ht="54" hidden="1" customHeight="1">
      <c r="A12" s="50" t="str">
        <f>IF(ENTREGA!A12="","",ENTREGA!A12)</f>
        <v/>
      </c>
      <c r="B12" s="120"/>
      <c r="C12" s="121"/>
      <c r="D12" s="45" t="str">
        <f>IF(A12="","",VLOOKUP(A12,ENTREGA!$A$7:$B$21,2,FALSE))</f>
        <v/>
      </c>
      <c r="E12" s="126"/>
      <c r="F12" s="127"/>
      <c r="G12" s="127"/>
      <c r="H12" s="128"/>
      <c r="I12" s="125"/>
    </row>
    <row r="13" spans="1:9" ht="42" hidden="1" customHeight="1">
      <c r="A13" s="50" t="str">
        <f>IF(ENTREGA!A13="","",ENTREGA!A13)</f>
        <v/>
      </c>
      <c r="B13" s="120"/>
      <c r="C13" s="121"/>
      <c r="D13" s="45" t="str">
        <f>IF(A13="","",VLOOKUP(A13,ENTREGA!$A$7:$B$21,2,FALSE))</f>
        <v/>
      </c>
      <c r="E13" s="126"/>
      <c r="F13" s="127"/>
      <c r="G13" s="127"/>
      <c r="H13" s="128"/>
      <c r="I13" s="125"/>
    </row>
    <row r="14" spans="1:9" ht="42" hidden="1" customHeight="1">
      <c r="A14" s="50" t="str">
        <f>IF(ENTREGA!A14="","",ENTREGA!A14)</f>
        <v/>
      </c>
      <c r="B14" s="120"/>
      <c r="C14" s="121"/>
      <c r="D14" s="45" t="str">
        <f>IF(A14="","",VLOOKUP(A14,ENTREGA!$A$7:$B$21,2,FALSE))</f>
        <v/>
      </c>
      <c r="E14" s="126"/>
      <c r="F14" s="127"/>
      <c r="G14" s="127"/>
      <c r="H14" s="128"/>
      <c r="I14" s="125"/>
    </row>
    <row r="15" spans="1:9" ht="42" hidden="1" customHeight="1">
      <c r="A15" s="50" t="str">
        <f>IF(ENTREGA!A15="","",ENTREGA!A15)</f>
        <v/>
      </c>
      <c r="B15" s="120"/>
      <c r="C15" s="121"/>
      <c r="D15" s="45" t="str">
        <f>IF(A15="","",VLOOKUP(A15,ENTREGA!$A$7:$B$21,2,FALSE))</f>
        <v/>
      </c>
      <c r="E15" s="126"/>
      <c r="F15" s="123"/>
      <c r="G15" s="127"/>
      <c r="H15" s="128"/>
      <c r="I15" s="125"/>
    </row>
    <row r="16" spans="1:9" ht="42" hidden="1" customHeight="1">
      <c r="A16" s="50" t="str">
        <f>IF(ENTREGA!A16="","",ENTREGA!A16)</f>
        <v/>
      </c>
      <c r="B16" s="120"/>
      <c r="C16" s="121"/>
      <c r="D16" s="45" t="str">
        <f>IF(A16="","",VLOOKUP(A16,ENTREGA!$A$7:$B$21,2,FALSE))</f>
        <v/>
      </c>
      <c r="E16" s="126"/>
      <c r="F16" s="127"/>
      <c r="G16" s="127"/>
      <c r="H16" s="128"/>
      <c r="I16" s="129"/>
    </row>
    <row r="17" spans="1:9" ht="42" hidden="1" customHeight="1">
      <c r="A17" s="50" t="str">
        <f>IF(ENTREGA!A17="","",ENTREGA!A17)</f>
        <v/>
      </c>
      <c r="B17" s="120"/>
      <c r="C17" s="121"/>
      <c r="D17" s="45" t="str">
        <f>IF(A17="","",VLOOKUP(A17,ENTREGA!$A$7:$B$21,2,FALSE))</f>
        <v/>
      </c>
      <c r="E17" s="126"/>
      <c r="F17" s="127"/>
      <c r="G17" s="127"/>
      <c r="H17" s="128"/>
      <c r="I17" s="125"/>
    </row>
    <row r="18" spans="1:9" ht="42" hidden="1" customHeight="1">
      <c r="A18" s="50" t="str">
        <f>IF(ENTREGA!A18="","",ENTREGA!A18)</f>
        <v/>
      </c>
      <c r="B18" s="120"/>
      <c r="C18" s="121"/>
      <c r="D18" s="45" t="str">
        <f>IF(A18="","",VLOOKUP(A18,ENTREGA!$A$7:$B$21,2,FALSE))</f>
        <v/>
      </c>
      <c r="E18" s="126"/>
      <c r="F18" s="127"/>
      <c r="G18" s="127"/>
      <c r="H18" s="128"/>
      <c r="I18" s="125"/>
    </row>
    <row r="19" spans="1:9" ht="42" hidden="1" customHeight="1">
      <c r="A19" s="50" t="str">
        <f>IF(ENTREGA!A19="","",ENTREGA!A19)</f>
        <v/>
      </c>
      <c r="B19" s="120"/>
      <c r="C19" s="121"/>
      <c r="D19" s="45" t="str">
        <f>IF(A19="","",VLOOKUP(A19,ENTREGA!$A$7:$B$21,2,FALSE))</f>
        <v/>
      </c>
      <c r="E19" s="126"/>
      <c r="F19" s="123"/>
      <c r="G19" s="127"/>
      <c r="H19" s="128"/>
      <c r="I19" s="125"/>
    </row>
    <row r="20" spans="1:9" ht="42" hidden="1" customHeight="1">
      <c r="A20" s="50" t="str">
        <f>IF(ENTREGA!A20="","",ENTREGA!A20)</f>
        <v/>
      </c>
      <c r="B20" s="120"/>
      <c r="C20" s="121"/>
      <c r="D20" s="45" t="str">
        <f>IF(A20="","",VLOOKUP(A20,ENTREGA!$A$7:$B$21,2,FALSE))</f>
        <v/>
      </c>
      <c r="E20" s="126"/>
      <c r="F20" s="123"/>
      <c r="G20" s="127"/>
      <c r="H20" s="128"/>
      <c r="I20" s="125"/>
    </row>
    <row r="21" spans="1:9" ht="42" hidden="1" customHeight="1">
      <c r="A21" s="50" t="str">
        <f>IF(ENTREGA!A21="","",ENTREGA!A21)</f>
        <v/>
      </c>
      <c r="B21" s="120"/>
      <c r="C21" s="121"/>
      <c r="D21" s="45" t="str">
        <f>IF(A21="","",VLOOKUP(A21,ENTREGA!$A$7:$B$21,2,FALSE))</f>
        <v/>
      </c>
      <c r="E21" s="126"/>
      <c r="F21" s="127"/>
      <c r="G21" s="127"/>
      <c r="H21" s="128"/>
      <c r="I21" s="125"/>
    </row>
    <row r="22" spans="1:9">
      <c r="A22" s="46"/>
      <c r="B22" s="46"/>
      <c r="C22" s="46"/>
      <c r="D22" s="46"/>
      <c r="E22" s="46"/>
      <c r="F22" s="46"/>
      <c r="G22" s="46"/>
      <c r="H22" s="46"/>
      <c r="I22" s="46"/>
    </row>
    <row r="23" spans="1:9" ht="34.5" customHeight="1">
      <c r="A23" s="530" t="s">
        <v>109</v>
      </c>
      <c r="B23" s="530"/>
      <c r="C23" s="530"/>
      <c r="D23" s="531"/>
      <c r="E23" s="531"/>
      <c r="F23" s="531"/>
      <c r="G23" s="531"/>
      <c r="H23" s="531"/>
      <c r="I23" s="531"/>
    </row>
  </sheetData>
  <sheetProtection algorithmName="SHA-512" hashValue="zMkr/Gx3a50nyeyCV3DHFDrJresf7UKCK5LaHsftRp6MdOdKfzNS11NeqZXdwILQgECgnngMOZzqxSnfUWZhpg==" saltValue="hbQp2fMs8Pe+Q3kc3yQOtA==" spinCount="100000" sheet="1" objects="1" scenarios="1" selectLockedCells="1" selectUnlockedCells="1"/>
  <mergeCells count="7">
    <mergeCell ref="B1:I1"/>
    <mergeCell ref="B2:I2"/>
    <mergeCell ref="B3:I3"/>
    <mergeCell ref="A23:I23"/>
    <mergeCell ref="A1:A3"/>
    <mergeCell ref="A5:C5"/>
    <mergeCell ref="A4:I4"/>
  </mergeCells>
  <printOptions horizontalCentered="1"/>
  <pageMargins left="0.59055118110236227" right="0.39370078740157483" top="0.59055118110236227" bottom="0.39370078740157483" header="0.31496062992125984" footer="0.31496062992125984"/>
  <pageSetup scale="66"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40"/>
  <sheetViews>
    <sheetView view="pageBreakPreview" topLeftCell="B1" zoomScale="80" zoomScaleNormal="25" zoomScaleSheetLayoutView="80" workbookViewId="0">
      <pane xSplit="1" topLeftCell="C1" activePane="topRight" state="frozen"/>
      <selection activeCell="B1" sqref="B1"/>
      <selection pane="topRight" activeCell="C9" sqref="C9"/>
    </sheetView>
  </sheetViews>
  <sheetFormatPr baseColWidth="10" defaultColWidth="11.42578125" defaultRowHeight="14.25"/>
  <cols>
    <col min="1" max="1" width="10.5703125" style="157" customWidth="1"/>
    <col min="2" max="2" width="60.28515625" style="158" customWidth="1"/>
    <col min="3" max="6" width="66.5703125" style="158" customWidth="1"/>
    <col min="7" max="17" width="66.5703125" style="158" hidden="1" customWidth="1"/>
    <col min="18" max="16384" width="11.42578125" style="158"/>
  </cols>
  <sheetData>
    <row r="1" spans="1:17" ht="41.25" customHeight="1">
      <c r="B1" s="540" t="s">
        <v>124</v>
      </c>
      <c r="C1" s="540"/>
      <c r="D1" s="540"/>
      <c r="E1" s="540"/>
      <c r="F1" s="540"/>
      <c r="G1" s="540"/>
      <c r="H1" s="540"/>
      <c r="I1" s="540"/>
      <c r="J1" s="540"/>
      <c r="K1" s="540"/>
      <c r="L1" s="540"/>
      <c r="M1" s="540"/>
      <c r="N1" s="540"/>
      <c r="O1" s="540"/>
      <c r="P1" s="540"/>
      <c r="Q1" s="540"/>
    </row>
    <row r="2" spans="1:17" ht="15.75">
      <c r="A2" s="159"/>
      <c r="B2" s="224"/>
      <c r="C2" s="224"/>
      <c r="D2" s="224"/>
      <c r="E2" s="224"/>
      <c r="F2" s="224"/>
      <c r="G2" s="224"/>
      <c r="H2" s="224"/>
      <c r="I2" s="224"/>
      <c r="J2" s="224"/>
      <c r="K2" s="224"/>
      <c r="L2" s="224"/>
      <c r="M2" s="224"/>
      <c r="N2" s="224"/>
      <c r="O2" s="224"/>
      <c r="P2" s="224"/>
      <c r="Q2" s="224"/>
    </row>
    <row r="3" spans="1:17" s="157" customFormat="1" ht="15">
      <c r="A3" s="160"/>
      <c r="B3" s="225" t="s">
        <v>34</v>
      </c>
      <c r="C3" s="226">
        <f>ENTREGA!A7</f>
        <v>1</v>
      </c>
      <c r="D3" s="226">
        <f>+ENTREGA!A8</f>
        <v>2</v>
      </c>
      <c r="E3" s="226">
        <f>+ENTREGA!A9</f>
        <v>3</v>
      </c>
      <c r="F3" s="226">
        <f>+ENTREGA!A10</f>
        <v>4</v>
      </c>
      <c r="G3" s="226">
        <f>+ENTREGA!A11</f>
        <v>0</v>
      </c>
      <c r="H3" s="226">
        <f>+ENTREGA!A12</f>
        <v>0</v>
      </c>
      <c r="I3" s="226">
        <f>+ENTREGA!A13</f>
        <v>0</v>
      </c>
      <c r="J3" s="226">
        <f>+ENTREGA!A14</f>
        <v>0</v>
      </c>
      <c r="K3" s="226">
        <f>+ENTREGA!A15</f>
        <v>0</v>
      </c>
      <c r="L3" s="226">
        <f>+ENTREGA!A16</f>
        <v>0</v>
      </c>
      <c r="M3" s="226">
        <f>+ENTREGA!A17</f>
        <v>0</v>
      </c>
      <c r="N3" s="226">
        <f>+ENTREGA!A18</f>
        <v>0</v>
      </c>
      <c r="O3" s="226">
        <f>+ENTREGA!A19</f>
        <v>0</v>
      </c>
      <c r="P3" s="226">
        <f>+ENTREGA!A20</f>
        <v>0</v>
      </c>
      <c r="Q3" s="226">
        <f>+ENTREGA!A21</f>
        <v>0</v>
      </c>
    </row>
    <row r="4" spans="1:17" s="157" customFormat="1" ht="30">
      <c r="A4" s="160"/>
      <c r="B4" s="225" t="s">
        <v>41</v>
      </c>
      <c r="C4" s="226" t="str">
        <f>+VLOOKUP(C3,'APERTURA DE SOBRES'!$A$7:$E$21,4,FALSE)</f>
        <v xml:space="preserve">GUSTAVO ADOLFO CARMONA ALARCÓN </v>
      </c>
      <c r="D4" s="226" t="str">
        <f>+VLOOKUP(D3,'APERTURA DE SOBRES'!$A$7:$E$21,4,FALSE)</f>
        <v>CONSTRUCTORES E INGENIEROS UNIDOS S.A.S (CONINSAS)</v>
      </c>
      <c r="E4" s="226" t="str">
        <f>+VLOOKUP(E3,'APERTURA DE SOBRES'!$A$7:$E$21,4,FALSE)</f>
        <v>ADMINISTRACCIÓN PUBLICA COOPERATIVA DE DEPARTAMENTOS Y MUNICIPIOS DE COLOMBIA (CODENCO)</v>
      </c>
      <c r="F4" s="226" t="str">
        <f>+VLOOKUP(F3,'APERTURA DE SOBRES'!$A$7:$E$21,4,FALSE)</f>
        <v>GUSTAVO ENRIQUE CARDONA VERGARA</v>
      </c>
      <c r="G4" s="226" t="e">
        <f>+VLOOKUP(G3,'APERTURA DE SOBRES'!$A$7:$E$21,4,FALSE)</f>
        <v>#N/A</v>
      </c>
      <c r="H4" s="226" t="e">
        <f>+VLOOKUP(H3,'APERTURA DE SOBRES'!$A$7:$E$21,4,FALSE)</f>
        <v>#N/A</v>
      </c>
      <c r="I4" s="226" t="e">
        <f>+VLOOKUP(I3,'APERTURA DE SOBRES'!$A$7:$E$21,4,FALSE)</f>
        <v>#N/A</v>
      </c>
      <c r="J4" s="226" t="e">
        <f>+VLOOKUP(J3,'APERTURA DE SOBRES'!$A$7:$E$21,4,FALSE)</f>
        <v>#N/A</v>
      </c>
      <c r="K4" s="226" t="e">
        <f>+VLOOKUP(K3,'APERTURA DE SOBRES'!$A$7:$E$21,4,FALSE)</f>
        <v>#N/A</v>
      </c>
      <c r="L4" s="226" t="e">
        <f>+VLOOKUP(L3,'APERTURA DE SOBRES'!$A$7:$E$21,4,FALSE)</f>
        <v>#N/A</v>
      </c>
      <c r="M4" s="226" t="e">
        <f>+VLOOKUP(M3,'APERTURA DE SOBRES'!$A$7:$E$21,4,FALSE)</f>
        <v>#N/A</v>
      </c>
      <c r="N4" s="226" t="e">
        <f>+VLOOKUP(N3,'APERTURA DE SOBRES'!$A$7:$E$21,4,FALSE)</f>
        <v>#N/A</v>
      </c>
      <c r="O4" s="226" t="e">
        <f>+VLOOKUP(O3,'APERTURA DE SOBRES'!$A$7:$E$21,4,FALSE)</f>
        <v>#N/A</v>
      </c>
      <c r="P4" s="226" t="e">
        <f>+VLOOKUP(P3,'APERTURA DE SOBRES'!$A$7:$E$21,4,FALSE)</f>
        <v>#N/A</v>
      </c>
      <c r="Q4" s="226" t="e">
        <f>+VLOOKUP(Q3,'APERTURA DE SOBRES'!$A$7:$E$21,4,FALSE)</f>
        <v>#N/A</v>
      </c>
    </row>
    <row r="5" spans="1:17" s="157" customFormat="1" ht="20.25" customHeight="1">
      <c r="A5" s="160"/>
      <c r="B5" s="225" t="s">
        <v>57</v>
      </c>
      <c r="C5" s="227">
        <f>+VLOOKUP(C3,'APERTURA DE SOBRES'!$A$7:$E$21,5,FALSE)</f>
        <v>71577370</v>
      </c>
      <c r="D5" s="227" t="str">
        <f>+VLOOKUP(D3,'APERTURA DE SOBRES'!$A$7:$E$21,5,FALSE)</f>
        <v>900.342.026-3</v>
      </c>
      <c r="E5" s="227" t="str">
        <f>+VLOOKUP(E3,'APERTURA DE SOBRES'!$A$7:$E$21,5,FALSE)</f>
        <v>820.003.227-3</v>
      </c>
      <c r="F5" s="227">
        <f>+VLOOKUP(F3,'APERTURA DE SOBRES'!$A$7:$E$21,5,FALSE)</f>
        <v>73581245</v>
      </c>
      <c r="G5" s="227" t="e">
        <f>+VLOOKUP(G3,'APERTURA DE SOBRES'!$A$7:$E$21,5,FALSE)</f>
        <v>#N/A</v>
      </c>
      <c r="H5" s="227" t="e">
        <f>+VLOOKUP(H3,'APERTURA DE SOBRES'!$A$7:$E$21,5,FALSE)</f>
        <v>#N/A</v>
      </c>
      <c r="I5" s="227" t="e">
        <f>+VLOOKUP(I3,'APERTURA DE SOBRES'!$A$7:$E$21,5,FALSE)</f>
        <v>#N/A</v>
      </c>
      <c r="J5" s="227" t="e">
        <f>+VLOOKUP(J3,'APERTURA DE SOBRES'!$A$7:$E$21,5,FALSE)</f>
        <v>#N/A</v>
      </c>
      <c r="K5" s="227" t="e">
        <f>+VLOOKUP(K3,'APERTURA DE SOBRES'!$A$7:$E$21,5,FALSE)</f>
        <v>#N/A</v>
      </c>
      <c r="L5" s="227" t="e">
        <f>+VLOOKUP(L3,'APERTURA DE SOBRES'!$A$7:$E$21,5,FALSE)</f>
        <v>#N/A</v>
      </c>
      <c r="M5" s="227" t="e">
        <f>+VLOOKUP(M3,'APERTURA DE SOBRES'!$A$7:$E$21,5,FALSE)</f>
        <v>#N/A</v>
      </c>
      <c r="N5" s="227" t="e">
        <f>+VLOOKUP(N3,'APERTURA DE SOBRES'!$A$7:$E$21,5,FALSE)</f>
        <v>#N/A</v>
      </c>
      <c r="O5" s="227" t="e">
        <f>+VLOOKUP(O3,'APERTURA DE SOBRES'!$A$7:$E$21,5,FALSE)</f>
        <v>#N/A</v>
      </c>
      <c r="P5" s="227" t="e">
        <f>+VLOOKUP(P3,'APERTURA DE SOBRES'!$A$7:$E$21,5,FALSE)</f>
        <v>#N/A</v>
      </c>
      <c r="Q5" s="227" t="e">
        <f>+VLOOKUP(Q3,'APERTURA DE SOBRES'!$A$7:$E$21,5,FALSE)</f>
        <v>#N/A</v>
      </c>
    </row>
    <row r="6" spans="1:17" ht="34.5" customHeight="1">
      <c r="A6" s="161"/>
      <c r="B6" s="162" t="s">
        <v>772</v>
      </c>
      <c r="C6" s="163"/>
      <c r="D6" s="163"/>
      <c r="E6" s="163"/>
      <c r="G6" s="163"/>
      <c r="H6" s="163"/>
      <c r="I6" s="163"/>
      <c r="J6" s="163"/>
      <c r="K6" s="163"/>
      <c r="L6" s="163"/>
      <c r="M6" s="163"/>
      <c r="N6" s="163"/>
      <c r="O6" s="163"/>
      <c r="P6" s="163"/>
      <c r="Q6" s="163"/>
    </row>
    <row r="7" spans="1:17" ht="71.25" customHeight="1">
      <c r="A7" s="164" t="s">
        <v>18</v>
      </c>
      <c r="B7" s="173" t="s">
        <v>773</v>
      </c>
      <c r="C7" s="500" t="s">
        <v>796</v>
      </c>
      <c r="D7" s="499"/>
      <c r="E7" s="499"/>
      <c r="F7" s="509" t="s">
        <v>837</v>
      </c>
      <c r="G7" s="165"/>
      <c r="H7" s="165"/>
      <c r="I7" s="165"/>
      <c r="J7" s="165"/>
      <c r="K7" s="165"/>
      <c r="L7" s="165"/>
      <c r="M7" s="165"/>
      <c r="N7" s="165"/>
      <c r="O7" s="165"/>
      <c r="P7" s="165"/>
      <c r="Q7" s="165"/>
    </row>
    <row r="8" spans="1:17" ht="89.25">
      <c r="A8" s="166">
        <v>1</v>
      </c>
      <c r="B8" s="173" t="s">
        <v>774</v>
      </c>
      <c r="C8" s="174" t="s">
        <v>797</v>
      </c>
      <c r="D8" s="168"/>
      <c r="E8" s="169"/>
      <c r="F8" s="501" t="s">
        <v>838</v>
      </c>
      <c r="G8" s="169"/>
      <c r="H8" s="170"/>
      <c r="I8" s="169"/>
      <c r="J8" s="171"/>
      <c r="K8" s="169"/>
      <c r="L8" s="172"/>
      <c r="M8" s="172"/>
      <c r="N8" s="172"/>
      <c r="O8" s="169"/>
      <c r="P8" s="169"/>
      <c r="Q8" s="169"/>
    </row>
    <row r="9" spans="1:17" ht="76.5">
      <c r="A9" s="166">
        <v>2</v>
      </c>
      <c r="B9" s="173" t="s">
        <v>775</v>
      </c>
      <c r="C9" s="174" t="s">
        <v>848</v>
      </c>
      <c r="D9" s="168"/>
      <c r="E9" s="175"/>
      <c r="F9" s="180" t="s">
        <v>839</v>
      </c>
      <c r="G9" s="175"/>
      <c r="H9" s="176"/>
      <c r="I9" s="175"/>
      <c r="J9" s="177"/>
      <c r="K9" s="175"/>
      <c r="L9" s="178"/>
      <c r="M9" s="178"/>
      <c r="N9" s="178"/>
      <c r="O9" s="175"/>
      <c r="P9" s="175"/>
      <c r="Q9" s="175"/>
    </row>
    <row r="10" spans="1:17" ht="51">
      <c r="A10" s="166">
        <v>3</v>
      </c>
      <c r="B10" s="173" t="s">
        <v>776</v>
      </c>
      <c r="C10" s="174" t="s">
        <v>798</v>
      </c>
      <c r="D10" s="168"/>
      <c r="E10" s="169"/>
      <c r="F10" s="508"/>
      <c r="G10" s="169"/>
      <c r="H10" s="170"/>
      <c r="I10" s="169"/>
      <c r="J10" s="177"/>
      <c r="K10" s="169"/>
      <c r="L10" s="178"/>
      <c r="M10" s="178"/>
      <c r="N10" s="178"/>
      <c r="O10" s="169"/>
      <c r="P10" s="169"/>
      <c r="Q10" s="169"/>
    </row>
    <row r="11" spans="1:17" ht="25.5">
      <c r="A11" s="166">
        <v>4</v>
      </c>
      <c r="B11" s="167" t="s">
        <v>777</v>
      </c>
      <c r="C11" s="174" t="s">
        <v>799</v>
      </c>
      <c r="D11" s="168"/>
      <c r="E11" s="175"/>
      <c r="F11" s="180" t="s">
        <v>840</v>
      </c>
      <c r="G11" s="175"/>
      <c r="H11" s="170"/>
      <c r="I11" s="175"/>
      <c r="J11" s="177"/>
      <c r="K11" s="175"/>
      <c r="L11" s="172"/>
      <c r="M11" s="172"/>
      <c r="N11" s="178"/>
      <c r="O11" s="175"/>
      <c r="P11" s="175"/>
      <c r="Q11" s="175"/>
    </row>
    <row r="12" spans="1:17" ht="25.5">
      <c r="A12" s="166">
        <v>5</v>
      </c>
      <c r="B12" s="167" t="s">
        <v>778</v>
      </c>
      <c r="C12" s="174" t="s">
        <v>800</v>
      </c>
      <c r="D12" s="168"/>
      <c r="E12" s="179"/>
      <c r="F12" s="180" t="s">
        <v>841</v>
      </c>
      <c r="G12" s="179"/>
      <c r="H12" s="170"/>
      <c r="I12" s="179"/>
      <c r="J12" s="177"/>
      <c r="K12" s="179"/>
      <c r="L12" s="178"/>
      <c r="M12" s="178"/>
      <c r="N12" s="178"/>
      <c r="O12" s="179"/>
      <c r="P12" s="179"/>
      <c r="Q12" s="179"/>
    </row>
    <row r="13" spans="1:17" ht="25.5">
      <c r="A13" s="166">
        <v>6</v>
      </c>
      <c r="B13" s="173" t="s">
        <v>20</v>
      </c>
      <c r="C13" s="174" t="s">
        <v>801</v>
      </c>
      <c r="D13" s="168"/>
      <c r="E13" s="179"/>
      <c r="F13" s="180" t="s">
        <v>842</v>
      </c>
      <c r="G13" s="179"/>
      <c r="H13" s="180"/>
      <c r="I13" s="179"/>
      <c r="J13" s="177"/>
      <c r="K13" s="179"/>
      <c r="L13" s="178"/>
      <c r="M13" s="178"/>
      <c r="N13" s="178"/>
      <c r="O13" s="179"/>
      <c r="P13" s="179"/>
      <c r="Q13" s="179"/>
    </row>
    <row r="14" spans="1:17" ht="38.25">
      <c r="A14" s="166">
        <v>7</v>
      </c>
      <c r="B14" s="173" t="s">
        <v>779</v>
      </c>
      <c r="C14" s="502" t="s">
        <v>802</v>
      </c>
      <c r="D14" s="168"/>
      <c r="E14" s="181"/>
      <c r="F14" s="510" t="s">
        <v>850</v>
      </c>
      <c r="G14" s="182"/>
      <c r="H14" s="180"/>
      <c r="I14" s="182"/>
      <c r="J14" s="183"/>
      <c r="K14" s="182"/>
      <c r="L14" s="179"/>
      <c r="M14" s="179"/>
      <c r="N14" s="169"/>
      <c r="O14" s="182"/>
      <c r="P14" s="182"/>
      <c r="Q14" s="182"/>
    </row>
    <row r="15" spans="1:17">
      <c r="A15" s="166">
        <v>8</v>
      </c>
      <c r="B15" s="173" t="s">
        <v>780</v>
      </c>
      <c r="C15" s="503" t="s">
        <v>803</v>
      </c>
      <c r="D15" s="168"/>
      <c r="E15" s="184"/>
      <c r="F15" s="180" t="s">
        <v>843</v>
      </c>
      <c r="G15" s="185"/>
      <c r="H15" s="180"/>
      <c r="I15" s="185"/>
      <c r="J15" s="183"/>
      <c r="K15" s="185"/>
      <c r="L15" s="186"/>
      <c r="M15" s="186"/>
      <c r="N15" s="172"/>
      <c r="O15" s="185"/>
      <c r="P15" s="184"/>
      <c r="Q15" s="185"/>
    </row>
    <row r="16" spans="1:17" ht="114.75">
      <c r="A16" s="166">
        <v>8</v>
      </c>
      <c r="B16" s="173" t="s">
        <v>781</v>
      </c>
      <c r="C16" s="503" t="s">
        <v>804</v>
      </c>
      <c r="D16" s="168"/>
      <c r="E16" s="184"/>
      <c r="F16" s="180" t="s">
        <v>844</v>
      </c>
      <c r="G16" s="185"/>
      <c r="H16" s="180"/>
      <c r="I16" s="185"/>
      <c r="J16" s="183"/>
      <c r="K16" s="185"/>
      <c r="L16" s="186"/>
      <c r="M16" s="186"/>
      <c r="N16" s="172"/>
      <c r="O16" s="185"/>
      <c r="P16" s="184"/>
      <c r="Q16" s="185"/>
    </row>
    <row r="17" spans="1:17" ht="25.5">
      <c r="A17" s="166">
        <v>9</v>
      </c>
      <c r="B17" s="173" t="s">
        <v>85</v>
      </c>
      <c r="C17" s="174" t="s">
        <v>805</v>
      </c>
      <c r="D17" s="168"/>
      <c r="E17" s="169"/>
      <c r="F17" s="180" t="s">
        <v>845</v>
      </c>
      <c r="G17" s="169"/>
      <c r="H17" s="183"/>
      <c r="I17" s="169"/>
      <c r="J17" s="183"/>
      <c r="K17" s="169"/>
      <c r="L17" s="172"/>
      <c r="M17" s="172"/>
      <c r="N17" s="172"/>
      <c r="O17" s="169"/>
      <c r="P17" s="169"/>
      <c r="Q17" s="169"/>
    </row>
    <row r="18" spans="1:17">
      <c r="A18" s="166">
        <v>10</v>
      </c>
      <c r="B18" s="173" t="s">
        <v>52</v>
      </c>
      <c r="C18" s="174" t="s">
        <v>806</v>
      </c>
      <c r="D18" s="168"/>
      <c r="E18" s="169"/>
      <c r="F18" s="180" t="s">
        <v>846</v>
      </c>
      <c r="G18" s="169"/>
      <c r="H18" s="183"/>
      <c r="I18" s="169"/>
      <c r="J18" s="183"/>
      <c r="K18" s="169"/>
      <c r="L18" s="172"/>
      <c r="M18" s="172"/>
      <c r="N18" s="172"/>
      <c r="O18" s="169"/>
      <c r="P18" s="169"/>
      <c r="Q18" s="169"/>
    </row>
    <row r="19" spans="1:17">
      <c r="A19" s="166">
        <v>11</v>
      </c>
      <c r="B19" s="173" t="s">
        <v>86</v>
      </c>
      <c r="C19" s="174" t="s">
        <v>807</v>
      </c>
      <c r="D19" s="168"/>
      <c r="E19" s="169"/>
      <c r="F19" s="180" t="s">
        <v>846</v>
      </c>
      <c r="G19" s="169"/>
      <c r="H19" s="183"/>
      <c r="I19" s="169"/>
      <c r="J19" s="183"/>
      <c r="K19" s="169"/>
      <c r="L19" s="172"/>
      <c r="M19" s="172"/>
      <c r="N19" s="172"/>
      <c r="O19" s="169"/>
      <c r="P19" s="169"/>
      <c r="Q19" s="169"/>
    </row>
    <row r="20" spans="1:17" ht="15.75" customHeight="1">
      <c r="A20" s="166">
        <v>12</v>
      </c>
      <c r="B20" s="173" t="s">
        <v>54</v>
      </c>
      <c r="C20" s="504" t="s">
        <v>808</v>
      </c>
      <c r="D20" s="168"/>
      <c r="E20" s="187"/>
      <c r="F20" s="511">
        <v>136755662.90000001</v>
      </c>
      <c r="G20" s="187"/>
      <c r="H20" s="183"/>
      <c r="I20" s="187"/>
      <c r="J20" s="188"/>
      <c r="K20" s="187"/>
      <c r="L20" s="189"/>
      <c r="M20" s="189"/>
      <c r="N20" s="190"/>
      <c r="O20" s="187"/>
      <c r="P20" s="187"/>
      <c r="Q20" s="187"/>
    </row>
    <row r="21" spans="1:17">
      <c r="A21" s="166">
        <v>13</v>
      </c>
      <c r="B21" s="173" t="s">
        <v>56</v>
      </c>
      <c r="C21" s="505" t="s">
        <v>809</v>
      </c>
      <c r="D21" s="168"/>
      <c r="E21" s="191"/>
      <c r="F21" s="180" t="s">
        <v>847</v>
      </c>
      <c r="G21" s="191"/>
      <c r="H21" s="180"/>
      <c r="I21" s="191"/>
      <c r="J21" s="188"/>
      <c r="K21" s="191"/>
      <c r="L21" s="190"/>
      <c r="M21" s="190"/>
      <c r="N21" s="190"/>
      <c r="O21" s="191"/>
      <c r="P21" s="191"/>
      <c r="Q21" s="191"/>
    </row>
    <row r="22" spans="1:17">
      <c r="A22" s="192"/>
      <c r="B22" s="193"/>
      <c r="C22" s="193"/>
      <c r="D22" s="194"/>
      <c r="E22" s="195"/>
      <c r="F22" s="195"/>
      <c r="G22" s="196"/>
      <c r="H22" s="195"/>
      <c r="I22" s="196"/>
      <c r="J22" s="196"/>
      <c r="K22" s="196"/>
      <c r="L22" s="197"/>
      <c r="M22" s="197"/>
      <c r="N22" s="197"/>
      <c r="O22" s="197"/>
      <c r="P22" s="197"/>
      <c r="Q22" s="197"/>
    </row>
    <row r="23" spans="1:17" ht="15.75">
      <c r="A23" s="198" t="s">
        <v>18</v>
      </c>
      <c r="B23" s="199" t="s">
        <v>782</v>
      </c>
      <c r="C23" s="200"/>
      <c r="D23" s="201"/>
      <c r="E23" s="168"/>
      <c r="F23" s="168"/>
      <c r="G23" s="168"/>
      <c r="H23" s="168"/>
      <c r="I23" s="188"/>
      <c r="J23" s="188"/>
      <c r="K23" s="188"/>
      <c r="L23" s="202"/>
      <c r="M23" s="202"/>
      <c r="N23" s="202"/>
      <c r="O23" s="202"/>
      <c r="P23" s="202"/>
      <c r="Q23" s="202"/>
    </row>
    <row r="24" spans="1:17" ht="216.75">
      <c r="A24" s="203">
        <v>1</v>
      </c>
      <c r="B24" s="204" t="s">
        <v>783</v>
      </c>
      <c r="C24" s="190"/>
      <c r="D24" s="186" t="s">
        <v>810</v>
      </c>
      <c r="E24" s="506" t="s">
        <v>811</v>
      </c>
      <c r="F24" s="205"/>
      <c r="G24" s="206"/>
      <c r="H24" s="205"/>
      <c r="I24" s="188"/>
      <c r="J24" s="207"/>
      <c r="K24" s="188"/>
      <c r="L24" s="207"/>
      <c r="M24" s="207"/>
      <c r="N24" s="207"/>
      <c r="O24" s="208"/>
      <c r="P24" s="208"/>
      <c r="Q24" s="209"/>
    </row>
    <row r="25" spans="1:17" ht="89.25">
      <c r="A25" s="203">
        <v>2</v>
      </c>
      <c r="B25" s="210" t="s">
        <v>784</v>
      </c>
      <c r="C25" s="190"/>
      <c r="D25" s="186" t="s">
        <v>812</v>
      </c>
      <c r="E25" s="186" t="s">
        <v>813</v>
      </c>
      <c r="F25" s="182"/>
      <c r="G25" s="206"/>
      <c r="H25" s="182"/>
      <c r="I25" s="188"/>
      <c r="J25" s="182"/>
      <c r="K25" s="188"/>
      <c r="L25" s="209"/>
      <c r="M25" s="209"/>
      <c r="N25" s="209"/>
      <c r="O25" s="208"/>
      <c r="P25" s="208"/>
      <c r="Q25" s="207"/>
    </row>
    <row r="26" spans="1:17" ht="63.75">
      <c r="A26" s="203">
        <v>3</v>
      </c>
      <c r="B26" s="210" t="s">
        <v>785</v>
      </c>
      <c r="C26" s="186"/>
      <c r="D26" s="186" t="s">
        <v>814</v>
      </c>
      <c r="E26" s="186" t="s">
        <v>815</v>
      </c>
      <c r="F26" s="205"/>
      <c r="G26" s="211"/>
      <c r="H26" s="205"/>
      <c r="I26" s="212"/>
      <c r="J26" s="205"/>
      <c r="K26" s="212"/>
      <c r="L26" s="205"/>
      <c r="M26" s="205"/>
      <c r="N26" s="205"/>
      <c r="O26" s="213"/>
      <c r="P26" s="213"/>
      <c r="Q26" s="205"/>
    </row>
    <row r="27" spans="1:17" ht="38.25">
      <c r="A27" s="203">
        <v>4</v>
      </c>
      <c r="B27" s="214" t="s">
        <v>786</v>
      </c>
      <c r="C27" s="172"/>
      <c r="D27" s="186" t="s">
        <v>816</v>
      </c>
      <c r="E27" s="186" t="s">
        <v>817</v>
      </c>
      <c r="F27" s="191"/>
      <c r="G27" s="211"/>
      <c r="H27" s="191"/>
      <c r="I27" s="212"/>
      <c r="J27" s="191"/>
      <c r="K27" s="212"/>
      <c r="L27" s="191"/>
      <c r="M27" s="191"/>
      <c r="N27" s="191"/>
      <c r="O27" s="215"/>
      <c r="P27" s="215"/>
      <c r="Q27" s="191"/>
    </row>
    <row r="28" spans="1:17" ht="38.25">
      <c r="A28" s="203">
        <v>5</v>
      </c>
      <c r="B28" s="214" t="s">
        <v>787</v>
      </c>
      <c r="C28" s="190"/>
      <c r="D28" s="186" t="s">
        <v>818</v>
      </c>
      <c r="E28" s="186" t="s">
        <v>819</v>
      </c>
      <c r="F28" s="205"/>
      <c r="G28" s="211"/>
      <c r="H28" s="205"/>
      <c r="I28" s="216"/>
      <c r="J28" s="205"/>
      <c r="K28" s="216"/>
      <c r="L28" s="205"/>
      <c r="M28" s="205"/>
      <c r="N28" s="205"/>
      <c r="O28" s="208"/>
      <c r="P28" s="208"/>
      <c r="Q28" s="205"/>
    </row>
    <row r="29" spans="1:17" ht="62.25" customHeight="1">
      <c r="A29" s="203">
        <v>6</v>
      </c>
      <c r="B29" s="214" t="s">
        <v>788</v>
      </c>
      <c r="C29" s="190"/>
      <c r="D29" s="186" t="s">
        <v>820</v>
      </c>
      <c r="E29" s="186" t="s">
        <v>821</v>
      </c>
      <c r="F29" s="205"/>
      <c r="G29" s="206"/>
      <c r="H29" s="205"/>
      <c r="I29" s="188"/>
      <c r="J29" s="205"/>
      <c r="K29" s="206"/>
      <c r="L29" s="205"/>
      <c r="M29" s="205"/>
      <c r="N29" s="205"/>
      <c r="O29" s="190"/>
      <c r="P29" s="190"/>
      <c r="Q29" s="205"/>
    </row>
    <row r="30" spans="1:17" ht="51">
      <c r="A30" s="203">
        <v>7</v>
      </c>
      <c r="B30" s="214" t="s">
        <v>789</v>
      </c>
      <c r="C30" s="190"/>
      <c r="D30" s="186" t="s">
        <v>822</v>
      </c>
      <c r="E30" s="186" t="s">
        <v>823</v>
      </c>
      <c r="F30" s="182"/>
      <c r="G30" s="180"/>
      <c r="H30" s="182"/>
      <c r="I30" s="180"/>
      <c r="J30" s="182"/>
      <c r="K30" s="180"/>
      <c r="L30" s="181"/>
      <c r="M30" s="182"/>
      <c r="N30" s="182"/>
      <c r="O30" s="190"/>
      <c r="P30" s="190"/>
      <c r="Q30" s="182"/>
    </row>
    <row r="31" spans="1:17" ht="21.75" customHeight="1">
      <c r="A31" s="217">
        <v>9</v>
      </c>
      <c r="B31" s="214" t="s">
        <v>790</v>
      </c>
      <c r="C31" s="189"/>
      <c r="D31" s="186" t="s">
        <v>824</v>
      </c>
      <c r="E31" s="186" t="s">
        <v>825</v>
      </c>
      <c r="F31" s="169"/>
      <c r="G31" s="183"/>
      <c r="H31" s="169"/>
      <c r="I31" s="218"/>
      <c r="J31" s="169"/>
      <c r="K31" s="219"/>
      <c r="L31" s="169"/>
      <c r="M31" s="169"/>
      <c r="N31" s="169"/>
      <c r="O31" s="190"/>
      <c r="P31" s="190"/>
      <c r="Q31" s="169"/>
    </row>
    <row r="32" spans="1:17" ht="38.25">
      <c r="A32" s="217">
        <v>10</v>
      </c>
      <c r="B32" s="214" t="s">
        <v>791</v>
      </c>
      <c r="C32" s="189"/>
      <c r="D32" s="186" t="s">
        <v>826</v>
      </c>
      <c r="E32" s="186" t="s">
        <v>827</v>
      </c>
      <c r="F32" s="169"/>
      <c r="G32" s="183"/>
      <c r="H32" s="169"/>
      <c r="I32" s="218"/>
      <c r="J32" s="169"/>
      <c r="K32" s="219"/>
      <c r="L32" s="169"/>
      <c r="M32" s="169"/>
      <c r="N32" s="169"/>
      <c r="O32" s="190"/>
      <c r="P32" s="190"/>
      <c r="Q32" s="169"/>
    </row>
    <row r="33" spans="1:17" ht="38.25">
      <c r="A33" s="217">
        <v>11</v>
      </c>
      <c r="B33" s="214" t="s">
        <v>792</v>
      </c>
      <c r="C33" s="189"/>
      <c r="D33" s="186" t="s">
        <v>828</v>
      </c>
      <c r="E33" s="507" t="s">
        <v>849</v>
      </c>
      <c r="F33" s="169"/>
      <c r="G33" s="218"/>
      <c r="H33" s="169"/>
      <c r="I33" s="218"/>
      <c r="J33" s="169"/>
      <c r="K33" s="219"/>
      <c r="L33" s="169"/>
      <c r="M33" s="169"/>
      <c r="N33" s="169"/>
      <c r="O33" s="190"/>
      <c r="P33" s="190"/>
      <c r="Q33" s="169"/>
    </row>
    <row r="34" spans="1:17">
      <c r="A34" s="217">
        <v>12</v>
      </c>
      <c r="B34" s="214" t="s">
        <v>793</v>
      </c>
      <c r="C34" s="189"/>
      <c r="D34" s="186" t="s">
        <v>829</v>
      </c>
      <c r="E34" s="186" t="s">
        <v>830</v>
      </c>
      <c r="F34" s="187"/>
      <c r="G34" s="220"/>
      <c r="H34" s="187"/>
      <c r="I34" s="220"/>
      <c r="J34" s="187"/>
      <c r="K34" s="221"/>
      <c r="L34" s="187"/>
      <c r="M34" s="187"/>
      <c r="N34" s="187"/>
      <c r="O34" s="190"/>
      <c r="P34" s="190"/>
      <c r="Q34" s="187"/>
    </row>
    <row r="35" spans="1:17" ht="140.25">
      <c r="A35" s="217">
        <v>13</v>
      </c>
      <c r="B35" s="214" t="s">
        <v>794</v>
      </c>
      <c r="C35" s="190"/>
      <c r="D35" s="186" t="s">
        <v>831</v>
      </c>
      <c r="E35" s="186" t="s">
        <v>832</v>
      </c>
      <c r="F35" s="191"/>
      <c r="G35" s="220"/>
      <c r="H35" s="191"/>
      <c r="I35" s="222"/>
      <c r="J35" s="191"/>
      <c r="K35" s="188"/>
      <c r="L35" s="191"/>
      <c r="M35" s="191"/>
      <c r="N35" s="191"/>
      <c r="O35" s="190"/>
      <c r="P35" s="190"/>
      <c r="Q35" s="191"/>
    </row>
    <row r="36" spans="1:17" ht="25.5">
      <c r="B36" s="498" t="s">
        <v>795</v>
      </c>
      <c r="D36" s="186" t="s">
        <v>833</v>
      </c>
      <c r="E36" s="186" t="s">
        <v>834</v>
      </c>
      <c r="F36" s="253"/>
      <c r="G36" s="223"/>
      <c r="H36" s="223"/>
      <c r="I36" s="223"/>
      <c r="J36" s="223"/>
      <c r="K36" s="223"/>
    </row>
    <row r="37" spans="1:17" ht="25.5">
      <c r="B37" s="498" t="s">
        <v>52</v>
      </c>
      <c r="D37" s="186" t="s">
        <v>833</v>
      </c>
      <c r="E37" s="186" t="s">
        <v>834</v>
      </c>
    </row>
    <row r="38" spans="1:17" ht="25.5">
      <c r="B38" s="498" t="s">
        <v>53</v>
      </c>
      <c r="D38" s="186" t="s">
        <v>833</v>
      </c>
      <c r="E38" s="186" t="s">
        <v>834</v>
      </c>
    </row>
    <row r="39" spans="1:17" ht="25.5">
      <c r="B39" s="498" t="s">
        <v>54</v>
      </c>
      <c r="D39" s="186" t="s">
        <v>835</v>
      </c>
      <c r="E39" s="186" t="s">
        <v>834</v>
      </c>
    </row>
    <row r="40" spans="1:17" ht="25.5">
      <c r="B40" s="498" t="s">
        <v>56</v>
      </c>
      <c r="D40" s="186" t="s">
        <v>836</v>
      </c>
      <c r="E40" s="186" t="s">
        <v>834</v>
      </c>
    </row>
  </sheetData>
  <sheetProtection algorithmName="SHA-512" hashValue="Ag7azaU6B7c2ghNy6FPmwQwJGQMfIffk/g4rdKYu4hGRwUjgXO1cuVe69VkOiq9CFAamd4pD26Cvn5bWLZM/pA==" saltValue="kqzCXm9A3fLBR/6uT8ArdQ==" spinCount="100000" sheet="1" objects="1" scenarios="1" selectLockedCells="1" selectUnlockedCells="1"/>
  <mergeCells count="1">
    <mergeCell ref="B1:Q1"/>
  </mergeCells>
  <printOptions horizontalCentered="1"/>
  <pageMargins left="0.39370078740157483" right="0.19685039370078741" top="0.39370078740157483" bottom="0.39370078740157483" header="0.31496062992125984" footer="0.31496062992125984"/>
  <pageSetup scale="56" orientation="portrait" horizontalDpi="300" verticalDpi="300" r:id="rId1"/>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N160"/>
  <sheetViews>
    <sheetView zoomScale="70" zoomScaleNormal="70" zoomScaleSheetLayoutView="25" workbookViewId="0">
      <selection activeCell="N3" sqref="N3"/>
    </sheetView>
  </sheetViews>
  <sheetFormatPr baseColWidth="10" defaultColWidth="11.42578125" defaultRowHeight="15"/>
  <cols>
    <col min="1" max="1" width="34" style="76" customWidth="1"/>
    <col min="2" max="2" width="7.42578125" style="76" customWidth="1"/>
    <col min="3" max="3" width="27.85546875" style="76" customWidth="1"/>
    <col min="4" max="4" width="17" style="76" customWidth="1"/>
    <col min="5" max="5" width="41.28515625" style="112" customWidth="1"/>
    <col min="6" max="6" width="29.42578125" style="113" customWidth="1"/>
    <col min="7" max="7" width="16.7109375" style="113" customWidth="1"/>
    <col min="8" max="9" width="16.7109375" style="76" customWidth="1"/>
    <col min="10" max="10" width="18.42578125" style="76" bestFit="1" customWidth="1"/>
    <col min="11" max="11" width="33.28515625" style="76" customWidth="1"/>
    <col min="12" max="12" width="27.28515625" style="76" bestFit="1" customWidth="1"/>
    <col min="13" max="16384" width="11.42578125" style="76"/>
  </cols>
  <sheetData>
    <row r="1" spans="1:14" ht="23.25">
      <c r="A1" s="556" t="s">
        <v>125</v>
      </c>
      <c r="B1" s="556"/>
      <c r="C1" s="556"/>
      <c r="D1" s="556"/>
      <c r="E1" s="556"/>
      <c r="F1" s="556"/>
      <c r="G1" s="556"/>
      <c r="H1" s="556"/>
      <c r="I1" s="556"/>
      <c r="J1" s="556"/>
      <c r="K1" s="556"/>
    </row>
    <row r="2" spans="1:14" s="83" customFormat="1" ht="12.75" customHeight="1">
      <c r="A2" s="94"/>
      <c r="B2" s="94"/>
      <c r="C2" s="95"/>
      <c r="D2" s="95"/>
      <c r="E2" s="95"/>
      <c r="F2" s="95"/>
      <c r="G2" s="95"/>
      <c r="H2" s="95"/>
      <c r="I2" s="76"/>
      <c r="J2" s="76"/>
      <c r="K2" s="76"/>
      <c r="L2" s="76"/>
      <c r="M2" s="76"/>
    </row>
    <row r="3" spans="1:14" s="83" customFormat="1" ht="114.6" customHeight="1">
      <c r="A3" s="567" t="s">
        <v>145</v>
      </c>
      <c r="B3" s="567"/>
      <c r="C3" s="567"/>
      <c r="D3" s="567"/>
      <c r="E3" s="567"/>
      <c r="F3" s="567"/>
      <c r="G3" s="567"/>
      <c r="H3" s="567"/>
      <c r="I3" s="567"/>
      <c r="J3" s="567"/>
      <c r="K3" s="567"/>
      <c r="L3" s="76"/>
      <c r="M3" s="76"/>
    </row>
    <row r="4" spans="1:14" s="83" customFormat="1" ht="12.75" customHeight="1">
      <c r="A4" s="565"/>
      <c r="B4" s="565"/>
      <c r="C4" s="565"/>
      <c r="D4" s="565"/>
      <c r="E4" s="565"/>
      <c r="F4" s="565"/>
      <c r="G4" s="565"/>
      <c r="H4" s="565"/>
      <c r="I4" s="565"/>
      <c r="J4" s="76"/>
      <c r="K4" s="76"/>
      <c r="L4" s="76"/>
      <c r="M4" s="76"/>
      <c r="N4" s="76"/>
    </row>
    <row r="5" spans="1:14" s="83" customFormat="1" ht="18" customHeight="1">
      <c r="A5" s="560" t="s">
        <v>127</v>
      </c>
      <c r="B5" s="561"/>
      <c r="C5" s="96" t="s">
        <v>128</v>
      </c>
      <c r="G5" s="557" t="s">
        <v>42</v>
      </c>
      <c r="H5" s="557"/>
      <c r="I5" s="558" t="s">
        <v>0</v>
      </c>
      <c r="J5" s="558"/>
      <c r="K5" s="97" t="s">
        <v>1</v>
      </c>
      <c r="L5" s="76"/>
    </row>
    <row r="6" spans="1:14" s="83" customFormat="1" ht="48" customHeight="1">
      <c r="A6" s="562">
        <v>828116</v>
      </c>
      <c r="B6" s="563"/>
      <c r="C6" s="114">
        <v>2</v>
      </c>
      <c r="G6" s="557"/>
      <c r="H6" s="557"/>
      <c r="I6" s="559">
        <v>1367556629</v>
      </c>
      <c r="J6" s="559"/>
      <c r="K6" s="98">
        <f>+ROUND(I6/$A$6,0)</f>
        <v>1651</v>
      </c>
      <c r="L6" s="76"/>
    </row>
    <row r="7" spans="1:14" s="83" customFormat="1" ht="12.75" customHeight="1">
      <c r="A7" s="99"/>
      <c r="B7" s="99"/>
      <c r="C7" s="100"/>
      <c r="D7" s="101"/>
      <c r="E7" s="102"/>
      <c r="F7" s="76"/>
      <c r="G7" s="76"/>
      <c r="H7" s="76"/>
      <c r="I7" s="103"/>
      <c r="J7" s="76"/>
      <c r="K7" s="76"/>
      <c r="L7" s="76"/>
      <c r="M7" s="76"/>
    </row>
    <row r="8" spans="1:14" s="83" customFormat="1" ht="18.75">
      <c r="A8" s="547" t="s">
        <v>21</v>
      </c>
      <c r="B8" s="547"/>
      <c r="C8" s="543" t="s">
        <v>43</v>
      </c>
      <c r="D8" s="544"/>
      <c r="E8" s="544"/>
      <c r="F8" s="544"/>
      <c r="G8" s="544"/>
      <c r="H8" s="544"/>
      <c r="I8" s="544"/>
      <c r="J8" s="545"/>
      <c r="K8" s="554" t="s">
        <v>19</v>
      </c>
      <c r="L8" s="76"/>
      <c r="M8" s="76"/>
    </row>
    <row r="9" spans="1:14" s="83" customFormat="1" ht="70.5" customHeight="1">
      <c r="A9" s="566"/>
      <c r="B9" s="547"/>
      <c r="C9" s="104" t="s">
        <v>22</v>
      </c>
      <c r="D9" s="104" t="s">
        <v>23</v>
      </c>
      <c r="E9" s="104" t="s">
        <v>24</v>
      </c>
      <c r="F9" s="104" t="s">
        <v>25</v>
      </c>
      <c r="G9" s="104" t="s">
        <v>26</v>
      </c>
      <c r="H9" s="104" t="s">
        <v>27</v>
      </c>
      <c r="I9" s="104" t="s">
        <v>28</v>
      </c>
      <c r="J9" s="104" t="s">
        <v>99</v>
      </c>
      <c r="K9" s="555"/>
      <c r="L9" s="76"/>
      <c r="M9" s="76"/>
    </row>
    <row r="10" spans="1:14" s="83" customFormat="1" ht="47.25">
      <c r="A10" s="105">
        <f>+IF(ENTREGA!A7="","",ENTREGA!A7)</f>
        <v>1</v>
      </c>
      <c r="B10" s="106">
        <v>1</v>
      </c>
      <c r="C10" s="115">
        <v>1</v>
      </c>
      <c r="D10" s="115">
        <v>6</v>
      </c>
      <c r="E10" s="115" t="s">
        <v>713</v>
      </c>
      <c r="F10" s="115" t="s">
        <v>714</v>
      </c>
      <c r="G10" s="116">
        <v>3626.29</v>
      </c>
      <c r="H10" s="115" t="s">
        <v>715</v>
      </c>
      <c r="I10" s="117">
        <v>0.6</v>
      </c>
      <c r="J10" s="118" t="s">
        <v>716</v>
      </c>
      <c r="K10" s="115"/>
    </row>
    <row r="11" spans="1:14" s="83" customFormat="1" ht="31.5">
      <c r="A11" s="541" t="str">
        <f>IF(A10="","",VLOOKUP(A10,ENTREGA!$A$7:$B$21,2,FALSE))</f>
        <v xml:space="preserve">GUSTAVO ADOLFO CARMONA ALARCÓN </v>
      </c>
      <c r="B11" s="106">
        <v>2</v>
      </c>
      <c r="C11" s="115">
        <v>2</v>
      </c>
      <c r="D11" s="115">
        <v>8</v>
      </c>
      <c r="E11" s="115" t="s">
        <v>717</v>
      </c>
      <c r="F11" s="115" t="s">
        <v>714</v>
      </c>
      <c r="G11" s="116">
        <v>3640.14</v>
      </c>
      <c r="H11" s="115" t="s">
        <v>718</v>
      </c>
      <c r="I11" s="117">
        <v>0.6</v>
      </c>
      <c r="J11" s="118" t="s">
        <v>719</v>
      </c>
      <c r="K11" s="115"/>
    </row>
    <row r="12" spans="1:14" s="83" customFormat="1" ht="31.5">
      <c r="A12" s="541"/>
      <c r="B12" s="106">
        <v>3</v>
      </c>
      <c r="C12" s="115">
        <v>3</v>
      </c>
      <c r="D12" s="115">
        <v>10</v>
      </c>
      <c r="E12" s="467" t="s">
        <v>720</v>
      </c>
      <c r="F12" s="115" t="s">
        <v>721</v>
      </c>
      <c r="G12" s="116">
        <v>1037.58</v>
      </c>
      <c r="H12" s="115" t="s">
        <v>722</v>
      </c>
      <c r="I12" s="117">
        <v>1</v>
      </c>
      <c r="J12" s="118" t="s">
        <v>723</v>
      </c>
      <c r="K12" s="115"/>
    </row>
    <row r="13" spans="1:14" s="83" customFormat="1" ht="47.25">
      <c r="A13" s="541"/>
      <c r="B13" s="106">
        <v>4</v>
      </c>
      <c r="C13" s="115">
        <v>32</v>
      </c>
      <c r="D13" s="115">
        <v>39</v>
      </c>
      <c r="E13" s="115">
        <v>4600055640</v>
      </c>
      <c r="F13" s="115" t="s">
        <v>724</v>
      </c>
      <c r="G13" s="116">
        <v>3258.89</v>
      </c>
      <c r="H13" s="115" t="s">
        <v>722</v>
      </c>
      <c r="I13" s="117">
        <v>1</v>
      </c>
      <c r="J13" s="118" t="s">
        <v>725</v>
      </c>
      <c r="K13" s="115"/>
    </row>
    <row r="14" spans="1:14" s="83" customFormat="1" ht="31.5">
      <c r="A14" s="541"/>
      <c r="B14" s="106">
        <v>5</v>
      </c>
      <c r="C14" s="115">
        <v>35</v>
      </c>
      <c r="D14" s="115">
        <v>45</v>
      </c>
      <c r="E14" s="115" t="s">
        <v>726</v>
      </c>
      <c r="F14" s="115" t="s">
        <v>727</v>
      </c>
      <c r="G14" s="116">
        <v>5959.01</v>
      </c>
      <c r="H14" s="115" t="s">
        <v>722</v>
      </c>
      <c r="I14" s="117">
        <v>1</v>
      </c>
      <c r="J14" s="118" t="s">
        <v>728</v>
      </c>
      <c r="K14" s="115"/>
    </row>
    <row r="15" spans="1:14" s="83" customFormat="1" ht="15.75" customHeight="1">
      <c r="A15" s="541"/>
      <c r="B15" s="107"/>
      <c r="C15" s="546" t="s">
        <v>29</v>
      </c>
      <c r="D15" s="546"/>
      <c r="E15" s="546"/>
      <c r="F15" s="546"/>
      <c r="G15" s="108">
        <f>+SUM(G10*I10,G11*I11,G12*I12,G13*I13,G14*I14)</f>
        <v>14615.338</v>
      </c>
      <c r="H15" s="564" t="str">
        <f>+IF(G16&gt;$C$6,"CUMPLE","NO CUMPLE")</f>
        <v>CUMPLE</v>
      </c>
      <c r="I15" s="564"/>
      <c r="J15" s="564"/>
      <c r="K15" s="564"/>
    </row>
    <row r="16" spans="1:14" s="83" customFormat="1" ht="15.75" customHeight="1">
      <c r="A16" s="542"/>
      <c r="B16" s="107"/>
      <c r="C16" s="546" t="s">
        <v>33</v>
      </c>
      <c r="D16" s="546"/>
      <c r="E16" s="546"/>
      <c r="F16" s="546"/>
      <c r="G16" s="109">
        <f>+G15/$K$6</f>
        <v>8.8524155057540881</v>
      </c>
      <c r="H16" s="564"/>
      <c r="I16" s="564"/>
      <c r="J16" s="564"/>
      <c r="K16" s="564"/>
    </row>
    <row r="17" spans="1:13" ht="15.75">
      <c r="A17" s="99"/>
      <c r="B17" s="99"/>
      <c r="C17" s="99"/>
      <c r="D17" s="99"/>
      <c r="E17" s="99"/>
      <c r="F17" s="99"/>
      <c r="G17" s="99"/>
      <c r="H17" s="99"/>
      <c r="I17" s="99"/>
    </row>
    <row r="18" spans="1:13" s="83" customFormat="1" ht="18.75">
      <c r="A18" s="547" t="s">
        <v>21</v>
      </c>
      <c r="B18" s="547"/>
      <c r="C18" s="543" t="s">
        <v>43</v>
      </c>
      <c r="D18" s="544"/>
      <c r="E18" s="544"/>
      <c r="F18" s="544"/>
      <c r="G18" s="544"/>
      <c r="H18" s="544"/>
      <c r="I18" s="544"/>
      <c r="J18" s="545"/>
      <c r="K18" s="554" t="s">
        <v>19</v>
      </c>
      <c r="L18" s="76"/>
    </row>
    <row r="19" spans="1:13" s="83" customFormat="1" ht="70.5" customHeight="1">
      <c r="A19" s="547"/>
      <c r="B19" s="547"/>
      <c r="C19" s="104" t="s">
        <v>22</v>
      </c>
      <c r="D19" s="104" t="s">
        <v>23</v>
      </c>
      <c r="E19" s="104" t="s">
        <v>24</v>
      </c>
      <c r="F19" s="104" t="s">
        <v>25</v>
      </c>
      <c r="G19" s="104" t="s">
        <v>26</v>
      </c>
      <c r="H19" s="104" t="s">
        <v>27</v>
      </c>
      <c r="I19" s="104" t="s">
        <v>28</v>
      </c>
      <c r="J19" s="104" t="s">
        <v>99</v>
      </c>
      <c r="K19" s="555"/>
      <c r="L19" s="76"/>
    </row>
    <row r="20" spans="1:13" s="83" customFormat="1" ht="31.5">
      <c r="A20" s="105">
        <f>+IF(ENTREGA!A8="","",ENTREGA!A8)</f>
        <v>2</v>
      </c>
      <c r="B20" s="110">
        <v>1</v>
      </c>
      <c r="C20" s="115">
        <v>27</v>
      </c>
      <c r="D20" s="115">
        <v>36</v>
      </c>
      <c r="E20" s="115" t="s">
        <v>729</v>
      </c>
      <c r="F20" s="115" t="s">
        <v>730</v>
      </c>
      <c r="G20" s="116">
        <v>1648.06</v>
      </c>
      <c r="H20" s="115" t="s">
        <v>715</v>
      </c>
      <c r="I20" s="117">
        <v>0.9</v>
      </c>
      <c r="J20" s="118" t="s">
        <v>731</v>
      </c>
      <c r="K20" s="115"/>
    </row>
    <row r="21" spans="1:13" s="83" customFormat="1" ht="30" customHeight="1">
      <c r="A21" s="541" t="str">
        <f>IF(A20="","",VLOOKUP(A20,ENTREGA!$A$7:$B$21,2,FALSE))</f>
        <v>CONSTRUCTORES E INGENIEROS UNIDOS S.A.S (CONINSAS)</v>
      </c>
      <c r="B21" s="110">
        <v>2</v>
      </c>
      <c r="C21" s="115">
        <v>45</v>
      </c>
      <c r="D21" s="115">
        <v>42</v>
      </c>
      <c r="E21" s="115" t="s">
        <v>732</v>
      </c>
      <c r="F21" s="115" t="s">
        <v>733</v>
      </c>
      <c r="G21" s="116">
        <v>154.72999999999999</v>
      </c>
      <c r="H21" s="115" t="s">
        <v>722</v>
      </c>
      <c r="I21" s="117">
        <v>1</v>
      </c>
      <c r="J21" s="118" t="s">
        <v>734</v>
      </c>
      <c r="K21" s="115"/>
    </row>
    <row r="22" spans="1:13" s="83" customFormat="1" ht="31.5">
      <c r="A22" s="541"/>
      <c r="B22" s="110">
        <v>3</v>
      </c>
      <c r="C22" s="115">
        <v>64</v>
      </c>
      <c r="D22" s="115">
        <v>57</v>
      </c>
      <c r="E22" s="115" t="s">
        <v>735</v>
      </c>
      <c r="F22" s="115" t="s">
        <v>736</v>
      </c>
      <c r="G22" s="116">
        <v>3359.91</v>
      </c>
      <c r="H22" s="115" t="s">
        <v>715</v>
      </c>
      <c r="I22" s="117">
        <v>0.6</v>
      </c>
      <c r="J22" s="118" t="s">
        <v>734</v>
      </c>
      <c r="K22" s="115"/>
    </row>
    <row r="23" spans="1:13" s="83" customFormat="1" ht="47.25">
      <c r="A23" s="541"/>
      <c r="B23" s="110">
        <v>4</v>
      </c>
      <c r="C23" s="115">
        <v>87</v>
      </c>
      <c r="D23" s="115">
        <v>71</v>
      </c>
      <c r="E23" s="115" t="s">
        <v>737</v>
      </c>
      <c r="F23" s="115" t="s">
        <v>738</v>
      </c>
      <c r="G23" s="116">
        <v>619.14</v>
      </c>
      <c r="H23" s="115" t="s">
        <v>715</v>
      </c>
      <c r="I23" s="117">
        <v>0.25</v>
      </c>
      <c r="J23" s="118" t="s">
        <v>739</v>
      </c>
      <c r="K23" s="115"/>
    </row>
    <row r="24" spans="1:13" s="83" customFormat="1" ht="17.25">
      <c r="A24" s="541"/>
      <c r="B24" s="110">
        <v>5</v>
      </c>
      <c r="C24" s="115"/>
      <c r="D24" s="115"/>
      <c r="E24" s="115"/>
      <c r="F24" s="115"/>
      <c r="G24" s="116"/>
      <c r="H24" s="115"/>
      <c r="I24" s="117"/>
      <c r="J24" s="118"/>
      <c r="K24" s="115"/>
    </row>
    <row r="25" spans="1:13" s="83" customFormat="1" ht="15.75" customHeight="1">
      <c r="A25" s="541"/>
      <c r="B25" s="111"/>
      <c r="C25" s="546" t="s">
        <v>29</v>
      </c>
      <c r="D25" s="546"/>
      <c r="E25" s="546"/>
      <c r="F25" s="546"/>
      <c r="G25" s="108">
        <f>+SUM(G20*I20,G21*I21,G22*I22,G23*I23,G24*I24)</f>
        <v>3808.7149999999997</v>
      </c>
      <c r="H25" s="548" t="str">
        <f>+IF(G26&gt;$C$6,"CUMPLE","NO CUMPLE")</f>
        <v>CUMPLE</v>
      </c>
      <c r="I25" s="549"/>
      <c r="J25" s="549"/>
      <c r="K25" s="550"/>
    </row>
    <row r="26" spans="1:13" s="83" customFormat="1" ht="38.25" customHeight="1">
      <c r="A26" s="542"/>
      <c r="B26" s="111"/>
      <c r="C26" s="546" t="s">
        <v>33</v>
      </c>
      <c r="D26" s="546"/>
      <c r="E26" s="546"/>
      <c r="F26" s="546"/>
      <c r="G26" s="109">
        <f>+G25/$K$6</f>
        <v>2.3069139915202905</v>
      </c>
      <c r="H26" s="551"/>
      <c r="I26" s="552"/>
      <c r="J26" s="552"/>
      <c r="K26" s="553"/>
    </row>
    <row r="27" spans="1:13" ht="15.75">
      <c r="A27" s="99"/>
      <c r="B27" s="99"/>
      <c r="C27" s="99"/>
      <c r="D27" s="99"/>
      <c r="E27" s="99"/>
      <c r="F27" s="99"/>
      <c r="G27" s="99"/>
      <c r="H27" s="99"/>
      <c r="I27" s="99"/>
    </row>
    <row r="28" spans="1:13" s="83" customFormat="1" ht="18.75">
      <c r="A28" s="547" t="s">
        <v>21</v>
      </c>
      <c r="B28" s="547"/>
      <c r="C28" s="543" t="s">
        <v>43</v>
      </c>
      <c r="D28" s="544"/>
      <c r="E28" s="544"/>
      <c r="F28" s="544"/>
      <c r="G28" s="544"/>
      <c r="H28" s="544"/>
      <c r="I28" s="544"/>
      <c r="J28" s="545"/>
      <c r="K28" s="554" t="s">
        <v>19</v>
      </c>
      <c r="L28" s="76"/>
      <c r="M28" s="76"/>
    </row>
    <row r="29" spans="1:13" s="83" customFormat="1" ht="70.5" customHeight="1">
      <c r="A29" s="547"/>
      <c r="B29" s="547"/>
      <c r="C29" s="104" t="s">
        <v>22</v>
      </c>
      <c r="D29" s="104" t="s">
        <v>23</v>
      </c>
      <c r="E29" s="104" t="s">
        <v>24</v>
      </c>
      <c r="F29" s="104" t="s">
        <v>25</v>
      </c>
      <c r="G29" s="104" t="s">
        <v>26</v>
      </c>
      <c r="H29" s="104" t="s">
        <v>27</v>
      </c>
      <c r="I29" s="104" t="s">
        <v>28</v>
      </c>
      <c r="J29" s="104" t="s">
        <v>99</v>
      </c>
      <c r="K29" s="555"/>
      <c r="L29" s="76"/>
      <c r="M29" s="76"/>
    </row>
    <row r="30" spans="1:13" s="83" customFormat="1" ht="47.25">
      <c r="A30" s="105">
        <f>+IF(ENTREGA!A9="","",ENTREGA!A9)</f>
        <v>3</v>
      </c>
      <c r="B30" s="110">
        <v>1</v>
      </c>
      <c r="C30" s="115">
        <v>25</v>
      </c>
      <c r="D30" s="115">
        <v>105</v>
      </c>
      <c r="E30" s="115" t="s">
        <v>740</v>
      </c>
      <c r="F30" s="115" t="s">
        <v>741</v>
      </c>
      <c r="G30" s="116">
        <v>1508.58</v>
      </c>
      <c r="H30" s="115" t="s">
        <v>722</v>
      </c>
      <c r="I30" s="117">
        <v>1</v>
      </c>
      <c r="J30" s="118" t="s">
        <v>742</v>
      </c>
      <c r="K30" s="115"/>
    </row>
    <row r="31" spans="1:13" s="83" customFormat="1" ht="28.5">
      <c r="A31" s="541" t="str">
        <f>IF(A30="","",VLOOKUP(A30,ENTREGA!$A$7:$B$21,2,FALSE))</f>
        <v>ADMINISTRACCIÓN PUBLICA COOPERATIVA DE DEPARTAMENTOS Y MUNICIPIOS DE COLOMBIA (CODENCO)</v>
      </c>
      <c r="B31" s="110">
        <v>2</v>
      </c>
      <c r="C31" s="115">
        <v>27</v>
      </c>
      <c r="D31" s="115">
        <v>107</v>
      </c>
      <c r="E31" s="115" t="s">
        <v>743</v>
      </c>
      <c r="F31" s="115" t="s">
        <v>744</v>
      </c>
      <c r="G31" s="116">
        <v>1612.57</v>
      </c>
      <c r="H31" s="115" t="s">
        <v>722</v>
      </c>
      <c r="I31" s="117">
        <v>1</v>
      </c>
      <c r="J31" s="118" t="s">
        <v>745</v>
      </c>
      <c r="K31" s="115"/>
    </row>
    <row r="32" spans="1:13" s="83" customFormat="1" ht="57">
      <c r="A32" s="541"/>
      <c r="B32" s="110">
        <v>3</v>
      </c>
      <c r="C32" s="115">
        <v>215</v>
      </c>
      <c r="D32" s="115">
        <v>234</v>
      </c>
      <c r="E32" s="115" t="s">
        <v>746</v>
      </c>
      <c r="F32" s="115" t="s">
        <v>747</v>
      </c>
      <c r="G32" s="116">
        <v>801.54</v>
      </c>
      <c r="H32" s="115" t="s">
        <v>715</v>
      </c>
      <c r="I32" s="117">
        <v>0.02</v>
      </c>
      <c r="J32" s="118" t="s">
        <v>748</v>
      </c>
      <c r="K32" s="115" t="s">
        <v>749</v>
      </c>
    </row>
    <row r="33" spans="1:13" s="83" customFormat="1" ht="31.5">
      <c r="A33" s="541"/>
      <c r="B33" s="110">
        <v>4</v>
      </c>
      <c r="C33" s="115">
        <v>223</v>
      </c>
      <c r="D33" s="115">
        <v>242</v>
      </c>
      <c r="E33" s="115" t="s">
        <v>750</v>
      </c>
      <c r="F33" s="115" t="s">
        <v>751</v>
      </c>
      <c r="G33" s="116">
        <v>1393.81</v>
      </c>
      <c r="H33" s="115" t="s">
        <v>718</v>
      </c>
      <c r="I33" s="117">
        <v>0.5</v>
      </c>
      <c r="J33" s="118" t="s">
        <v>752</v>
      </c>
      <c r="K33" s="115"/>
    </row>
    <row r="34" spans="1:13" s="83" customFormat="1" ht="17.25">
      <c r="A34" s="541"/>
      <c r="B34" s="110">
        <v>5</v>
      </c>
      <c r="C34" s="115"/>
      <c r="D34" s="115"/>
      <c r="E34" s="115"/>
      <c r="F34" s="115"/>
      <c r="G34" s="116"/>
      <c r="H34" s="115"/>
      <c r="I34" s="117"/>
      <c r="J34" s="118"/>
      <c r="K34" s="115"/>
    </row>
    <row r="35" spans="1:13" s="83" customFormat="1" ht="15.75" customHeight="1">
      <c r="A35" s="541"/>
      <c r="B35" s="111"/>
      <c r="C35" s="546" t="s">
        <v>29</v>
      </c>
      <c r="D35" s="546"/>
      <c r="E35" s="546"/>
      <c r="F35" s="546"/>
      <c r="G35" s="108">
        <f>+SUM(G30*I30,G31*I31,G32*I32,G33*I33,G34*I34)</f>
        <v>3834.0857999999998</v>
      </c>
      <c r="H35" s="548" t="str">
        <f>+IF(G36&gt;$C$6,"CUMPLE","NO CUMPLE")</f>
        <v>CUMPLE</v>
      </c>
      <c r="I35" s="549"/>
      <c r="J35" s="549"/>
      <c r="K35" s="550"/>
    </row>
    <row r="36" spans="1:13" s="83" customFormat="1" ht="16.5" customHeight="1">
      <c r="A36" s="542"/>
      <c r="B36" s="111"/>
      <c r="C36" s="546" t="s">
        <v>33</v>
      </c>
      <c r="D36" s="546"/>
      <c r="E36" s="546"/>
      <c r="F36" s="546"/>
      <c r="G36" s="109">
        <f>+G35/$K$6</f>
        <v>2.322280920654149</v>
      </c>
      <c r="H36" s="551"/>
      <c r="I36" s="552"/>
      <c r="J36" s="552"/>
      <c r="K36" s="553"/>
    </row>
    <row r="37" spans="1:13" ht="15.75">
      <c r="A37" s="99"/>
      <c r="B37" s="99"/>
      <c r="C37" s="99"/>
      <c r="D37" s="99"/>
      <c r="E37" s="99"/>
      <c r="F37" s="99"/>
      <c r="G37" s="99"/>
      <c r="H37" s="99"/>
      <c r="I37" s="99"/>
    </row>
    <row r="38" spans="1:13" s="83" customFormat="1" ht="18.75">
      <c r="A38" s="547" t="s">
        <v>21</v>
      </c>
      <c r="B38" s="547"/>
      <c r="C38" s="543" t="s">
        <v>43</v>
      </c>
      <c r="D38" s="544"/>
      <c r="E38" s="544"/>
      <c r="F38" s="544"/>
      <c r="G38" s="544"/>
      <c r="H38" s="544"/>
      <c r="I38" s="544"/>
      <c r="J38" s="545"/>
      <c r="K38" s="554" t="s">
        <v>19</v>
      </c>
      <c r="L38" s="76"/>
      <c r="M38" s="76"/>
    </row>
    <row r="39" spans="1:13" s="83" customFormat="1" ht="70.5" customHeight="1">
      <c r="A39" s="547"/>
      <c r="B39" s="547"/>
      <c r="C39" s="104" t="s">
        <v>22</v>
      </c>
      <c r="D39" s="104" t="s">
        <v>23</v>
      </c>
      <c r="E39" s="104" t="s">
        <v>24</v>
      </c>
      <c r="F39" s="104" t="s">
        <v>25</v>
      </c>
      <c r="G39" s="104" t="s">
        <v>26</v>
      </c>
      <c r="H39" s="104" t="s">
        <v>27</v>
      </c>
      <c r="I39" s="104" t="s">
        <v>28</v>
      </c>
      <c r="J39" s="104" t="s">
        <v>99</v>
      </c>
      <c r="K39" s="555"/>
      <c r="L39" s="76"/>
      <c r="M39" s="76"/>
    </row>
    <row r="40" spans="1:13" s="83" customFormat="1" ht="47.25">
      <c r="A40" s="105">
        <f>+IF(ENTREGA!A10="","",ENTREGA!A10)</f>
        <v>4</v>
      </c>
      <c r="B40" s="110">
        <v>1</v>
      </c>
      <c r="C40" s="115">
        <v>2</v>
      </c>
      <c r="D40" s="115">
        <v>43</v>
      </c>
      <c r="E40" s="115" t="s">
        <v>753</v>
      </c>
      <c r="F40" s="115" t="s">
        <v>754</v>
      </c>
      <c r="G40" s="116">
        <v>6149.85</v>
      </c>
      <c r="H40" s="115" t="s">
        <v>722</v>
      </c>
      <c r="I40" s="117">
        <v>1</v>
      </c>
      <c r="J40" s="118" t="s">
        <v>755</v>
      </c>
      <c r="K40" s="115"/>
    </row>
    <row r="41" spans="1:13" s="83" customFormat="1" ht="47.25">
      <c r="A41" s="541" t="str">
        <f>IF(A40="","",VLOOKUP(A40,ENTREGA!$A$7:$B$21,2,FALSE))</f>
        <v>GUSTAVO ENRIQUE CARDONA VERGARA</v>
      </c>
      <c r="B41" s="110">
        <v>2</v>
      </c>
      <c r="C41" s="115">
        <v>42</v>
      </c>
      <c r="D41" s="115">
        <v>169</v>
      </c>
      <c r="E41" s="115" t="s">
        <v>756</v>
      </c>
      <c r="F41" s="115" t="s">
        <v>757</v>
      </c>
      <c r="G41" s="116">
        <v>4860.49</v>
      </c>
      <c r="H41" s="115" t="s">
        <v>715</v>
      </c>
      <c r="I41" s="117">
        <v>0.9</v>
      </c>
      <c r="J41" s="118" t="s">
        <v>742</v>
      </c>
      <c r="K41" s="115"/>
    </row>
    <row r="42" spans="1:13" s="83" customFormat="1" ht="47.25">
      <c r="A42" s="541"/>
      <c r="B42" s="110">
        <v>3</v>
      </c>
      <c r="C42" s="115">
        <v>43</v>
      </c>
      <c r="D42" s="115">
        <v>176</v>
      </c>
      <c r="E42" s="115" t="s">
        <v>758</v>
      </c>
      <c r="F42" s="115" t="s">
        <v>757</v>
      </c>
      <c r="G42" s="116">
        <v>1164.7</v>
      </c>
      <c r="H42" s="115" t="s">
        <v>722</v>
      </c>
      <c r="I42" s="117">
        <v>1</v>
      </c>
      <c r="J42" s="118" t="s">
        <v>742</v>
      </c>
      <c r="K42" s="115"/>
    </row>
    <row r="43" spans="1:13" s="83" customFormat="1" ht="47.25">
      <c r="A43" s="541"/>
      <c r="B43" s="110">
        <v>4</v>
      </c>
      <c r="C43" s="115">
        <v>50</v>
      </c>
      <c r="D43" s="115">
        <v>229</v>
      </c>
      <c r="E43" s="115" t="s">
        <v>759</v>
      </c>
      <c r="F43" s="115" t="s">
        <v>760</v>
      </c>
      <c r="G43" s="116">
        <v>1813.05</v>
      </c>
      <c r="H43" s="115" t="s">
        <v>715</v>
      </c>
      <c r="I43" s="117">
        <v>0.05</v>
      </c>
      <c r="J43" s="118" t="s">
        <v>742</v>
      </c>
      <c r="K43" s="115"/>
    </row>
    <row r="44" spans="1:13" s="83" customFormat="1" ht="17.25">
      <c r="A44" s="541"/>
      <c r="B44" s="110">
        <v>5</v>
      </c>
      <c r="C44" s="115"/>
      <c r="D44" s="115"/>
      <c r="E44" s="115"/>
      <c r="F44" s="115"/>
      <c r="G44" s="116"/>
      <c r="H44" s="115"/>
      <c r="I44" s="117"/>
      <c r="J44" s="118"/>
      <c r="K44" s="115"/>
    </row>
    <row r="45" spans="1:13" s="83" customFormat="1" ht="15.75" customHeight="1">
      <c r="A45" s="541"/>
      <c r="B45" s="111"/>
      <c r="C45" s="546" t="s">
        <v>29</v>
      </c>
      <c r="D45" s="546"/>
      <c r="E45" s="546"/>
      <c r="F45" s="546"/>
      <c r="G45" s="108">
        <f>+SUM(G40*I40,G41*I41,G42*I42,G43*I43,G44*I44)</f>
        <v>11779.643500000002</v>
      </c>
      <c r="H45" s="548" t="str">
        <f>+IF(G46&gt;$C$6,"CUMPLE","NO CUMPLE")</f>
        <v>CUMPLE</v>
      </c>
      <c r="I45" s="549"/>
      <c r="J45" s="549"/>
      <c r="K45" s="550"/>
    </row>
    <row r="46" spans="1:13" s="83" customFormat="1" ht="15.75" customHeight="1">
      <c r="A46" s="542"/>
      <c r="B46" s="111"/>
      <c r="C46" s="546" t="s">
        <v>33</v>
      </c>
      <c r="D46" s="546"/>
      <c r="E46" s="546"/>
      <c r="F46" s="546"/>
      <c r="G46" s="109">
        <f>+G45/$K$6</f>
        <v>7.1348537250151436</v>
      </c>
      <c r="H46" s="551"/>
      <c r="I46" s="552"/>
      <c r="J46" s="552"/>
      <c r="K46" s="553"/>
    </row>
    <row r="47" spans="1:13" ht="15.75">
      <c r="A47" s="99"/>
      <c r="B47" s="99"/>
      <c r="C47" s="99"/>
      <c r="D47" s="99"/>
      <c r="E47" s="99"/>
      <c r="F47" s="99"/>
      <c r="G47" s="99"/>
      <c r="H47" s="99"/>
      <c r="I47" s="99"/>
    </row>
    <row r="48" spans="1:13" s="83" customFormat="1" ht="18.75" hidden="1">
      <c r="A48" s="547" t="s">
        <v>21</v>
      </c>
      <c r="B48" s="547"/>
      <c r="C48" s="543" t="s">
        <v>43</v>
      </c>
      <c r="D48" s="544"/>
      <c r="E48" s="544"/>
      <c r="F48" s="544"/>
      <c r="G48" s="544"/>
      <c r="H48" s="544"/>
      <c r="I48" s="544"/>
      <c r="J48" s="545"/>
      <c r="K48" s="554" t="s">
        <v>19</v>
      </c>
      <c r="L48" s="76"/>
      <c r="M48" s="76"/>
    </row>
    <row r="49" spans="1:13" s="83" customFormat="1" ht="70.5" hidden="1" customHeight="1">
      <c r="A49" s="547"/>
      <c r="B49" s="547"/>
      <c r="C49" s="104" t="s">
        <v>22</v>
      </c>
      <c r="D49" s="104" t="s">
        <v>23</v>
      </c>
      <c r="E49" s="104" t="s">
        <v>24</v>
      </c>
      <c r="F49" s="104" t="s">
        <v>25</v>
      </c>
      <c r="G49" s="104" t="s">
        <v>26</v>
      </c>
      <c r="H49" s="104" t="s">
        <v>27</v>
      </c>
      <c r="I49" s="104" t="s">
        <v>28</v>
      </c>
      <c r="J49" s="104" t="s">
        <v>99</v>
      </c>
      <c r="K49" s="555"/>
      <c r="L49" s="76"/>
      <c r="M49" s="76"/>
    </row>
    <row r="50" spans="1:13" s="83" customFormat="1" ht="17.25" hidden="1">
      <c r="A50" s="105" t="str">
        <f>+IF(ENTREGA!A11="","",ENTREGA!A11)</f>
        <v/>
      </c>
      <c r="B50" s="110">
        <v>1</v>
      </c>
      <c r="C50" s="115"/>
      <c r="D50" s="115"/>
      <c r="E50" s="115"/>
      <c r="F50" s="115"/>
      <c r="G50" s="116"/>
      <c r="H50" s="115"/>
      <c r="I50" s="117"/>
      <c r="J50" s="118"/>
      <c r="K50" s="115"/>
    </row>
    <row r="51" spans="1:13" s="83" customFormat="1" ht="17.25" hidden="1">
      <c r="A51" s="541" t="str">
        <f>IF(A50="","",VLOOKUP(A50,ENTREGA!$A$7:$B$21,2,FALSE))</f>
        <v/>
      </c>
      <c r="B51" s="110">
        <v>2</v>
      </c>
      <c r="C51" s="115"/>
      <c r="D51" s="115"/>
      <c r="E51" s="115"/>
      <c r="F51" s="115"/>
      <c r="G51" s="116"/>
      <c r="H51" s="115"/>
      <c r="I51" s="117"/>
      <c r="J51" s="118"/>
      <c r="K51" s="115"/>
    </row>
    <row r="52" spans="1:13" s="83" customFormat="1" ht="17.25" hidden="1">
      <c r="A52" s="541"/>
      <c r="B52" s="110">
        <v>3</v>
      </c>
      <c r="C52" s="115"/>
      <c r="D52" s="115"/>
      <c r="E52" s="115"/>
      <c r="F52" s="115"/>
      <c r="G52" s="116"/>
      <c r="H52" s="115"/>
      <c r="I52" s="117"/>
      <c r="J52" s="118"/>
      <c r="K52" s="115"/>
    </row>
    <row r="53" spans="1:13" s="83" customFormat="1" ht="17.25" hidden="1">
      <c r="A53" s="541"/>
      <c r="B53" s="110">
        <v>4</v>
      </c>
      <c r="C53" s="115"/>
      <c r="D53" s="115"/>
      <c r="E53" s="115"/>
      <c r="F53" s="115"/>
      <c r="G53" s="116"/>
      <c r="H53" s="115"/>
      <c r="I53" s="117"/>
      <c r="J53" s="118"/>
      <c r="K53" s="115"/>
    </row>
    <row r="54" spans="1:13" s="83" customFormat="1" ht="17.25" hidden="1">
      <c r="A54" s="541"/>
      <c r="B54" s="110">
        <v>5</v>
      </c>
      <c r="C54" s="115"/>
      <c r="D54" s="115"/>
      <c r="E54" s="115"/>
      <c r="F54" s="115"/>
      <c r="G54" s="116"/>
      <c r="H54" s="115"/>
      <c r="I54" s="117"/>
      <c r="J54" s="118"/>
      <c r="K54" s="115"/>
    </row>
    <row r="55" spans="1:13" s="83" customFormat="1" ht="15.75" hidden="1" customHeight="1">
      <c r="A55" s="541"/>
      <c r="B55" s="111"/>
      <c r="C55" s="546" t="s">
        <v>29</v>
      </c>
      <c r="D55" s="546"/>
      <c r="E55" s="546"/>
      <c r="F55" s="546"/>
      <c r="G55" s="108">
        <f>+SUM(G50*I50,G51*I51,G52*I52,G53*I53,G54*I54)</f>
        <v>0</v>
      </c>
      <c r="H55" s="548" t="str">
        <f>+IF(G56&gt;$C$6,"CUMPLE","NO CUMPLE")</f>
        <v>NO CUMPLE</v>
      </c>
      <c r="I55" s="549"/>
      <c r="J55" s="549"/>
      <c r="K55" s="550"/>
    </row>
    <row r="56" spans="1:13" s="83" customFormat="1" ht="16.5" hidden="1" customHeight="1">
      <c r="A56" s="542"/>
      <c r="B56" s="111"/>
      <c r="C56" s="546" t="s">
        <v>33</v>
      </c>
      <c r="D56" s="546"/>
      <c r="E56" s="546"/>
      <c r="F56" s="546"/>
      <c r="G56" s="109">
        <f>+G55/$K$6</f>
        <v>0</v>
      </c>
      <c r="H56" s="551"/>
      <c r="I56" s="552"/>
      <c r="J56" s="552"/>
      <c r="K56" s="553"/>
    </row>
    <row r="57" spans="1:13" ht="15.75" hidden="1">
      <c r="A57" s="99"/>
      <c r="B57" s="99"/>
      <c r="C57" s="99"/>
      <c r="D57" s="99"/>
      <c r="E57" s="99"/>
      <c r="F57" s="99"/>
      <c r="G57" s="99"/>
      <c r="H57" s="99"/>
      <c r="I57" s="99"/>
    </row>
    <row r="58" spans="1:13" s="83" customFormat="1" ht="18.75" hidden="1">
      <c r="A58" s="547" t="s">
        <v>21</v>
      </c>
      <c r="B58" s="547"/>
      <c r="C58" s="543" t="s">
        <v>43</v>
      </c>
      <c r="D58" s="544"/>
      <c r="E58" s="544"/>
      <c r="F58" s="544"/>
      <c r="G58" s="544"/>
      <c r="H58" s="544"/>
      <c r="I58" s="544"/>
      <c r="J58" s="545"/>
      <c r="K58" s="554" t="s">
        <v>19</v>
      </c>
      <c r="L58" s="76"/>
    </row>
    <row r="59" spans="1:13" s="83" customFormat="1" ht="70.5" hidden="1" customHeight="1">
      <c r="A59" s="547"/>
      <c r="B59" s="547"/>
      <c r="C59" s="104" t="s">
        <v>22</v>
      </c>
      <c r="D59" s="104" t="s">
        <v>23</v>
      </c>
      <c r="E59" s="104" t="s">
        <v>24</v>
      </c>
      <c r="F59" s="104" t="s">
        <v>25</v>
      </c>
      <c r="G59" s="104" t="s">
        <v>26</v>
      </c>
      <c r="H59" s="104" t="s">
        <v>27</v>
      </c>
      <c r="I59" s="104" t="s">
        <v>28</v>
      </c>
      <c r="J59" s="104" t="s">
        <v>99</v>
      </c>
      <c r="K59" s="555"/>
      <c r="L59" s="76"/>
    </row>
    <row r="60" spans="1:13" s="83" customFormat="1" ht="17.25" hidden="1">
      <c r="A60" s="105" t="str">
        <f>+IF(ENTREGA!A12="","",ENTREGA!A12)</f>
        <v/>
      </c>
      <c r="B60" s="110">
        <v>1</v>
      </c>
      <c r="C60" s="115"/>
      <c r="D60" s="115"/>
      <c r="E60" s="115"/>
      <c r="F60" s="115"/>
      <c r="G60" s="116"/>
      <c r="H60" s="115"/>
      <c r="I60" s="117"/>
      <c r="J60" s="118"/>
      <c r="K60" s="115"/>
    </row>
    <row r="61" spans="1:13" s="83" customFormat="1" ht="17.25" hidden="1">
      <c r="A61" s="541" t="str">
        <f>IF(A60="","",VLOOKUP(A60,ENTREGA!$A$7:$B$21,2,FALSE))</f>
        <v/>
      </c>
      <c r="B61" s="110">
        <v>2</v>
      </c>
      <c r="C61" s="115"/>
      <c r="D61" s="115"/>
      <c r="E61" s="115"/>
      <c r="F61" s="115"/>
      <c r="G61" s="116"/>
      <c r="H61" s="115"/>
      <c r="I61" s="117"/>
      <c r="J61" s="118"/>
      <c r="K61" s="115"/>
    </row>
    <row r="62" spans="1:13" s="83" customFormat="1" ht="17.25" hidden="1">
      <c r="A62" s="541"/>
      <c r="B62" s="110">
        <v>3</v>
      </c>
      <c r="C62" s="115"/>
      <c r="D62" s="115"/>
      <c r="E62" s="115"/>
      <c r="F62" s="115"/>
      <c r="G62" s="116"/>
      <c r="H62" s="115"/>
      <c r="I62" s="117"/>
      <c r="J62" s="118"/>
      <c r="K62" s="115"/>
    </row>
    <row r="63" spans="1:13" s="83" customFormat="1" ht="17.25" hidden="1">
      <c r="A63" s="541"/>
      <c r="B63" s="110">
        <v>4</v>
      </c>
      <c r="C63" s="115"/>
      <c r="D63" s="115"/>
      <c r="E63" s="115"/>
      <c r="F63" s="115"/>
      <c r="G63" s="116"/>
      <c r="H63" s="115"/>
      <c r="I63" s="117"/>
      <c r="J63" s="118"/>
      <c r="K63" s="115"/>
    </row>
    <row r="64" spans="1:13" s="83" customFormat="1" ht="17.25" hidden="1">
      <c r="A64" s="541"/>
      <c r="B64" s="110">
        <v>5</v>
      </c>
      <c r="C64" s="115"/>
      <c r="D64" s="115"/>
      <c r="E64" s="115"/>
      <c r="F64" s="115"/>
      <c r="G64" s="116"/>
      <c r="H64" s="115"/>
      <c r="I64" s="117"/>
      <c r="J64" s="118"/>
      <c r="K64" s="115"/>
    </row>
    <row r="65" spans="1:13" s="83" customFormat="1" ht="15.75" hidden="1" customHeight="1">
      <c r="A65" s="541"/>
      <c r="B65" s="111"/>
      <c r="C65" s="546" t="s">
        <v>29</v>
      </c>
      <c r="D65" s="546"/>
      <c r="E65" s="546"/>
      <c r="F65" s="546"/>
      <c r="G65" s="108">
        <f>+SUM(G60*I60,G61*I61,G62*I62,G63*I63,G64*I64)</f>
        <v>0</v>
      </c>
      <c r="H65" s="548" t="str">
        <f>+IF(G66&gt;$C$6,"CUMPLE","NO CUMPLE")</f>
        <v>NO CUMPLE</v>
      </c>
      <c r="I65" s="549"/>
      <c r="J65" s="549"/>
      <c r="K65" s="550"/>
    </row>
    <row r="66" spans="1:13" s="83" customFormat="1" ht="16.5" hidden="1" customHeight="1">
      <c r="A66" s="542"/>
      <c r="B66" s="111"/>
      <c r="C66" s="546" t="s">
        <v>33</v>
      </c>
      <c r="D66" s="546"/>
      <c r="E66" s="546"/>
      <c r="F66" s="546"/>
      <c r="G66" s="109">
        <f>+G65/$K$6</f>
        <v>0</v>
      </c>
      <c r="H66" s="551"/>
      <c r="I66" s="552"/>
      <c r="J66" s="552"/>
      <c r="K66" s="553"/>
    </row>
    <row r="67" spans="1:13" ht="15.75" hidden="1">
      <c r="A67" s="99"/>
      <c r="B67" s="99"/>
      <c r="C67" s="99"/>
      <c r="D67" s="99"/>
      <c r="E67" s="99"/>
      <c r="F67" s="99"/>
      <c r="G67" s="99"/>
      <c r="H67" s="99"/>
      <c r="I67" s="99"/>
    </row>
    <row r="68" spans="1:13" s="83" customFormat="1" ht="18.75" hidden="1">
      <c r="A68" s="547" t="s">
        <v>21</v>
      </c>
      <c r="B68" s="547"/>
      <c r="C68" s="543" t="s">
        <v>43</v>
      </c>
      <c r="D68" s="544"/>
      <c r="E68" s="544"/>
      <c r="F68" s="544"/>
      <c r="G68" s="544"/>
      <c r="H68" s="544"/>
      <c r="I68" s="544"/>
      <c r="J68" s="545"/>
      <c r="K68" s="554" t="s">
        <v>19</v>
      </c>
      <c r="L68" s="76"/>
      <c r="M68" s="76"/>
    </row>
    <row r="69" spans="1:13" s="83" customFormat="1" ht="70.5" hidden="1" customHeight="1">
      <c r="A69" s="547"/>
      <c r="B69" s="547"/>
      <c r="C69" s="104" t="s">
        <v>22</v>
      </c>
      <c r="D69" s="104" t="s">
        <v>23</v>
      </c>
      <c r="E69" s="104" t="s">
        <v>24</v>
      </c>
      <c r="F69" s="104" t="s">
        <v>25</v>
      </c>
      <c r="G69" s="104" t="s">
        <v>26</v>
      </c>
      <c r="H69" s="104" t="s">
        <v>27</v>
      </c>
      <c r="I69" s="104" t="s">
        <v>28</v>
      </c>
      <c r="J69" s="104" t="s">
        <v>99</v>
      </c>
      <c r="K69" s="555"/>
      <c r="L69" s="76"/>
      <c r="M69" s="76"/>
    </row>
    <row r="70" spans="1:13" s="83" customFormat="1" ht="17.25" hidden="1">
      <c r="A70" s="105" t="str">
        <f>+IF(ENTREGA!A13="","",ENTREGA!A13)</f>
        <v/>
      </c>
      <c r="B70" s="110">
        <v>1</v>
      </c>
      <c r="C70" s="115"/>
      <c r="D70" s="115"/>
      <c r="E70" s="115"/>
      <c r="F70" s="115"/>
      <c r="G70" s="116"/>
      <c r="H70" s="115"/>
      <c r="I70" s="117"/>
      <c r="J70" s="118"/>
      <c r="K70" s="115"/>
    </row>
    <row r="71" spans="1:13" s="83" customFormat="1" ht="17.25" hidden="1">
      <c r="A71" s="541" t="str">
        <f>IF(A70="","",VLOOKUP(A70,ENTREGA!$A$7:$B$21,2,FALSE))</f>
        <v/>
      </c>
      <c r="B71" s="110">
        <v>2</v>
      </c>
      <c r="C71" s="115"/>
      <c r="D71" s="115"/>
      <c r="E71" s="115"/>
      <c r="F71" s="115"/>
      <c r="G71" s="116"/>
      <c r="H71" s="115"/>
      <c r="I71" s="117"/>
      <c r="J71" s="118"/>
      <c r="K71" s="115"/>
    </row>
    <row r="72" spans="1:13" s="83" customFormat="1" ht="17.25" hidden="1">
      <c r="A72" s="541"/>
      <c r="B72" s="110">
        <v>3</v>
      </c>
      <c r="C72" s="115"/>
      <c r="D72" s="115"/>
      <c r="E72" s="115"/>
      <c r="F72" s="115"/>
      <c r="G72" s="116"/>
      <c r="H72" s="115"/>
      <c r="I72" s="117"/>
      <c r="J72" s="118"/>
      <c r="K72" s="115"/>
    </row>
    <row r="73" spans="1:13" s="83" customFormat="1" ht="17.25" hidden="1">
      <c r="A73" s="541"/>
      <c r="B73" s="110">
        <v>4</v>
      </c>
      <c r="C73" s="115"/>
      <c r="D73" s="115"/>
      <c r="E73" s="115"/>
      <c r="F73" s="115"/>
      <c r="G73" s="116"/>
      <c r="H73" s="115"/>
      <c r="I73" s="117"/>
      <c r="J73" s="118"/>
      <c r="K73" s="115"/>
    </row>
    <row r="74" spans="1:13" s="83" customFormat="1" ht="17.25" hidden="1">
      <c r="A74" s="541"/>
      <c r="B74" s="110">
        <v>5</v>
      </c>
      <c r="C74" s="115"/>
      <c r="D74" s="115"/>
      <c r="E74" s="115"/>
      <c r="F74" s="115"/>
      <c r="G74" s="116"/>
      <c r="H74" s="115"/>
      <c r="I74" s="117"/>
      <c r="J74" s="118"/>
      <c r="K74" s="115"/>
    </row>
    <row r="75" spans="1:13" s="83" customFormat="1" ht="15.75" hidden="1" customHeight="1">
      <c r="A75" s="541"/>
      <c r="B75" s="111"/>
      <c r="C75" s="546" t="s">
        <v>29</v>
      </c>
      <c r="D75" s="546"/>
      <c r="E75" s="546"/>
      <c r="F75" s="546"/>
      <c r="G75" s="108">
        <f>+SUM(G70*I70,G71*I71,G72*I72,G73*I73,G74*I74)</f>
        <v>0</v>
      </c>
      <c r="H75" s="548" t="str">
        <f>+IF(G76&gt;$C$6,"CUMPLE","NO CUMPLE")</f>
        <v>NO CUMPLE</v>
      </c>
      <c r="I75" s="549"/>
      <c r="J75" s="549"/>
      <c r="K75" s="550"/>
    </row>
    <row r="76" spans="1:13" s="83" customFormat="1" ht="16.5" hidden="1" customHeight="1">
      <c r="A76" s="542"/>
      <c r="B76" s="111"/>
      <c r="C76" s="546" t="s">
        <v>33</v>
      </c>
      <c r="D76" s="546"/>
      <c r="E76" s="546"/>
      <c r="F76" s="546"/>
      <c r="G76" s="109">
        <f>+G75/$K$6</f>
        <v>0</v>
      </c>
      <c r="H76" s="551"/>
      <c r="I76" s="552"/>
      <c r="J76" s="552"/>
      <c r="K76" s="553"/>
    </row>
    <row r="77" spans="1:13" ht="15.75" hidden="1">
      <c r="A77" s="99"/>
      <c r="B77" s="99"/>
      <c r="C77" s="99"/>
      <c r="D77" s="99"/>
      <c r="E77" s="99"/>
      <c r="F77" s="99"/>
      <c r="G77" s="99"/>
      <c r="H77" s="99"/>
      <c r="I77" s="99"/>
    </row>
    <row r="78" spans="1:13" s="83" customFormat="1" ht="18.75" hidden="1">
      <c r="A78" s="547" t="s">
        <v>21</v>
      </c>
      <c r="B78" s="547"/>
      <c r="C78" s="543" t="s">
        <v>43</v>
      </c>
      <c r="D78" s="544"/>
      <c r="E78" s="544"/>
      <c r="F78" s="544"/>
      <c r="G78" s="544"/>
      <c r="H78" s="544"/>
      <c r="I78" s="544"/>
      <c r="J78" s="545"/>
      <c r="K78" s="554" t="s">
        <v>19</v>
      </c>
      <c r="L78" s="76"/>
      <c r="M78" s="76"/>
    </row>
    <row r="79" spans="1:13" s="83" customFormat="1" ht="70.5" hidden="1" customHeight="1">
      <c r="A79" s="547"/>
      <c r="B79" s="547"/>
      <c r="C79" s="104" t="s">
        <v>22</v>
      </c>
      <c r="D79" s="104" t="s">
        <v>23</v>
      </c>
      <c r="E79" s="104" t="s">
        <v>24</v>
      </c>
      <c r="F79" s="104" t="s">
        <v>25</v>
      </c>
      <c r="G79" s="104" t="s">
        <v>26</v>
      </c>
      <c r="H79" s="104" t="s">
        <v>27</v>
      </c>
      <c r="I79" s="104" t="s">
        <v>28</v>
      </c>
      <c r="J79" s="104" t="s">
        <v>99</v>
      </c>
      <c r="K79" s="555"/>
      <c r="L79" s="76"/>
      <c r="M79" s="76"/>
    </row>
    <row r="80" spans="1:13" s="83" customFormat="1" ht="17.25" hidden="1">
      <c r="A80" s="105" t="str">
        <f>+IF(ENTREGA!A14="","",ENTREGA!A14)</f>
        <v/>
      </c>
      <c r="B80" s="110">
        <v>1</v>
      </c>
      <c r="C80" s="115"/>
      <c r="D80" s="115"/>
      <c r="E80" s="115"/>
      <c r="F80" s="115"/>
      <c r="G80" s="116"/>
      <c r="H80" s="115"/>
      <c r="I80" s="117"/>
      <c r="J80" s="118"/>
      <c r="K80" s="115"/>
    </row>
    <row r="81" spans="1:13" s="83" customFormat="1" ht="17.25" hidden="1">
      <c r="A81" s="541" t="str">
        <f>IF(A80="","",VLOOKUP(A80,ENTREGA!$A$7:$B$21,2,FALSE))</f>
        <v/>
      </c>
      <c r="B81" s="110">
        <v>2</v>
      </c>
      <c r="C81" s="115"/>
      <c r="D81" s="115"/>
      <c r="E81" s="115"/>
      <c r="F81" s="115"/>
      <c r="G81" s="116"/>
      <c r="H81" s="115"/>
      <c r="I81" s="117"/>
      <c r="J81" s="118"/>
      <c r="K81" s="115"/>
    </row>
    <row r="82" spans="1:13" s="83" customFormat="1" ht="17.25" hidden="1">
      <c r="A82" s="541"/>
      <c r="B82" s="110">
        <v>3</v>
      </c>
      <c r="C82" s="115"/>
      <c r="D82" s="115"/>
      <c r="E82" s="115"/>
      <c r="F82" s="115"/>
      <c r="G82" s="116"/>
      <c r="H82" s="115"/>
      <c r="I82" s="117"/>
      <c r="J82" s="118"/>
      <c r="K82" s="115"/>
    </row>
    <row r="83" spans="1:13" s="83" customFormat="1" ht="17.25" hidden="1">
      <c r="A83" s="541"/>
      <c r="B83" s="110">
        <v>4</v>
      </c>
      <c r="C83" s="115"/>
      <c r="D83" s="115"/>
      <c r="E83" s="115"/>
      <c r="F83" s="115"/>
      <c r="G83" s="116"/>
      <c r="H83" s="115"/>
      <c r="I83" s="117"/>
      <c r="J83" s="118"/>
      <c r="K83" s="115"/>
    </row>
    <row r="84" spans="1:13" s="83" customFormat="1" ht="17.25" hidden="1">
      <c r="A84" s="541"/>
      <c r="B84" s="110">
        <v>5</v>
      </c>
      <c r="C84" s="115"/>
      <c r="D84" s="115"/>
      <c r="E84" s="115"/>
      <c r="F84" s="115"/>
      <c r="G84" s="116"/>
      <c r="H84" s="115"/>
      <c r="I84" s="117"/>
      <c r="J84" s="118"/>
      <c r="K84" s="115"/>
    </row>
    <row r="85" spans="1:13" s="83" customFormat="1" ht="15.75" hidden="1" customHeight="1">
      <c r="A85" s="541"/>
      <c r="B85" s="111"/>
      <c r="C85" s="546" t="s">
        <v>29</v>
      </c>
      <c r="D85" s="546"/>
      <c r="E85" s="546"/>
      <c r="F85" s="546"/>
      <c r="G85" s="108">
        <f>+SUM(G80*I80,G81*I81,G82*I82,G83*I83,G84*I84)</f>
        <v>0</v>
      </c>
      <c r="H85" s="548" t="str">
        <f>+IF(G86&gt;$C$6,"CUMPLE","NO CUMPLE")</f>
        <v>NO CUMPLE</v>
      </c>
      <c r="I85" s="549"/>
      <c r="J85" s="549"/>
      <c r="K85" s="550"/>
    </row>
    <row r="86" spans="1:13" s="83" customFormat="1" ht="16.5" hidden="1" customHeight="1">
      <c r="A86" s="542"/>
      <c r="B86" s="111"/>
      <c r="C86" s="546" t="s">
        <v>33</v>
      </c>
      <c r="D86" s="546"/>
      <c r="E86" s="546"/>
      <c r="F86" s="546"/>
      <c r="G86" s="109">
        <f>+G85/$K$6</f>
        <v>0</v>
      </c>
      <c r="H86" s="551"/>
      <c r="I86" s="552"/>
      <c r="J86" s="552"/>
      <c r="K86" s="553"/>
    </row>
    <row r="87" spans="1:13" ht="15.75" hidden="1">
      <c r="A87" s="99"/>
      <c r="B87" s="99"/>
      <c r="C87" s="99"/>
      <c r="D87" s="99"/>
      <c r="E87" s="99"/>
      <c r="F87" s="99"/>
      <c r="G87" s="99"/>
      <c r="H87" s="99"/>
      <c r="I87" s="99"/>
    </row>
    <row r="88" spans="1:13" s="83" customFormat="1" ht="18.75" hidden="1">
      <c r="A88" s="547" t="s">
        <v>21</v>
      </c>
      <c r="B88" s="547"/>
      <c r="C88" s="543" t="s">
        <v>43</v>
      </c>
      <c r="D88" s="544"/>
      <c r="E88" s="544"/>
      <c r="F88" s="544"/>
      <c r="G88" s="544"/>
      <c r="H88" s="544"/>
      <c r="I88" s="544"/>
      <c r="J88" s="545"/>
      <c r="K88" s="554" t="s">
        <v>19</v>
      </c>
      <c r="L88" s="76"/>
      <c r="M88" s="76"/>
    </row>
    <row r="89" spans="1:13" s="83" customFormat="1" ht="70.5" hidden="1" customHeight="1">
      <c r="A89" s="547"/>
      <c r="B89" s="547"/>
      <c r="C89" s="104" t="s">
        <v>22</v>
      </c>
      <c r="D89" s="104" t="s">
        <v>23</v>
      </c>
      <c r="E89" s="104" t="s">
        <v>24</v>
      </c>
      <c r="F89" s="104" t="s">
        <v>25</v>
      </c>
      <c r="G89" s="104" t="s">
        <v>26</v>
      </c>
      <c r="H89" s="104" t="s">
        <v>27</v>
      </c>
      <c r="I89" s="104" t="s">
        <v>28</v>
      </c>
      <c r="J89" s="104" t="s">
        <v>99</v>
      </c>
      <c r="K89" s="555"/>
      <c r="L89" s="76"/>
      <c r="M89" s="76"/>
    </row>
    <row r="90" spans="1:13" s="83" customFormat="1" ht="17.25" hidden="1">
      <c r="A90" s="105" t="str">
        <f>+IF(ENTREGA!A15="","",ENTREGA!A15)</f>
        <v/>
      </c>
      <c r="B90" s="110">
        <v>1</v>
      </c>
      <c r="C90" s="115"/>
      <c r="D90" s="115"/>
      <c r="E90" s="115"/>
      <c r="F90" s="115"/>
      <c r="G90" s="116"/>
      <c r="H90" s="115"/>
      <c r="I90" s="117"/>
      <c r="J90" s="118"/>
      <c r="K90" s="115"/>
    </row>
    <row r="91" spans="1:13" s="83" customFormat="1" ht="17.25" hidden="1">
      <c r="A91" s="541" t="str">
        <f>IF(A90="","",VLOOKUP(A90,ENTREGA!$A$7:$B$21,2,FALSE))</f>
        <v/>
      </c>
      <c r="B91" s="110">
        <v>2</v>
      </c>
      <c r="C91" s="115"/>
      <c r="D91" s="115"/>
      <c r="E91" s="115"/>
      <c r="F91" s="115"/>
      <c r="G91" s="116"/>
      <c r="H91" s="115"/>
      <c r="I91" s="117"/>
      <c r="J91" s="118"/>
      <c r="K91" s="115"/>
    </row>
    <row r="92" spans="1:13" s="83" customFormat="1" ht="17.25" hidden="1">
      <c r="A92" s="541"/>
      <c r="B92" s="110">
        <v>3</v>
      </c>
      <c r="C92" s="115"/>
      <c r="D92" s="115"/>
      <c r="E92" s="115"/>
      <c r="F92" s="115"/>
      <c r="G92" s="116"/>
      <c r="H92" s="115"/>
      <c r="I92" s="117"/>
      <c r="J92" s="118"/>
      <c r="K92" s="115"/>
    </row>
    <row r="93" spans="1:13" s="83" customFormat="1" ht="17.25" hidden="1">
      <c r="A93" s="541"/>
      <c r="B93" s="110">
        <v>4</v>
      </c>
      <c r="C93" s="115"/>
      <c r="D93" s="115"/>
      <c r="E93" s="115"/>
      <c r="F93" s="115"/>
      <c r="G93" s="116"/>
      <c r="H93" s="115"/>
      <c r="I93" s="117"/>
      <c r="J93" s="118"/>
      <c r="K93" s="115"/>
    </row>
    <row r="94" spans="1:13" s="83" customFormat="1" ht="17.25" hidden="1">
      <c r="A94" s="541"/>
      <c r="B94" s="110">
        <v>5</v>
      </c>
      <c r="C94" s="115"/>
      <c r="D94" s="115"/>
      <c r="E94" s="115"/>
      <c r="F94" s="115"/>
      <c r="G94" s="116"/>
      <c r="H94" s="115"/>
      <c r="I94" s="117"/>
      <c r="J94" s="118"/>
      <c r="K94" s="115"/>
    </row>
    <row r="95" spans="1:13" s="83" customFormat="1" ht="15.75" hidden="1" customHeight="1">
      <c r="A95" s="541"/>
      <c r="B95" s="111"/>
      <c r="C95" s="546" t="s">
        <v>29</v>
      </c>
      <c r="D95" s="546"/>
      <c r="E95" s="546"/>
      <c r="F95" s="546"/>
      <c r="G95" s="108">
        <f>+SUM(G90*I90,G91*I91,G92*I92,G93*I93,G94*I94)</f>
        <v>0</v>
      </c>
      <c r="H95" s="548" t="str">
        <f>+IF(G96&gt;$C$6,"CUMPLE","NO CUMPLE")</f>
        <v>NO CUMPLE</v>
      </c>
      <c r="I95" s="549"/>
      <c r="J95" s="549"/>
      <c r="K95" s="550"/>
    </row>
    <row r="96" spans="1:13" s="83" customFormat="1" ht="16.5" hidden="1" customHeight="1">
      <c r="A96" s="542"/>
      <c r="B96" s="111"/>
      <c r="C96" s="546" t="s">
        <v>33</v>
      </c>
      <c r="D96" s="546"/>
      <c r="E96" s="546"/>
      <c r="F96" s="546"/>
      <c r="G96" s="109">
        <f>+G95/$K$6</f>
        <v>0</v>
      </c>
      <c r="H96" s="551"/>
      <c r="I96" s="552"/>
      <c r="J96" s="552"/>
      <c r="K96" s="553"/>
    </row>
    <row r="97" spans="1:13" ht="15.75" hidden="1">
      <c r="A97" s="99"/>
      <c r="B97" s="99"/>
      <c r="C97" s="99"/>
      <c r="D97" s="99"/>
      <c r="E97" s="99"/>
      <c r="F97" s="99"/>
      <c r="G97" s="99"/>
      <c r="H97" s="99"/>
      <c r="I97" s="99"/>
    </row>
    <row r="98" spans="1:13" s="83" customFormat="1" ht="18.75" hidden="1">
      <c r="A98" s="547" t="s">
        <v>21</v>
      </c>
      <c r="B98" s="547"/>
      <c r="C98" s="543" t="s">
        <v>43</v>
      </c>
      <c r="D98" s="544"/>
      <c r="E98" s="544"/>
      <c r="F98" s="544"/>
      <c r="G98" s="544"/>
      <c r="H98" s="544"/>
      <c r="I98" s="544"/>
      <c r="J98" s="545"/>
      <c r="K98" s="554" t="s">
        <v>19</v>
      </c>
      <c r="L98" s="76"/>
    </row>
    <row r="99" spans="1:13" s="83" customFormat="1" ht="70.5" hidden="1" customHeight="1">
      <c r="A99" s="547"/>
      <c r="B99" s="547"/>
      <c r="C99" s="104" t="s">
        <v>22</v>
      </c>
      <c r="D99" s="104" t="s">
        <v>23</v>
      </c>
      <c r="E99" s="104" t="s">
        <v>24</v>
      </c>
      <c r="F99" s="104" t="s">
        <v>25</v>
      </c>
      <c r="G99" s="104" t="s">
        <v>26</v>
      </c>
      <c r="H99" s="104" t="s">
        <v>27</v>
      </c>
      <c r="I99" s="104" t="s">
        <v>28</v>
      </c>
      <c r="J99" s="104" t="s">
        <v>99</v>
      </c>
      <c r="K99" s="555"/>
      <c r="L99" s="76"/>
    </row>
    <row r="100" spans="1:13" s="83" customFormat="1" ht="17.25" hidden="1">
      <c r="A100" s="105" t="str">
        <f>+IF(ENTREGA!A16="","",ENTREGA!A16)</f>
        <v/>
      </c>
      <c r="B100" s="110">
        <v>1</v>
      </c>
      <c r="C100" s="115"/>
      <c r="D100" s="115"/>
      <c r="E100" s="115"/>
      <c r="F100" s="115"/>
      <c r="G100" s="116"/>
      <c r="H100" s="115"/>
      <c r="I100" s="117"/>
      <c r="J100" s="118"/>
      <c r="K100" s="115"/>
    </row>
    <row r="101" spans="1:13" s="83" customFormat="1" ht="17.25" hidden="1" customHeight="1">
      <c r="A101" s="541" t="str">
        <f>IF(A100="","",VLOOKUP(A100,ENTREGA!$A$7:$B$21,2,FALSE))</f>
        <v/>
      </c>
      <c r="B101" s="110">
        <v>2</v>
      </c>
      <c r="C101" s="115"/>
      <c r="D101" s="115"/>
      <c r="E101" s="115"/>
      <c r="F101" s="115"/>
      <c r="G101" s="116"/>
      <c r="H101" s="115"/>
      <c r="I101" s="117"/>
      <c r="J101" s="118"/>
      <c r="K101" s="115"/>
    </row>
    <row r="102" spans="1:13" s="83" customFormat="1" ht="17.25" hidden="1">
      <c r="A102" s="541"/>
      <c r="B102" s="110">
        <v>3</v>
      </c>
      <c r="C102" s="115"/>
      <c r="D102" s="115"/>
      <c r="E102" s="115"/>
      <c r="F102" s="115"/>
      <c r="G102" s="116"/>
      <c r="H102" s="115"/>
      <c r="I102" s="117"/>
      <c r="J102" s="118"/>
      <c r="K102" s="115"/>
    </row>
    <row r="103" spans="1:13" s="83" customFormat="1" ht="17.25" hidden="1">
      <c r="A103" s="541"/>
      <c r="B103" s="110">
        <v>4</v>
      </c>
      <c r="C103" s="115"/>
      <c r="D103" s="115"/>
      <c r="E103" s="115"/>
      <c r="F103" s="115"/>
      <c r="G103" s="116"/>
      <c r="H103" s="115"/>
      <c r="I103" s="117"/>
      <c r="J103" s="118"/>
      <c r="K103" s="115"/>
    </row>
    <row r="104" spans="1:13" s="83" customFormat="1" ht="17.25" hidden="1">
      <c r="A104" s="541"/>
      <c r="B104" s="110">
        <v>5</v>
      </c>
      <c r="C104" s="115"/>
      <c r="D104" s="115"/>
      <c r="E104" s="115"/>
      <c r="F104" s="115"/>
      <c r="G104" s="116"/>
      <c r="H104" s="115"/>
      <c r="I104" s="117"/>
      <c r="J104" s="118"/>
      <c r="K104" s="115"/>
    </row>
    <row r="105" spans="1:13" s="83" customFormat="1" ht="15.75" hidden="1" customHeight="1">
      <c r="A105" s="541"/>
      <c r="B105" s="111"/>
      <c r="C105" s="546" t="s">
        <v>29</v>
      </c>
      <c r="D105" s="546"/>
      <c r="E105" s="546"/>
      <c r="F105" s="546"/>
      <c r="G105" s="108">
        <f>+SUM(G100*I100,G101*I101,G102*I102,G103*I103,G104*I104)</f>
        <v>0</v>
      </c>
      <c r="H105" s="548" t="str">
        <f>+IF(G106&gt;$C$6,"CUMPLE","NO CUMPLE")</f>
        <v>NO CUMPLE</v>
      </c>
      <c r="I105" s="549"/>
      <c r="J105" s="549"/>
      <c r="K105" s="550"/>
    </row>
    <row r="106" spans="1:13" s="83" customFormat="1" ht="16.5" hidden="1" customHeight="1">
      <c r="A106" s="542"/>
      <c r="B106" s="111"/>
      <c r="C106" s="546" t="s">
        <v>33</v>
      </c>
      <c r="D106" s="546"/>
      <c r="E106" s="546"/>
      <c r="F106" s="546"/>
      <c r="G106" s="109">
        <f>+G105/$K$6</f>
        <v>0</v>
      </c>
      <c r="H106" s="551"/>
      <c r="I106" s="552"/>
      <c r="J106" s="552"/>
      <c r="K106" s="553"/>
    </row>
    <row r="107" spans="1:13" ht="15.75" hidden="1">
      <c r="A107" s="99"/>
      <c r="B107" s="99"/>
      <c r="C107" s="99"/>
      <c r="D107" s="99"/>
      <c r="E107" s="99"/>
      <c r="F107" s="99"/>
      <c r="G107" s="99"/>
      <c r="H107" s="99"/>
      <c r="I107" s="99"/>
    </row>
    <row r="108" spans="1:13" s="83" customFormat="1" ht="18.75" hidden="1">
      <c r="A108" s="547" t="s">
        <v>21</v>
      </c>
      <c r="B108" s="547"/>
      <c r="C108" s="543" t="s">
        <v>43</v>
      </c>
      <c r="D108" s="544"/>
      <c r="E108" s="544"/>
      <c r="F108" s="544"/>
      <c r="G108" s="544"/>
      <c r="H108" s="544"/>
      <c r="I108" s="544"/>
      <c r="J108" s="545"/>
      <c r="K108" s="554" t="s">
        <v>19</v>
      </c>
      <c r="L108" s="76"/>
      <c r="M108" s="76"/>
    </row>
    <row r="109" spans="1:13" s="83" customFormat="1" ht="70.5" hidden="1" customHeight="1">
      <c r="A109" s="547"/>
      <c r="B109" s="547"/>
      <c r="C109" s="104" t="s">
        <v>22</v>
      </c>
      <c r="D109" s="104" t="s">
        <v>23</v>
      </c>
      <c r="E109" s="104" t="s">
        <v>24</v>
      </c>
      <c r="F109" s="104" t="s">
        <v>25</v>
      </c>
      <c r="G109" s="104" t="s">
        <v>26</v>
      </c>
      <c r="H109" s="104" t="s">
        <v>27</v>
      </c>
      <c r="I109" s="104" t="s">
        <v>28</v>
      </c>
      <c r="J109" s="104" t="s">
        <v>99</v>
      </c>
      <c r="K109" s="555"/>
      <c r="L109" s="76"/>
      <c r="M109" s="76"/>
    </row>
    <row r="110" spans="1:13" s="83" customFormat="1" ht="17.25" hidden="1">
      <c r="A110" s="105" t="str">
        <f>+IF(ENTREGA!A17="","",ENTREGA!A17)</f>
        <v/>
      </c>
      <c r="B110" s="110">
        <v>1</v>
      </c>
      <c r="C110" s="115"/>
      <c r="D110" s="115"/>
      <c r="E110" s="115"/>
      <c r="F110" s="115"/>
      <c r="G110" s="116"/>
      <c r="H110" s="115"/>
      <c r="I110" s="117"/>
      <c r="J110" s="118"/>
      <c r="K110" s="115"/>
    </row>
    <row r="111" spans="1:13" s="83" customFormat="1" ht="17.25" hidden="1" customHeight="1">
      <c r="A111" s="541" t="str">
        <f>IF(A110="","",VLOOKUP(A110,ENTREGA!$A$7:$B$21,2,FALSE))</f>
        <v/>
      </c>
      <c r="B111" s="110">
        <v>2</v>
      </c>
      <c r="C111" s="115"/>
      <c r="D111" s="115"/>
      <c r="E111" s="115"/>
      <c r="F111" s="115"/>
      <c r="G111" s="116"/>
      <c r="H111" s="115"/>
      <c r="I111" s="117"/>
      <c r="J111" s="118"/>
      <c r="K111" s="115"/>
    </row>
    <row r="112" spans="1:13" s="83" customFormat="1" ht="17.25" hidden="1">
      <c r="A112" s="541"/>
      <c r="B112" s="110">
        <v>3</v>
      </c>
      <c r="C112" s="115"/>
      <c r="D112" s="115"/>
      <c r="E112" s="115"/>
      <c r="F112" s="115"/>
      <c r="G112" s="116"/>
      <c r="H112" s="115"/>
      <c r="I112" s="117"/>
      <c r="J112" s="118"/>
      <c r="K112" s="115"/>
    </row>
    <row r="113" spans="1:13" s="83" customFormat="1" ht="17.25" hidden="1">
      <c r="A113" s="541"/>
      <c r="B113" s="110">
        <v>4</v>
      </c>
      <c r="C113" s="115"/>
      <c r="D113" s="115"/>
      <c r="E113" s="115"/>
      <c r="F113" s="115"/>
      <c r="G113" s="116"/>
      <c r="H113" s="115"/>
      <c r="I113" s="117"/>
      <c r="J113" s="118"/>
      <c r="K113" s="115"/>
    </row>
    <row r="114" spans="1:13" s="83" customFormat="1" ht="17.25" hidden="1">
      <c r="A114" s="541"/>
      <c r="B114" s="110">
        <v>5</v>
      </c>
      <c r="C114" s="115"/>
      <c r="D114" s="115"/>
      <c r="E114" s="115"/>
      <c r="F114" s="115"/>
      <c r="G114" s="116"/>
      <c r="H114" s="115"/>
      <c r="I114" s="117"/>
      <c r="J114" s="118"/>
      <c r="K114" s="115"/>
    </row>
    <row r="115" spans="1:13" s="83" customFormat="1" ht="15.75" hidden="1" customHeight="1">
      <c r="A115" s="541"/>
      <c r="B115" s="111"/>
      <c r="C115" s="546" t="s">
        <v>29</v>
      </c>
      <c r="D115" s="546"/>
      <c r="E115" s="546"/>
      <c r="F115" s="546"/>
      <c r="G115" s="108">
        <f>+SUM(G110*I110,G111*I111,G112*I112,G113*I113,G114*I114)</f>
        <v>0</v>
      </c>
      <c r="H115" s="548" t="str">
        <f>+IF(G116&gt;$C$6,"CUMPLE","NO CUMPLE")</f>
        <v>NO CUMPLE</v>
      </c>
      <c r="I115" s="549"/>
      <c r="J115" s="549"/>
      <c r="K115" s="550"/>
    </row>
    <row r="116" spans="1:13" s="83" customFormat="1" ht="16.5" hidden="1" customHeight="1">
      <c r="A116" s="542"/>
      <c r="B116" s="111"/>
      <c r="C116" s="546" t="s">
        <v>33</v>
      </c>
      <c r="D116" s="546"/>
      <c r="E116" s="546"/>
      <c r="F116" s="546"/>
      <c r="G116" s="109">
        <f>+G115/$K$6</f>
        <v>0</v>
      </c>
      <c r="H116" s="551"/>
      <c r="I116" s="552"/>
      <c r="J116" s="552"/>
      <c r="K116" s="553"/>
    </row>
    <row r="117" spans="1:13" ht="15.75" hidden="1">
      <c r="A117" s="99"/>
      <c r="B117" s="99"/>
      <c r="C117" s="99"/>
      <c r="D117" s="99"/>
      <c r="E117" s="99"/>
      <c r="F117" s="99"/>
      <c r="G117" s="99"/>
      <c r="H117" s="99"/>
      <c r="I117" s="99"/>
    </row>
    <row r="118" spans="1:13" s="83" customFormat="1" ht="18.75" hidden="1">
      <c r="A118" s="547" t="s">
        <v>21</v>
      </c>
      <c r="B118" s="547"/>
      <c r="C118" s="543" t="s">
        <v>43</v>
      </c>
      <c r="D118" s="544"/>
      <c r="E118" s="544"/>
      <c r="F118" s="544"/>
      <c r="G118" s="544"/>
      <c r="H118" s="544"/>
      <c r="I118" s="544"/>
      <c r="J118" s="545"/>
      <c r="K118" s="554" t="s">
        <v>19</v>
      </c>
      <c r="L118" s="76"/>
      <c r="M118" s="76"/>
    </row>
    <row r="119" spans="1:13" s="83" customFormat="1" ht="70.5" hidden="1" customHeight="1">
      <c r="A119" s="547"/>
      <c r="B119" s="547"/>
      <c r="C119" s="104" t="s">
        <v>22</v>
      </c>
      <c r="D119" s="104" t="s">
        <v>23</v>
      </c>
      <c r="E119" s="104" t="s">
        <v>24</v>
      </c>
      <c r="F119" s="104" t="s">
        <v>25</v>
      </c>
      <c r="G119" s="104" t="s">
        <v>26</v>
      </c>
      <c r="H119" s="104" t="s">
        <v>27</v>
      </c>
      <c r="I119" s="104" t="s">
        <v>28</v>
      </c>
      <c r="J119" s="104" t="s">
        <v>99</v>
      </c>
      <c r="K119" s="555"/>
      <c r="L119" s="76"/>
      <c r="M119" s="76"/>
    </row>
    <row r="120" spans="1:13" s="83" customFormat="1" ht="17.25" hidden="1">
      <c r="A120" s="105" t="str">
        <f>+IF(ENTREGA!A18="","",ENTREGA!A18)</f>
        <v/>
      </c>
      <c r="B120" s="110">
        <v>1</v>
      </c>
      <c r="C120" s="115"/>
      <c r="D120" s="115"/>
      <c r="E120" s="115"/>
      <c r="F120" s="115"/>
      <c r="G120" s="116"/>
      <c r="H120" s="115"/>
      <c r="I120" s="117"/>
      <c r="J120" s="118"/>
      <c r="K120" s="115"/>
    </row>
    <row r="121" spans="1:13" s="83" customFormat="1" ht="17.25" hidden="1">
      <c r="A121" s="541" t="str">
        <f>IF(A120="","",VLOOKUP(A120,ENTREGA!$A$7:$B$21,2,FALSE))</f>
        <v/>
      </c>
      <c r="B121" s="110">
        <v>2</v>
      </c>
      <c r="C121" s="115"/>
      <c r="D121" s="115"/>
      <c r="E121" s="115"/>
      <c r="F121" s="115"/>
      <c r="G121" s="116"/>
      <c r="H121" s="115"/>
      <c r="I121" s="117"/>
      <c r="J121" s="118"/>
      <c r="K121" s="115"/>
    </row>
    <row r="122" spans="1:13" s="83" customFormat="1" ht="17.25" hidden="1">
      <c r="A122" s="541"/>
      <c r="B122" s="110">
        <v>3</v>
      </c>
      <c r="C122" s="115"/>
      <c r="D122" s="115"/>
      <c r="E122" s="115"/>
      <c r="F122" s="115"/>
      <c r="G122" s="116"/>
      <c r="H122" s="115"/>
      <c r="I122" s="117"/>
      <c r="J122" s="118"/>
      <c r="K122" s="115"/>
    </row>
    <row r="123" spans="1:13" s="83" customFormat="1" ht="17.25" hidden="1">
      <c r="A123" s="541"/>
      <c r="B123" s="110">
        <v>4</v>
      </c>
      <c r="C123" s="115"/>
      <c r="D123" s="115"/>
      <c r="E123" s="115"/>
      <c r="F123" s="115"/>
      <c r="G123" s="116"/>
      <c r="H123" s="115"/>
      <c r="I123" s="117"/>
      <c r="J123" s="118"/>
      <c r="K123" s="115"/>
    </row>
    <row r="124" spans="1:13" s="83" customFormat="1" ht="17.25" hidden="1">
      <c r="A124" s="541"/>
      <c r="B124" s="110">
        <v>5</v>
      </c>
      <c r="C124" s="115"/>
      <c r="D124" s="115"/>
      <c r="E124" s="115"/>
      <c r="F124" s="115"/>
      <c r="G124" s="116"/>
      <c r="H124" s="115"/>
      <c r="I124" s="117"/>
      <c r="J124" s="118"/>
      <c r="K124" s="115"/>
    </row>
    <row r="125" spans="1:13" s="83" customFormat="1" ht="15.75" hidden="1" customHeight="1">
      <c r="A125" s="541"/>
      <c r="B125" s="111"/>
      <c r="C125" s="546" t="s">
        <v>29</v>
      </c>
      <c r="D125" s="546"/>
      <c r="E125" s="546"/>
      <c r="F125" s="546"/>
      <c r="G125" s="108">
        <f>+SUM(G120*I120,G121*I121,G122*I122,G123*I123,G124*I124)</f>
        <v>0</v>
      </c>
      <c r="H125" s="548" t="str">
        <f>+IF(G126&gt;$C$6,"CUMPLE","NO CUMPLE")</f>
        <v>NO CUMPLE</v>
      </c>
      <c r="I125" s="549"/>
      <c r="J125" s="549"/>
      <c r="K125" s="550"/>
    </row>
    <row r="126" spans="1:13" s="83" customFormat="1" ht="16.5" hidden="1" customHeight="1">
      <c r="A126" s="542"/>
      <c r="B126" s="111"/>
      <c r="C126" s="546" t="s">
        <v>33</v>
      </c>
      <c r="D126" s="546"/>
      <c r="E126" s="546"/>
      <c r="F126" s="546"/>
      <c r="G126" s="109">
        <f>+G125/$K$6</f>
        <v>0</v>
      </c>
      <c r="H126" s="551"/>
      <c r="I126" s="552"/>
      <c r="J126" s="552"/>
      <c r="K126" s="553"/>
    </row>
    <row r="127" spans="1:13" ht="15.75" hidden="1">
      <c r="A127" s="99"/>
      <c r="B127" s="99"/>
      <c r="C127" s="99"/>
      <c r="D127" s="99"/>
      <c r="E127" s="99"/>
      <c r="F127" s="99"/>
      <c r="G127" s="99"/>
      <c r="H127" s="99"/>
      <c r="I127" s="99"/>
    </row>
    <row r="128" spans="1:13" s="83" customFormat="1" ht="18.75" hidden="1">
      <c r="A128" s="547" t="s">
        <v>21</v>
      </c>
      <c r="B128" s="547"/>
      <c r="C128" s="543" t="s">
        <v>43</v>
      </c>
      <c r="D128" s="544"/>
      <c r="E128" s="544"/>
      <c r="F128" s="544"/>
      <c r="G128" s="544"/>
      <c r="H128" s="544"/>
      <c r="I128" s="544"/>
      <c r="J128" s="545"/>
      <c r="K128" s="554" t="s">
        <v>19</v>
      </c>
      <c r="L128" s="76"/>
      <c r="M128" s="76"/>
    </row>
    <row r="129" spans="1:13" s="83" customFormat="1" ht="70.5" hidden="1" customHeight="1">
      <c r="A129" s="547"/>
      <c r="B129" s="547"/>
      <c r="C129" s="104" t="s">
        <v>22</v>
      </c>
      <c r="D129" s="104" t="s">
        <v>23</v>
      </c>
      <c r="E129" s="104" t="s">
        <v>24</v>
      </c>
      <c r="F129" s="104" t="s">
        <v>25</v>
      </c>
      <c r="G129" s="104" t="s">
        <v>26</v>
      </c>
      <c r="H129" s="104" t="s">
        <v>27</v>
      </c>
      <c r="I129" s="104" t="s">
        <v>28</v>
      </c>
      <c r="J129" s="104" t="s">
        <v>99</v>
      </c>
      <c r="K129" s="555"/>
      <c r="L129" s="76"/>
      <c r="M129" s="76"/>
    </row>
    <row r="130" spans="1:13" s="83" customFormat="1" ht="17.25" hidden="1">
      <c r="A130" s="105" t="str">
        <f>+IF(ENTREGA!A19="","",ENTREGA!A19)</f>
        <v/>
      </c>
      <c r="B130" s="110">
        <v>1</v>
      </c>
      <c r="C130" s="115"/>
      <c r="D130" s="115"/>
      <c r="E130" s="115"/>
      <c r="F130" s="115"/>
      <c r="G130" s="116"/>
      <c r="H130" s="115"/>
      <c r="I130" s="117"/>
      <c r="J130" s="118"/>
      <c r="K130" s="115"/>
    </row>
    <row r="131" spans="1:13" s="83" customFormat="1" ht="17.25" hidden="1">
      <c r="A131" s="541" t="str">
        <f>IF(A130="","",VLOOKUP(A130,ENTREGA!$A$7:$B$21,2,FALSE))</f>
        <v/>
      </c>
      <c r="B131" s="110">
        <v>2</v>
      </c>
      <c r="C131" s="115"/>
      <c r="D131" s="115"/>
      <c r="E131" s="115"/>
      <c r="F131" s="115"/>
      <c r="G131" s="116"/>
      <c r="H131" s="115"/>
      <c r="I131" s="117"/>
      <c r="J131" s="118"/>
      <c r="K131" s="115"/>
    </row>
    <row r="132" spans="1:13" s="83" customFormat="1" ht="17.25" hidden="1">
      <c r="A132" s="541"/>
      <c r="B132" s="110">
        <v>3</v>
      </c>
      <c r="C132" s="115"/>
      <c r="D132" s="115"/>
      <c r="E132" s="115"/>
      <c r="F132" s="115"/>
      <c r="G132" s="116"/>
      <c r="H132" s="115"/>
      <c r="I132" s="117"/>
      <c r="J132" s="118"/>
      <c r="K132" s="115"/>
    </row>
    <row r="133" spans="1:13" s="83" customFormat="1" ht="17.25" hidden="1">
      <c r="A133" s="541"/>
      <c r="B133" s="110">
        <v>4</v>
      </c>
      <c r="C133" s="115"/>
      <c r="D133" s="115"/>
      <c r="E133" s="115"/>
      <c r="F133" s="115"/>
      <c r="G133" s="116"/>
      <c r="H133" s="115"/>
      <c r="I133" s="117"/>
      <c r="J133" s="118"/>
      <c r="K133" s="115"/>
    </row>
    <row r="134" spans="1:13" s="83" customFormat="1" ht="17.25" hidden="1">
      <c r="A134" s="541"/>
      <c r="B134" s="110">
        <v>5</v>
      </c>
      <c r="C134" s="115"/>
      <c r="D134" s="115"/>
      <c r="E134" s="115"/>
      <c r="F134" s="115"/>
      <c r="G134" s="116"/>
      <c r="H134" s="115"/>
      <c r="I134" s="117"/>
      <c r="J134" s="118"/>
      <c r="K134" s="115"/>
    </row>
    <row r="135" spans="1:13" s="83" customFormat="1" ht="15.75" hidden="1" customHeight="1">
      <c r="A135" s="541"/>
      <c r="B135" s="111"/>
      <c r="C135" s="546" t="s">
        <v>29</v>
      </c>
      <c r="D135" s="546"/>
      <c r="E135" s="546"/>
      <c r="F135" s="546"/>
      <c r="G135" s="108">
        <f>+SUM(G130*I130,G131*I131,G132*I132,G133*I133,G134*I134)</f>
        <v>0</v>
      </c>
      <c r="H135" s="548" t="str">
        <f>+IF(G136&gt;$C$6,"CUMPLE","NO CUMPLE")</f>
        <v>NO CUMPLE</v>
      </c>
      <c r="I135" s="549"/>
      <c r="J135" s="549"/>
      <c r="K135" s="550"/>
    </row>
    <row r="136" spans="1:13" s="83" customFormat="1" ht="16.5" hidden="1" customHeight="1">
      <c r="A136" s="542"/>
      <c r="B136" s="111"/>
      <c r="C136" s="546" t="s">
        <v>33</v>
      </c>
      <c r="D136" s="546"/>
      <c r="E136" s="546"/>
      <c r="F136" s="546"/>
      <c r="G136" s="109">
        <f>+G135/$K$6</f>
        <v>0</v>
      </c>
      <c r="H136" s="551"/>
      <c r="I136" s="552"/>
      <c r="J136" s="552"/>
      <c r="K136" s="553"/>
    </row>
    <row r="137" spans="1:13" ht="15.75" hidden="1">
      <c r="A137" s="99"/>
      <c r="B137" s="99"/>
      <c r="C137" s="99"/>
      <c r="D137" s="99"/>
      <c r="E137" s="99"/>
      <c r="F137" s="99"/>
      <c r="G137" s="99"/>
      <c r="H137" s="99"/>
      <c r="I137" s="99"/>
    </row>
    <row r="138" spans="1:13" s="83" customFormat="1" ht="18.75" hidden="1">
      <c r="A138" s="547" t="s">
        <v>21</v>
      </c>
      <c r="B138" s="547"/>
      <c r="C138" s="543" t="s">
        <v>43</v>
      </c>
      <c r="D138" s="544"/>
      <c r="E138" s="544"/>
      <c r="F138" s="544"/>
      <c r="G138" s="544"/>
      <c r="H138" s="544"/>
      <c r="I138" s="544"/>
      <c r="J138" s="545"/>
      <c r="K138" s="554" t="s">
        <v>19</v>
      </c>
      <c r="L138" s="76"/>
      <c r="M138" s="76"/>
    </row>
    <row r="139" spans="1:13" s="83" customFormat="1" ht="70.5" hidden="1" customHeight="1">
      <c r="A139" s="547"/>
      <c r="B139" s="547"/>
      <c r="C139" s="104" t="s">
        <v>22</v>
      </c>
      <c r="D139" s="104" t="s">
        <v>23</v>
      </c>
      <c r="E139" s="104" t="s">
        <v>24</v>
      </c>
      <c r="F139" s="104" t="s">
        <v>25</v>
      </c>
      <c r="G139" s="104" t="s">
        <v>26</v>
      </c>
      <c r="H139" s="104" t="s">
        <v>27</v>
      </c>
      <c r="I139" s="104" t="s">
        <v>28</v>
      </c>
      <c r="J139" s="104" t="s">
        <v>99</v>
      </c>
      <c r="K139" s="555"/>
      <c r="L139" s="76"/>
    </row>
    <row r="140" spans="1:13" s="83" customFormat="1" ht="17.25" hidden="1">
      <c r="A140" s="105" t="str">
        <f>+IF(ENTREGA!A20="","",ENTREGA!A20)</f>
        <v/>
      </c>
      <c r="B140" s="110">
        <v>1</v>
      </c>
      <c r="C140" s="115"/>
      <c r="D140" s="115"/>
      <c r="E140" s="115"/>
      <c r="F140" s="115"/>
      <c r="G140" s="116"/>
      <c r="H140" s="115"/>
      <c r="I140" s="117"/>
      <c r="J140" s="118"/>
      <c r="K140" s="115"/>
    </row>
    <row r="141" spans="1:13" s="83" customFormat="1" ht="17.25" hidden="1">
      <c r="A141" s="541" t="str">
        <f>IF(A140="","",VLOOKUP(A140,ENTREGA!$A$7:$B$21,2,FALSE))</f>
        <v/>
      </c>
      <c r="B141" s="110">
        <v>2</v>
      </c>
      <c r="C141" s="115"/>
      <c r="D141" s="115"/>
      <c r="E141" s="115"/>
      <c r="F141" s="115"/>
      <c r="G141" s="116"/>
      <c r="H141" s="115"/>
      <c r="I141" s="117"/>
      <c r="J141" s="118"/>
      <c r="K141" s="115"/>
    </row>
    <row r="142" spans="1:13" s="83" customFormat="1" ht="17.25" hidden="1">
      <c r="A142" s="541"/>
      <c r="B142" s="110">
        <v>3</v>
      </c>
      <c r="C142" s="115"/>
      <c r="D142" s="115"/>
      <c r="E142" s="115"/>
      <c r="F142" s="115"/>
      <c r="G142" s="116"/>
      <c r="H142" s="115"/>
      <c r="I142" s="117"/>
      <c r="J142" s="118"/>
      <c r="K142" s="115"/>
    </row>
    <row r="143" spans="1:13" s="83" customFormat="1" ht="17.25" hidden="1">
      <c r="A143" s="541"/>
      <c r="B143" s="110">
        <v>4</v>
      </c>
      <c r="C143" s="115"/>
      <c r="D143" s="115"/>
      <c r="E143" s="115"/>
      <c r="F143" s="115"/>
      <c r="G143" s="116"/>
      <c r="H143" s="115"/>
      <c r="I143" s="117"/>
      <c r="J143" s="118"/>
      <c r="K143" s="115"/>
    </row>
    <row r="144" spans="1:13" s="83" customFormat="1" ht="17.25" hidden="1">
      <c r="A144" s="541"/>
      <c r="B144" s="110">
        <v>5</v>
      </c>
      <c r="C144" s="115"/>
      <c r="D144" s="115"/>
      <c r="E144" s="115"/>
      <c r="F144" s="115"/>
      <c r="G144" s="116"/>
      <c r="H144" s="115"/>
      <c r="I144" s="117"/>
      <c r="J144" s="118"/>
      <c r="K144" s="115"/>
    </row>
    <row r="145" spans="1:13" s="83" customFormat="1" ht="15.75" hidden="1" customHeight="1">
      <c r="A145" s="541"/>
      <c r="B145" s="111"/>
      <c r="C145" s="546" t="s">
        <v>29</v>
      </c>
      <c r="D145" s="546"/>
      <c r="E145" s="546"/>
      <c r="F145" s="546"/>
      <c r="G145" s="108">
        <f>+SUM(G140*I140,G141*I141,G142*I142,G143*I143,G144*I144)</f>
        <v>0</v>
      </c>
      <c r="H145" s="548" t="str">
        <f>+IF(G146&gt;$C$6,"CUMPLE","NO CUMPLE")</f>
        <v>NO CUMPLE</v>
      </c>
      <c r="I145" s="549"/>
      <c r="J145" s="549"/>
      <c r="K145" s="550"/>
    </row>
    <row r="146" spans="1:13" s="83" customFormat="1" ht="16.5" hidden="1" customHeight="1">
      <c r="A146" s="542"/>
      <c r="B146" s="111"/>
      <c r="C146" s="546" t="s">
        <v>33</v>
      </c>
      <c r="D146" s="546"/>
      <c r="E146" s="546"/>
      <c r="F146" s="546"/>
      <c r="G146" s="109">
        <f>+G145/$K$6</f>
        <v>0</v>
      </c>
      <c r="H146" s="551"/>
      <c r="I146" s="552"/>
      <c r="J146" s="552"/>
      <c r="K146" s="553"/>
    </row>
    <row r="147" spans="1:13" ht="15.75" hidden="1">
      <c r="A147" s="99"/>
      <c r="B147" s="99"/>
      <c r="C147" s="99"/>
      <c r="D147" s="99"/>
      <c r="E147" s="99"/>
      <c r="F147" s="99"/>
      <c r="G147" s="99"/>
      <c r="H147" s="99"/>
      <c r="I147" s="99"/>
    </row>
    <row r="148" spans="1:13" s="83" customFormat="1" ht="18.75" hidden="1">
      <c r="A148" s="547" t="s">
        <v>21</v>
      </c>
      <c r="B148" s="547"/>
      <c r="C148" s="543" t="s">
        <v>43</v>
      </c>
      <c r="D148" s="544"/>
      <c r="E148" s="544"/>
      <c r="F148" s="544"/>
      <c r="G148" s="544"/>
      <c r="H148" s="544"/>
      <c r="I148" s="544"/>
      <c r="J148" s="545"/>
      <c r="K148" s="554" t="s">
        <v>19</v>
      </c>
      <c r="L148" s="76"/>
      <c r="M148" s="76"/>
    </row>
    <row r="149" spans="1:13" s="83" customFormat="1" ht="70.5" hidden="1" customHeight="1">
      <c r="A149" s="547"/>
      <c r="B149" s="547"/>
      <c r="C149" s="104" t="s">
        <v>22</v>
      </c>
      <c r="D149" s="104" t="s">
        <v>23</v>
      </c>
      <c r="E149" s="104" t="s">
        <v>24</v>
      </c>
      <c r="F149" s="104" t="s">
        <v>25</v>
      </c>
      <c r="G149" s="104" t="s">
        <v>26</v>
      </c>
      <c r="H149" s="104" t="s">
        <v>27</v>
      </c>
      <c r="I149" s="104" t="s">
        <v>28</v>
      </c>
      <c r="J149" s="104" t="s">
        <v>99</v>
      </c>
      <c r="K149" s="555"/>
      <c r="L149" s="76"/>
      <c r="M149" s="76"/>
    </row>
    <row r="150" spans="1:13" s="83" customFormat="1" ht="17.25" hidden="1">
      <c r="A150" s="105" t="str">
        <f>+IF(ENTREGA!A21="","",ENTREGA!A21)</f>
        <v/>
      </c>
      <c r="B150" s="110">
        <v>1</v>
      </c>
      <c r="C150" s="115"/>
      <c r="D150" s="115"/>
      <c r="E150" s="115"/>
      <c r="F150" s="115"/>
      <c r="G150" s="116"/>
      <c r="H150" s="115"/>
      <c r="I150" s="117"/>
      <c r="J150" s="118"/>
      <c r="K150" s="115"/>
    </row>
    <row r="151" spans="1:13" s="83" customFormat="1" ht="17.25" hidden="1">
      <c r="A151" s="541" t="str">
        <f>IF(A150="","",VLOOKUP(A150,ENTREGA!$A$7:$B$21,2,FALSE))</f>
        <v/>
      </c>
      <c r="B151" s="110">
        <v>2</v>
      </c>
      <c r="C151" s="115"/>
      <c r="D151" s="115"/>
      <c r="E151" s="115"/>
      <c r="F151" s="115"/>
      <c r="G151" s="116"/>
      <c r="H151" s="115"/>
      <c r="I151" s="117"/>
      <c r="J151" s="118"/>
      <c r="K151" s="115"/>
    </row>
    <row r="152" spans="1:13" s="83" customFormat="1" ht="17.25" hidden="1">
      <c r="A152" s="541"/>
      <c r="B152" s="110">
        <v>3</v>
      </c>
      <c r="C152" s="115"/>
      <c r="D152" s="115"/>
      <c r="E152" s="115"/>
      <c r="F152" s="115"/>
      <c r="G152" s="116"/>
      <c r="H152" s="115"/>
      <c r="I152" s="117"/>
      <c r="J152" s="118"/>
      <c r="K152" s="115"/>
    </row>
    <row r="153" spans="1:13" s="83" customFormat="1" ht="17.25" hidden="1">
      <c r="A153" s="541"/>
      <c r="B153" s="110">
        <v>4</v>
      </c>
      <c r="C153" s="115"/>
      <c r="D153" s="115"/>
      <c r="E153" s="115"/>
      <c r="F153" s="115"/>
      <c r="G153" s="116"/>
      <c r="H153" s="115"/>
      <c r="I153" s="117"/>
      <c r="J153" s="118"/>
      <c r="K153" s="115"/>
    </row>
    <row r="154" spans="1:13" s="83" customFormat="1" ht="17.25" hidden="1">
      <c r="A154" s="541"/>
      <c r="B154" s="110">
        <v>5</v>
      </c>
      <c r="C154" s="115"/>
      <c r="D154" s="115"/>
      <c r="E154" s="115"/>
      <c r="F154" s="115"/>
      <c r="G154" s="116"/>
      <c r="H154" s="115"/>
      <c r="I154" s="117"/>
      <c r="J154" s="118"/>
      <c r="K154" s="115"/>
    </row>
    <row r="155" spans="1:13" s="83" customFormat="1" ht="15.75" hidden="1" customHeight="1">
      <c r="A155" s="541"/>
      <c r="B155" s="111"/>
      <c r="C155" s="546" t="s">
        <v>29</v>
      </c>
      <c r="D155" s="546"/>
      <c r="E155" s="546"/>
      <c r="F155" s="546"/>
      <c r="G155" s="108">
        <f>+SUM(G150*I150,G151*I151,G152*I152,G153*I153,G154*I154)</f>
        <v>0</v>
      </c>
      <c r="H155" s="548" t="str">
        <f>+IF(G156&gt;$C$6,"CUMPLE","NO CUMPLE")</f>
        <v>NO CUMPLE</v>
      </c>
      <c r="I155" s="549"/>
      <c r="J155" s="549"/>
      <c r="K155" s="550"/>
    </row>
    <row r="156" spans="1:13" s="83" customFormat="1" ht="16.5" hidden="1" customHeight="1">
      <c r="A156" s="542"/>
      <c r="B156" s="111"/>
      <c r="C156" s="546" t="s">
        <v>33</v>
      </c>
      <c r="D156" s="546"/>
      <c r="E156" s="546"/>
      <c r="F156" s="546"/>
      <c r="G156" s="109">
        <f>+G155/$K$6</f>
        <v>0</v>
      </c>
      <c r="H156" s="551"/>
      <c r="I156" s="552"/>
      <c r="J156" s="552"/>
      <c r="K156" s="553"/>
    </row>
    <row r="157" spans="1:13" hidden="1"/>
    <row r="158" spans="1:13" hidden="1"/>
    <row r="159" spans="1:13" hidden="1"/>
    <row r="160" spans="1:13" hidden="1"/>
  </sheetData>
  <sheetProtection algorithmName="SHA-512" hashValue="qB9zYXnMRuQsiE/ftfAdDX4SyuDhumrE/bsPJnd8Gum/bYBjFCSu6aTlnYyPiT0IT6nupEZfpxEZHMRC3gxZQw==" saltValue="MxuyUuAK+sDLCPKptio4WQ==" spinCount="100000" sheet="1" objects="1" scenarios="1" selectLockedCells="1" selectUnlockedCells="1"/>
  <mergeCells count="113">
    <mergeCell ref="A1:K1"/>
    <mergeCell ref="G5:H6"/>
    <mergeCell ref="I5:J5"/>
    <mergeCell ref="I6:J6"/>
    <mergeCell ref="A5:B5"/>
    <mergeCell ref="A6:B6"/>
    <mergeCell ref="H15:K16"/>
    <mergeCell ref="H25:K26"/>
    <mergeCell ref="C25:F25"/>
    <mergeCell ref="C15:F15"/>
    <mergeCell ref="A4:I4"/>
    <mergeCell ref="A8:B9"/>
    <mergeCell ref="A18:B19"/>
    <mergeCell ref="A11:A16"/>
    <mergeCell ref="A21:A26"/>
    <mergeCell ref="C18:J18"/>
    <mergeCell ref="C26:F26"/>
    <mergeCell ref="C16:F16"/>
    <mergeCell ref="C8:J8"/>
    <mergeCell ref="A3:K3"/>
    <mergeCell ref="K8:K9"/>
    <mergeCell ref="K18:K19"/>
    <mergeCell ref="A28:B29"/>
    <mergeCell ref="C36:F36"/>
    <mergeCell ref="C35:F35"/>
    <mergeCell ref="C105:F105"/>
    <mergeCell ref="C106:F106"/>
    <mergeCell ref="C98:J98"/>
    <mergeCell ref="C28:J28"/>
    <mergeCell ref="A31:A36"/>
    <mergeCell ref="A38:B39"/>
    <mergeCell ref="A48:B49"/>
    <mergeCell ref="A58:B59"/>
    <mergeCell ref="A68:B69"/>
    <mergeCell ref="A41:A46"/>
    <mergeCell ref="A71:A76"/>
    <mergeCell ref="A81:A86"/>
    <mergeCell ref="A91:A96"/>
    <mergeCell ref="A101:A106"/>
    <mergeCell ref="H95:K96"/>
    <mergeCell ref="A51:A56"/>
    <mergeCell ref="A61:A66"/>
    <mergeCell ref="C66:F66"/>
    <mergeCell ref="K98:K99"/>
    <mergeCell ref="C78:J78"/>
    <mergeCell ref="A88:B89"/>
    <mergeCell ref="K28:K29"/>
    <mergeCell ref="K38:K39"/>
    <mergeCell ref="K48:K49"/>
    <mergeCell ref="K58:K59"/>
    <mergeCell ref="K68:K69"/>
    <mergeCell ref="K78:K79"/>
    <mergeCell ref="K88:K89"/>
    <mergeCell ref="H35:K36"/>
    <mergeCell ref="C46:F46"/>
    <mergeCell ref="C65:F65"/>
    <mergeCell ref="C55:F55"/>
    <mergeCell ref="C56:F56"/>
    <mergeCell ref="C45:F45"/>
    <mergeCell ref="C38:J38"/>
    <mergeCell ref="H45:K46"/>
    <mergeCell ref="C48:J48"/>
    <mergeCell ref="H55:K56"/>
    <mergeCell ref="H65:K66"/>
    <mergeCell ref="H75:K76"/>
    <mergeCell ref="H85:K86"/>
    <mergeCell ref="C75:F75"/>
    <mergeCell ref="C76:F76"/>
    <mergeCell ref="C58:J58"/>
    <mergeCell ref="C68:J68"/>
    <mergeCell ref="C95:F95"/>
    <mergeCell ref="C96:F96"/>
    <mergeCell ref="C88:J88"/>
    <mergeCell ref="A78:B79"/>
    <mergeCell ref="H105:K106"/>
    <mergeCell ref="C85:F85"/>
    <mergeCell ref="C86:F86"/>
    <mergeCell ref="A98:B99"/>
    <mergeCell ref="K108:K109"/>
    <mergeCell ref="C108:J108"/>
    <mergeCell ref="A108:B109"/>
    <mergeCell ref="K118:K119"/>
    <mergeCell ref="K128:K129"/>
    <mergeCell ref="A111:A116"/>
    <mergeCell ref="H125:K126"/>
    <mergeCell ref="H135:K136"/>
    <mergeCell ref="A131:A136"/>
    <mergeCell ref="A128:B129"/>
    <mergeCell ref="C128:J128"/>
    <mergeCell ref="C115:F115"/>
    <mergeCell ref="C116:F116"/>
    <mergeCell ref="H115:K116"/>
    <mergeCell ref="C135:F135"/>
    <mergeCell ref="C136:F136"/>
    <mergeCell ref="C125:F125"/>
    <mergeCell ref="C126:F126"/>
    <mergeCell ref="C118:J118"/>
    <mergeCell ref="A121:A126"/>
    <mergeCell ref="A118:B119"/>
    <mergeCell ref="A141:A146"/>
    <mergeCell ref="A151:A156"/>
    <mergeCell ref="C148:J148"/>
    <mergeCell ref="C155:F155"/>
    <mergeCell ref="C156:F156"/>
    <mergeCell ref="A138:B139"/>
    <mergeCell ref="C138:J138"/>
    <mergeCell ref="C145:F145"/>
    <mergeCell ref="C146:F146"/>
    <mergeCell ref="H145:K146"/>
    <mergeCell ref="H155:K156"/>
    <mergeCell ref="K138:K139"/>
    <mergeCell ref="K148:K149"/>
    <mergeCell ref="A148:B149"/>
  </mergeCells>
  <conditionalFormatting sqref="H15">
    <cfRule type="cellIs" dxfId="18" priority="95" stopIfTrue="1" operator="equal">
      <formula>"no cumple"</formula>
    </cfRule>
  </conditionalFormatting>
  <conditionalFormatting sqref="H25">
    <cfRule type="cellIs" dxfId="17" priority="14" stopIfTrue="1" operator="equal">
      <formula>"no cumple"</formula>
    </cfRule>
  </conditionalFormatting>
  <conditionalFormatting sqref="H35">
    <cfRule type="cellIs" dxfId="16" priority="13" stopIfTrue="1" operator="equal">
      <formula>"no cumple"</formula>
    </cfRule>
  </conditionalFormatting>
  <conditionalFormatting sqref="H45">
    <cfRule type="cellIs" dxfId="15" priority="12" stopIfTrue="1" operator="equal">
      <formula>"no cumple"</formula>
    </cfRule>
  </conditionalFormatting>
  <conditionalFormatting sqref="H55">
    <cfRule type="cellIs" dxfId="14" priority="11" stopIfTrue="1" operator="equal">
      <formula>"no cumple"</formula>
    </cfRule>
  </conditionalFormatting>
  <conditionalFormatting sqref="H65">
    <cfRule type="cellIs" dxfId="13" priority="10" stopIfTrue="1" operator="equal">
      <formula>"no cumple"</formula>
    </cfRule>
  </conditionalFormatting>
  <conditionalFormatting sqref="H75">
    <cfRule type="cellIs" dxfId="12" priority="9" stopIfTrue="1" operator="equal">
      <formula>"no cumple"</formula>
    </cfRule>
  </conditionalFormatting>
  <conditionalFormatting sqref="H85">
    <cfRule type="cellIs" dxfId="11" priority="8" stopIfTrue="1" operator="equal">
      <formula>"no cumple"</formula>
    </cfRule>
  </conditionalFormatting>
  <conditionalFormatting sqref="H95">
    <cfRule type="cellIs" dxfId="10" priority="7" stopIfTrue="1" operator="equal">
      <formula>"no cumple"</formula>
    </cfRule>
  </conditionalFormatting>
  <conditionalFormatting sqref="H105">
    <cfRule type="cellIs" dxfId="9" priority="6" stopIfTrue="1" operator="equal">
      <formula>"no cumple"</formula>
    </cfRule>
  </conditionalFormatting>
  <conditionalFormatting sqref="H115">
    <cfRule type="cellIs" dxfId="8" priority="5" stopIfTrue="1" operator="equal">
      <formula>"no cumple"</formula>
    </cfRule>
  </conditionalFormatting>
  <conditionalFormatting sqref="H125">
    <cfRule type="cellIs" dxfId="7" priority="4" stopIfTrue="1" operator="equal">
      <formula>"no cumple"</formula>
    </cfRule>
  </conditionalFormatting>
  <conditionalFormatting sqref="H135">
    <cfRule type="cellIs" dxfId="6" priority="3" stopIfTrue="1" operator="equal">
      <formula>"no cumple"</formula>
    </cfRule>
  </conditionalFormatting>
  <conditionalFormatting sqref="H145">
    <cfRule type="cellIs" dxfId="5" priority="2" stopIfTrue="1" operator="equal">
      <formula>"no cumple"</formula>
    </cfRule>
  </conditionalFormatting>
  <conditionalFormatting sqref="H155">
    <cfRule type="cellIs" dxfId="4" priority="1" stopIfTrue="1" operator="equal">
      <formula>"no cumple"</formula>
    </cfRule>
  </conditionalFormatting>
  <printOptions horizontalCentered="1"/>
  <pageMargins left="0.59055118110236227" right="0.39370078740157483" top="0.59055118110236227" bottom="0.39370078740157483" header="0.31496062992125984" footer="0.31496062992125984"/>
  <pageSetup scale="68" orientation="landscape" horizontalDpi="300" verticalDpi="300"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Q20"/>
  <sheetViews>
    <sheetView zoomScale="85" zoomScaleNormal="85" zoomScaleSheetLayoutView="70" workbookViewId="0">
      <selection activeCell="G39" sqref="G39"/>
    </sheetView>
  </sheetViews>
  <sheetFormatPr baseColWidth="10" defaultColWidth="11.42578125" defaultRowHeight="15"/>
  <cols>
    <col min="1" max="1" width="8.140625" style="76" customWidth="1"/>
    <col min="2" max="2" width="40.5703125" style="76" customWidth="1"/>
    <col min="3" max="4" width="19.5703125" style="88" bestFit="1" customWidth="1"/>
    <col min="5" max="5" width="7.7109375" style="88" bestFit="1" customWidth="1"/>
    <col min="6" max="6" width="16.140625" style="88" bestFit="1" customWidth="1"/>
    <col min="7" max="7" width="17.28515625" style="76" bestFit="1" customWidth="1"/>
    <col min="8" max="8" width="16.28515625" style="76" bestFit="1" customWidth="1"/>
    <col min="9" max="9" width="7.7109375" style="88" bestFit="1" customWidth="1"/>
    <col min="10" max="10" width="14.28515625" style="88" customWidth="1"/>
    <col min="11" max="11" width="16.28515625" style="88" customWidth="1"/>
    <col min="12" max="12" width="17.85546875" style="88" customWidth="1"/>
    <col min="13" max="13" width="16.28515625" style="88" bestFit="1" customWidth="1"/>
    <col min="14" max="14" width="13.28515625" style="88" customWidth="1"/>
    <col min="15" max="16384" width="11.42578125" style="76"/>
  </cols>
  <sheetData>
    <row r="1" spans="1:17" ht="24" customHeight="1">
      <c r="A1" s="570" t="s">
        <v>69</v>
      </c>
      <c r="B1" s="556"/>
      <c r="C1" s="556"/>
      <c r="D1" s="556"/>
      <c r="E1" s="556"/>
      <c r="F1" s="556"/>
      <c r="G1" s="556"/>
      <c r="H1" s="556"/>
      <c r="I1" s="556"/>
      <c r="J1" s="556"/>
      <c r="K1" s="556"/>
      <c r="L1" s="556"/>
      <c r="M1" s="556"/>
      <c r="N1" s="556"/>
    </row>
    <row r="2" spans="1:17" s="78" customFormat="1" ht="15.75" customHeight="1">
      <c r="A2" s="77"/>
      <c r="B2" s="77"/>
      <c r="C2" s="77"/>
      <c r="D2" s="77"/>
      <c r="E2" s="77"/>
      <c r="F2" s="77"/>
      <c r="G2" s="77"/>
      <c r="H2" s="77"/>
      <c r="I2" s="77"/>
      <c r="J2" s="77"/>
      <c r="K2" s="77"/>
      <c r="L2" s="77"/>
      <c r="M2" s="77"/>
      <c r="N2" s="77"/>
    </row>
    <row r="3" spans="1:17" ht="15.75" customHeight="1">
      <c r="A3" s="573" t="s">
        <v>34</v>
      </c>
      <c r="B3" s="573" t="s">
        <v>17</v>
      </c>
      <c r="C3" s="574" t="s">
        <v>11</v>
      </c>
      <c r="D3" s="574"/>
      <c r="E3" s="574"/>
      <c r="F3" s="574"/>
      <c r="G3" s="571" t="s">
        <v>12</v>
      </c>
      <c r="H3" s="571"/>
      <c r="I3" s="571"/>
      <c r="J3" s="571"/>
      <c r="K3" s="572" t="s">
        <v>16</v>
      </c>
      <c r="L3" s="572"/>
      <c r="M3" s="572"/>
      <c r="N3" s="572"/>
    </row>
    <row r="4" spans="1:17" ht="35.25" customHeight="1">
      <c r="A4" s="573"/>
      <c r="B4" s="573"/>
      <c r="C4" s="79" t="s">
        <v>15</v>
      </c>
      <c r="D4" s="575" t="s">
        <v>129</v>
      </c>
      <c r="E4" s="576"/>
      <c r="F4" s="91">
        <v>2</v>
      </c>
      <c r="G4" s="80" t="s">
        <v>55</v>
      </c>
      <c r="H4" s="577" t="s">
        <v>131</v>
      </c>
      <c r="I4" s="578"/>
      <c r="J4" s="92">
        <v>0.6</v>
      </c>
      <c r="K4" s="81" t="s">
        <v>74</v>
      </c>
      <c r="L4" s="579" t="s">
        <v>132</v>
      </c>
      <c r="M4" s="580"/>
      <c r="N4" s="93">
        <v>2</v>
      </c>
    </row>
    <row r="5" spans="1:17" s="83" customFormat="1" ht="27.75" customHeight="1">
      <c r="A5" s="573"/>
      <c r="B5" s="573"/>
      <c r="C5" s="79" t="s">
        <v>9</v>
      </c>
      <c r="D5" s="79" t="s">
        <v>10</v>
      </c>
      <c r="E5" s="79" t="s">
        <v>2</v>
      </c>
      <c r="F5" s="79" t="s">
        <v>130</v>
      </c>
      <c r="G5" s="80" t="s">
        <v>13</v>
      </c>
      <c r="H5" s="80" t="s">
        <v>14</v>
      </c>
      <c r="I5" s="80" t="s">
        <v>2</v>
      </c>
      <c r="J5" s="80" t="s">
        <v>130</v>
      </c>
      <c r="K5" s="82" t="s">
        <v>9</v>
      </c>
      <c r="L5" s="82" t="s">
        <v>10</v>
      </c>
      <c r="M5" s="82" t="s">
        <v>2</v>
      </c>
      <c r="N5" s="82" t="s">
        <v>130</v>
      </c>
    </row>
    <row r="6" spans="1:17" s="83" customFormat="1" ht="36.75" customHeight="1">
      <c r="A6" s="47">
        <f>IF(ENTREGA!A7="","",ENTREGA!A7)</f>
        <v>1</v>
      </c>
      <c r="B6" s="84" t="str">
        <f>IF(A6="","",VLOOKUP(A6,ENTREGA!$A$7:$B$21,2,FALSE))</f>
        <v xml:space="preserve">GUSTAVO ADOLFO CARMONA ALARCÓN </v>
      </c>
      <c r="C6" s="89">
        <v>3761366487</v>
      </c>
      <c r="D6" s="89">
        <v>37674000</v>
      </c>
      <c r="E6" s="85">
        <f>IF(B6="","",IF(D6="",0,C6/D6))</f>
        <v>99.839849418697241</v>
      </c>
      <c r="F6" s="86" t="str">
        <f t="shared" ref="F6:F20" si="0">IF(B6="","",IF(E6="","NO CUMPLE",IF(E6&gt;=$F$4,"CUMPLE","NO CUMPLE")))</f>
        <v>CUMPLE</v>
      </c>
      <c r="G6" s="90">
        <v>996373673</v>
      </c>
      <c r="H6" s="90">
        <v>4477462700</v>
      </c>
      <c r="I6" s="87">
        <f>IF(B6="","",IF(H6="","",G6/H6))</f>
        <v>0.22253087066476288</v>
      </c>
      <c r="J6" s="86" t="str">
        <f t="shared" ref="J6:J20" si="1">IF(B6="","",IF(I6&lt;=$J$4,"CUMPLE","NO CUMPLE"))</f>
        <v>CUMPLE</v>
      </c>
      <c r="K6" s="85">
        <f t="shared" ref="K6:K14" si="2">IF(B6="","",C6)</f>
        <v>3761366487</v>
      </c>
      <c r="L6" s="85">
        <f t="shared" ref="L6:L14" si="3">IF(B6="","",D6)</f>
        <v>37674000</v>
      </c>
      <c r="M6" s="85">
        <f>IF(B6="","",IF(K6="","",K6-L6))</f>
        <v>3723692487</v>
      </c>
      <c r="N6" s="86" t="str">
        <f>IF(B6="","",IF(M6="","NO CUMPLE",IF(M6&gt;$N$4*'3.2.1 EXPERIENCIA GRAL'!$I$6,"CUMPLE","NO CUMPLE")))</f>
        <v>CUMPLE</v>
      </c>
    </row>
    <row r="7" spans="1:17" s="83" customFormat="1" ht="39.75" customHeight="1">
      <c r="A7" s="47">
        <f>IF(ENTREGA!A8="","",ENTREGA!A8)</f>
        <v>2</v>
      </c>
      <c r="B7" s="84" t="str">
        <f>IF(A7="","",VLOOKUP(A7,ENTREGA!$A$7:$B$21,2,FALSE))</f>
        <v>CONSTRUCTORES E INGENIEROS UNIDOS S.A.S (CONINSAS)</v>
      </c>
      <c r="C7" s="89">
        <v>4785895428</v>
      </c>
      <c r="D7" s="89">
        <v>1649991267</v>
      </c>
      <c r="E7" s="85">
        <f t="shared" ref="E7:E20" si="4">IF(B7="","",IF(D7="",0,C7/D7))</f>
        <v>2.9005580354989844</v>
      </c>
      <c r="F7" s="86" t="str">
        <f t="shared" si="0"/>
        <v>CUMPLE</v>
      </c>
      <c r="G7" s="90">
        <v>2569991267</v>
      </c>
      <c r="H7" s="90">
        <v>5078882555</v>
      </c>
      <c r="I7" s="87">
        <f t="shared" ref="I7:I20" si="5">IF(B7="","",IF(H7="","",G7/H7))</f>
        <v>0.50601510059923016</v>
      </c>
      <c r="J7" s="86" t="str">
        <f t="shared" si="1"/>
        <v>CUMPLE</v>
      </c>
      <c r="K7" s="85">
        <f t="shared" si="2"/>
        <v>4785895428</v>
      </c>
      <c r="L7" s="85">
        <f t="shared" si="3"/>
        <v>1649991267</v>
      </c>
      <c r="M7" s="85">
        <f t="shared" ref="M7:M20" si="6">IF(B7="","",IF(K7="","",K7-L7))</f>
        <v>3135904161</v>
      </c>
      <c r="N7" s="86" t="str">
        <f>IF(B7="","",IF(M7="","NO CUMPLE",IF(M7&gt;$N$4*'3.2.1 EXPERIENCIA GRAL'!$I$6,"CUMPLE","NO CUMPLE")))</f>
        <v>CUMPLE</v>
      </c>
    </row>
    <row r="8" spans="1:17" s="83" customFormat="1" ht="42.75" customHeight="1">
      <c r="A8" s="47">
        <f>IF(ENTREGA!A9="","",ENTREGA!A9)</f>
        <v>3</v>
      </c>
      <c r="B8" s="84" t="str">
        <f>IF(A8="","",VLOOKUP(A8,ENTREGA!$A$7:$B$21,2,FALSE))</f>
        <v>ADMINISTRACCIÓN PUBLICA COOPERATIVA DE DEPARTAMENTOS Y MUNICIPIOS DE COLOMBIA (CODENCO)</v>
      </c>
      <c r="C8" s="89">
        <v>3455037000</v>
      </c>
      <c r="D8" s="89">
        <v>65212000</v>
      </c>
      <c r="E8" s="85">
        <f t="shared" si="4"/>
        <v>52.981613813408572</v>
      </c>
      <c r="F8" s="86" t="str">
        <f t="shared" si="0"/>
        <v>CUMPLE</v>
      </c>
      <c r="G8" s="90">
        <v>95740000</v>
      </c>
      <c r="H8" s="90">
        <v>3794263000</v>
      </c>
      <c r="I8" s="87">
        <f t="shared" si="5"/>
        <v>2.5232831777870959E-2</v>
      </c>
      <c r="J8" s="86" t="str">
        <f t="shared" si="1"/>
        <v>CUMPLE</v>
      </c>
      <c r="K8" s="85">
        <f t="shared" si="2"/>
        <v>3455037000</v>
      </c>
      <c r="L8" s="85">
        <f t="shared" si="3"/>
        <v>65212000</v>
      </c>
      <c r="M8" s="85">
        <f t="shared" si="6"/>
        <v>3389825000</v>
      </c>
      <c r="N8" s="86" t="str">
        <f>IF(B8="","",IF(M8="","NO CUMPLE",IF(M8&gt;$N$4*'3.2.1 EXPERIENCIA GRAL'!$I$6,"CUMPLE","NO CUMPLE")))</f>
        <v>CUMPLE</v>
      </c>
    </row>
    <row r="9" spans="1:17" s="83" customFormat="1" ht="25.5" customHeight="1">
      <c r="A9" s="47">
        <f>IF(ENTREGA!A10="","",ENTREGA!A10)</f>
        <v>4</v>
      </c>
      <c r="B9" s="84" t="str">
        <f>IF(A9="","",VLOOKUP(A9,ENTREGA!$A$7:$B$21,2,FALSE))</f>
        <v>GUSTAVO ENRIQUE CARDONA VERGARA</v>
      </c>
      <c r="C9" s="89">
        <v>4039806306</v>
      </c>
      <c r="D9" s="89">
        <v>32471688</v>
      </c>
      <c r="E9" s="85">
        <f t="shared" si="4"/>
        <v>124.41011092493868</v>
      </c>
      <c r="F9" s="86" t="str">
        <f t="shared" si="0"/>
        <v>CUMPLE</v>
      </c>
      <c r="G9" s="90">
        <v>1500977148</v>
      </c>
      <c r="H9" s="90">
        <v>4821565806</v>
      </c>
      <c r="I9" s="87">
        <f t="shared" si="5"/>
        <v>0.31130491802728699</v>
      </c>
      <c r="J9" s="86" t="str">
        <f t="shared" si="1"/>
        <v>CUMPLE</v>
      </c>
      <c r="K9" s="85">
        <f t="shared" si="2"/>
        <v>4039806306</v>
      </c>
      <c r="L9" s="85">
        <f t="shared" si="3"/>
        <v>32471688</v>
      </c>
      <c r="M9" s="85">
        <f t="shared" si="6"/>
        <v>4007334618</v>
      </c>
      <c r="N9" s="86" t="str">
        <f>IF(B9="","",IF(M9="","NO CUMPLE",IF(M9&gt;$N$4*'3.2.1 EXPERIENCIA GRAL'!$I$6,"CUMPLE","NO CUMPLE")))</f>
        <v>CUMPLE</v>
      </c>
    </row>
    <row r="10" spans="1:17" s="83" customFormat="1" ht="25.5" hidden="1" customHeight="1">
      <c r="A10" s="47" t="str">
        <f>IF(ENTREGA!A11="","",ENTREGA!A11)</f>
        <v/>
      </c>
      <c r="B10" s="84" t="str">
        <f>IF(A10="","",VLOOKUP(A10,ENTREGA!$A$7:$B$21,2,FALSE))</f>
        <v/>
      </c>
      <c r="C10" s="89"/>
      <c r="D10" s="89"/>
      <c r="E10" s="85" t="str">
        <f t="shared" si="4"/>
        <v/>
      </c>
      <c r="F10" s="86" t="str">
        <f t="shared" si="0"/>
        <v/>
      </c>
      <c r="G10" s="90"/>
      <c r="H10" s="90"/>
      <c r="I10" s="87" t="str">
        <f t="shared" si="5"/>
        <v/>
      </c>
      <c r="J10" s="86" t="str">
        <f t="shared" si="1"/>
        <v/>
      </c>
      <c r="K10" s="85" t="str">
        <f t="shared" si="2"/>
        <v/>
      </c>
      <c r="L10" s="85" t="str">
        <f t="shared" si="3"/>
        <v/>
      </c>
      <c r="M10" s="85" t="str">
        <f t="shared" si="6"/>
        <v/>
      </c>
      <c r="N10" s="86" t="str">
        <f>IF(B10="","",IF(M10="","NO CUMPLE",IF(M10&gt;$N$4*'3.2.1 EXPERIENCIA GRAL'!$I$6,"CUMPLE","NO CUMPLE")))</f>
        <v/>
      </c>
    </row>
    <row r="11" spans="1:17" ht="25.5" hidden="1" customHeight="1">
      <c r="A11" s="47" t="str">
        <f>IF(ENTREGA!A12="","",ENTREGA!A12)</f>
        <v/>
      </c>
      <c r="B11" s="84" t="str">
        <f>IF(A11="","",VLOOKUP(A11,ENTREGA!$A$7:$B$21,2,FALSE))</f>
        <v/>
      </c>
      <c r="C11" s="89"/>
      <c r="D11" s="89"/>
      <c r="E11" s="85" t="str">
        <f t="shared" si="4"/>
        <v/>
      </c>
      <c r="F11" s="86" t="str">
        <f t="shared" si="0"/>
        <v/>
      </c>
      <c r="G11" s="90"/>
      <c r="H11" s="90"/>
      <c r="I11" s="87" t="str">
        <f t="shared" si="5"/>
        <v/>
      </c>
      <c r="J11" s="86" t="str">
        <f t="shared" si="1"/>
        <v/>
      </c>
      <c r="K11" s="85" t="str">
        <f t="shared" si="2"/>
        <v/>
      </c>
      <c r="L11" s="85" t="str">
        <f t="shared" si="3"/>
        <v/>
      </c>
      <c r="M11" s="85" t="str">
        <f t="shared" si="6"/>
        <v/>
      </c>
      <c r="N11" s="86" t="str">
        <f>IF(B11="","",IF(M11="","NO CUMPLE",IF(M11&gt;$N$4*'3.2.1 EXPERIENCIA GRAL'!$I$6,"CUMPLE","NO CUMPLE")))</f>
        <v/>
      </c>
    </row>
    <row r="12" spans="1:17" ht="25.5" hidden="1" customHeight="1">
      <c r="A12" s="47" t="str">
        <f>IF(ENTREGA!A13="","",ENTREGA!A13)</f>
        <v/>
      </c>
      <c r="B12" s="84" t="str">
        <f>IF(A12="","",VLOOKUP(A12,ENTREGA!$A$7:$B$21,2,FALSE))</f>
        <v/>
      </c>
      <c r="C12" s="89"/>
      <c r="D12" s="89"/>
      <c r="E12" s="85" t="str">
        <f t="shared" si="4"/>
        <v/>
      </c>
      <c r="F12" s="86" t="str">
        <f t="shared" si="0"/>
        <v/>
      </c>
      <c r="G12" s="90"/>
      <c r="H12" s="90"/>
      <c r="I12" s="87" t="str">
        <f t="shared" si="5"/>
        <v/>
      </c>
      <c r="J12" s="86" t="str">
        <f t="shared" si="1"/>
        <v/>
      </c>
      <c r="K12" s="85" t="str">
        <f t="shared" si="2"/>
        <v/>
      </c>
      <c r="L12" s="85" t="str">
        <f t="shared" si="3"/>
        <v/>
      </c>
      <c r="M12" s="85" t="str">
        <f t="shared" si="6"/>
        <v/>
      </c>
      <c r="N12" s="86" t="str">
        <f>IF(B12="","",IF(M12="","NO CUMPLE",IF(M12&gt;$N$4*'3.2.1 EXPERIENCIA GRAL'!$I$6,"CUMPLE","NO CUMPLE")))</f>
        <v/>
      </c>
    </row>
    <row r="13" spans="1:17" ht="25.5" hidden="1" customHeight="1">
      <c r="A13" s="47" t="str">
        <f>IF(ENTREGA!A14="","",ENTREGA!A14)</f>
        <v/>
      </c>
      <c r="B13" s="84" t="str">
        <f>IF(A13="","",VLOOKUP(A13,ENTREGA!$A$7:$B$21,2,FALSE))</f>
        <v/>
      </c>
      <c r="C13" s="89"/>
      <c r="D13" s="89"/>
      <c r="E13" s="85" t="str">
        <f t="shared" si="4"/>
        <v/>
      </c>
      <c r="F13" s="86" t="str">
        <f t="shared" si="0"/>
        <v/>
      </c>
      <c r="G13" s="90"/>
      <c r="H13" s="90"/>
      <c r="I13" s="87" t="str">
        <f t="shared" si="5"/>
        <v/>
      </c>
      <c r="J13" s="86" t="str">
        <f t="shared" si="1"/>
        <v/>
      </c>
      <c r="K13" s="85" t="str">
        <f t="shared" si="2"/>
        <v/>
      </c>
      <c r="L13" s="85" t="str">
        <f t="shared" si="3"/>
        <v/>
      </c>
      <c r="M13" s="85" t="str">
        <f t="shared" si="6"/>
        <v/>
      </c>
      <c r="N13" s="86" t="str">
        <f>IF(B13="","",IF(M13="","NO CUMPLE",IF(M13&gt;$N$4*'3.2.1 EXPERIENCIA GRAL'!$I$6,"CUMPLE","NO CUMPLE")))</f>
        <v/>
      </c>
    </row>
    <row r="14" spans="1:17" ht="25.5" hidden="1" customHeight="1">
      <c r="A14" s="47" t="str">
        <f>IF(ENTREGA!A15="","",ENTREGA!A15)</f>
        <v/>
      </c>
      <c r="B14" s="84" t="str">
        <f>IF(A14="","",VLOOKUP(A14,ENTREGA!$A$7:$B$21,2,FALSE))</f>
        <v/>
      </c>
      <c r="C14" s="89"/>
      <c r="D14" s="89"/>
      <c r="E14" s="85" t="str">
        <f t="shared" si="4"/>
        <v/>
      </c>
      <c r="F14" s="86" t="str">
        <f t="shared" si="0"/>
        <v/>
      </c>
      <c r="G14" s="90"/>
      <c r="H14" s="90"/>
      <c r="I14" s="87" t="str">
        <f t="shared" si="5"/>
        <v/>
      </c>
      <c r="J14" s="86" t="str">
        <f t="shared" si="1"/>
        <v/>
      </c>
      <c r="K14" s="85" t="str">
        <f t="shared" si="2"/>
        <v/>
      </c>
      <c r="L14" s="85" t="str">
        <f t="shared" si="3"/>
        <v/>
      </c>
      <c r="M14" s="85" t="str">
        <f t="shared" si="6"/>
        <v/>
      </c>
      <c r="N14" s="86" t="str">
        <f>IF(B14="","",IF(M14="","NO CUMPLE",IF(M14&gt;$N$4*'3.2.1 EXPERIENCIA GRAL'!$I$6,"CUMPLE","NO CUMPLE")))</f>
        <v/>
      </c>
    </row>
    <row r="15" spans="1:17" ht="25.5" hidden="1" customHeight="1">
      <c r="A15" s="47" t="str">
        <f>IF(ENTREGA!A16="","",ENTREGA!A16)</f>
        <v/>
      </c>
      <c r="B15" s="84" t="str">
        <f>IF(A15="","",VLOOKUP(A15,ENTREGA!$A$7:$B$21,2,FALSE))</f>
        <v/>
      </c>
      <c r="C15" s="89"/>
      <c r="D15" s="89"/>
      <c r="E15" s="85" t="str">
        <f>IF(B15="","",IF(D15="","",C15/D15))</f>
        <v/>
      </c>
      <c r="F15" s="86" t="str">
        <f t="shared" si="0"/>
        <v/>
      </c>
      <c r="G15" s="90"/>
      <c r="H15" s="90"/>
      <c r="I15" s="87" t="str">
        <f t="shared" si="5"/>
        <v/>
      </c>
      <c r="J15" s="86" t="str">
        <f t="shared" si="1"/>
        <v/>
      </c>
      <c r="K15" s="85"/>
      <c r="L15" s="85"/>
      <c r="M15" s="85" t="str">
        <f t="shared" si="6"/>
        <v/>
      </c>
      <c r="N15" s="86" t="str">
        <f>IF(B15="","",IF(M15="","NO CUMPLE",IF(M15&gt;$N$4*'3.2.1 EXPERIENCIA GRAL'!$I$6,"CUMPLE","NO CUMPLE")))</f>
        <v/>
      </c>
      <c r="O15" s="568"/>
      <c r="P15" s="569"/>
      <c r="Q15" s="569"/>
    </row>
    <row r="16" spans="1:17" ht="25.5" hidden="1" customHeight="1">
      <c r="A16" s="47" t="str">
        <f>IF(ENTREGA!A17="","",ENTREGA!A17)</f>
        <v/>
      </c>
      <c r="B16" s="84" t="str">
        <f>IF(A16="","",VLOOKUP(A16,ENTREGA!$A$7:$B$21,2,FALSE))</f>
        <v/>
      </c>
      <c r="C16" s="89"/>
      <c r="D16" s="89"/>
      <c r="E16" s="85" t="str">
        <f t="shared" si="4"/>
        <v/>
      </c>
      <c r="F16" s="86" t="str">
        <f t="shared" si="0"/>
        <v/>
      </c>
      <c r="G16" s="90"/>
      <c r="H16" s="90"/>
      <c r="I16" s="87" t="str">
        <f t="shared" si="5"/>
        <v/>
      </c>
      <c r="J16" s="86" t="str">
        <f t="shared" si="1"/>
        <v/>
      </c>
      <c r="K16" s="85" t="str">
        <f>IF(B16="","",C16)</f>
        <v/>
      </c>
      <c r="L16" s="85" t="str">
        <f>IF(B16="","",D16)</f>
        <v/>
      </c>
      <c r="M16" s="85" t="str">
        <f t="shared" si="6"/>
        <v/>
      </c>
      <c r="N16" s="86" t="str">
        <f>IF(B16="","",IF(M16="","NO CUMPLE",IF(M16&gt;$N$4*'3.2.1 EXPERIENCIA GRAL'!$I$6,"CUMPLE","NO CUMPLE")))</f>
        <v/>
      </c>
    </row>
    <row r="17" spans="1:14" ht="25.5" hidden="1" customHeight="1">
      <c r="A17" s="47" t="str">
        <f>IF(ENTREGA!A18="","",ENTREGA!A18)</f>
        <v/>
      </c>
      <c r="B17" s="84" t="str">
        <f>IF(A17="","",VLOOKUP(A17,ENTREGA!$A$7:$B$21,2,FALSE))</f>
        <v/>
      </c>
      <c r="C17" s="89"/>
      <c r="D17" s="89"/>
      <c r="E17" s="85" t="str">
        <f t="shared" si="4"/>
        <v/>
      </c>
      <c r="F17" s="86" t="str">
        <f t="shared" si="0"/>
        <v/>
      </c>
      <c r="G17" s="90"/>
      <c r="H17" s="90"/>
      <c r="I17" s="87" t="str">
        <f t="shared" si="5"/>
        <v/>
      </c>
      <c r="J17" s="86" t="str">
        <f t="shared" si="1"/>
        <v/>
      </c>
      <c r="K17" s="85" t="str">
        <f>IF(B17="","",C17)</f>
        <v/>
      </c>
      <c r="L17" s="85" t="str">
        <f>IF(B17="","",D17)</f>
        <v/>
      </c>
      <c r="M17" s="85" t="str">
        <f t="shared" si="6"/>
        <v/>
      </c>
      <c r="N17" s="86" t="str">
        <f>IF(B17="","",IF(M17="","NO CUMPLE",IF(M17&gt;$N$4*'3.2.1 EXPERIENCIA GRAL'!$I$6,"CUMPLE","NO CUMPLE")))</f>
        <v/>
      </c>
    </row>
    <row r="18" spans="1:14" ht="25.5" hidden="1" customHeight="1">
      <c r="A18" s="47" t="str">
        <f>IF(ENTREGA!A19="","",ENTREGA!A19)</f>
        <v/>
      </c>
      <c r="B18" s="84" t="str">
        <f>IF(A18="","",VLOOKUP(A18,ENTREGA!$A$7:$B$21,2,FALSE))</f>
        <v/>
      </c>
      <c r="C18" s="89"/>
      <c r="D18" s="89"/>
      <c r="E18" s="85" t="str">
        <f t="shared" si="4"/>
        <v/>
      </c>
      <c r="F18" s="86" t="str">
        <f t="shared" si="0"/>
        <v/>
      </c>
      <c r="G18" s="90"/>
      <c r="H18" s="90"/>
      <c r="I18" s="87" t="str">
        <f t="shared" si="5"/>
        <v/>
      </c>
      <c r="J18" s="86" t="str">
        <f t="shared" si="1"/>
        <v/>
      </c>
      <c r="K18" s="85" t="str">
        <f>IF(B18="","",C18)</f>
        <v/>
      </c>
      <c r="L18" s="85" t="str">
        <f>IF(B18="","",D18)</f>
        <v/>
      </c>
      <c r="M18" s="85" t="str">
        <f t="shared" si="6"/>
        <v/>
      </c>
      <c r="N18" s="86" t="str">
        <f>IF(B18="","",IF(M18="","NO CUMPLE",IF(M18&gt;$N$4*'3.2.1 EXPERIENCIA GRAL'!$I$6,"CUMPLE","NO CUMPLE")))</f>
        <v/>
      </c>
    </row>
    <row r="19" spans="1:14" ht="25.5" hidden="1" customHeight="1">
      <c r="A19" s="47" t="str">
        <f>IF(ENTREGA!A20="","",ENTREGA!A20)</f>
        <v/>
      </c>
      <c r="B19" s="84" t="str">
        <f>IF(A19="","",VLOOKUP(A19,ENTREGA!$A$7:$B$21,2,FALSE))</f>
        <v/>
      </c>
      <c r="C19" s="89"/>
      <c r="D19" s="89"/>
      <c r="E19" s="85" t="str">
        <f t="shared" si="4"/>
        <v/>
      </c>
      <c r="F19" s="86" t="str">
        <f t="shared" si="0"/>
        <v/>
      </c>
      <c r="G19" s="90"/>
      <c r="H19" s="90"/>
      <c r="I19" s="87" t="str">
        <f t="shared" si="5"/>
        <v/>
      </c>
      <c r="J19" s="86" t="str">
        <f t="shared" si="1"/>
        <v/>
      </c>
      <c r="K19" s="85" t="str">
        <f>IF(B19="","",C19)</f>
        <v/>
      </c>
      <c r="L19" s="85" t="str">
        <f>IF(B19="","",D19)</f>
        <v/>
      </c>
      <c r="M19" s="85" t="str">
        <f t="shared" si="6"/>
        <v/>
      </c>
      <c r="N19" s="86" t="str">
        <f>IF(B19="","",IF(M19="","NO CUMPLE",IF(M19&gt;$N$4*'3.2.1 EXPERIENCIA GRAL'!$I$6,"CUMPLE","NO CUMPLE")))</f>
        <v/>
      </c>
    </row>
    <row r="20" spans="1:14" ht="25.5" hidden="1" customHeight="1">
      <c r="A20" s="47" t="str">
        <f>IF(ENTREGA!A21="","",ENTREGA!A21)</f>
        <v/>
      </c>
      <c r="B20" s="84" t="str">
        <f>IF(A20="","",VLOOKUP(A20,ENTREGA!$A$7:$B$21,2,FALSE))</f>
        <v/>
      </c>
      <c r="C20" s="89"/>
      <c r="D20" s="89"/>
      <c r="E20" s="85" t="str">
        <f t="shared" si="4"/>
        <v/>
      </c>
      <c r="F20" s="86" t="str">
        <f t="shared" si="0"/>
        <v/>
      </c>
      <c r="G20" s="90"/>
      <c r="H20" s="90"/>
      <c r="I20" s="87" t="str">
        <f t="shared" si="5"/>
        <v/>
      </c>
      <c r="J20" s="86" t="str">
        <f t="shared" si="1"/>
        <v/>
      </c>
      <c r="K20" s="85" t="str">
        <f>IF(B20="","",C20)</f>
        <v/>
      </c>
      <c r="L20" s="85" t="str">
        <f>IF(B20="","",D20)</f>
        <v/>
      </c>
      <c r="M20" s="85" t="str">
        <f t="shared" si="6"/>
        <v/>
      </c>
      <c r="N20" s="86" t="str">
        <f>IF(B20="","",IF(M20="","NO CUMPLE",IF(M20&gt;$N$4*'3.2.1 EXPERIENCIA GRAL'!$I$6,"CUMPLE","NO CUMPLE")))</f>
        <v/>
      </c>
    </row>
  </sheetData>
  <sheetProtection algorithmName="SHA-512" hashValue="loRFtpCfi6ynVlgEXRskvxXrFgQGCMweYiiRXoJaJa2IIjEye0rPvoLPnd9wnlIlTLV84pGDyhDj/uxRYApjFA==" saltValue="unMx7HD2ACCaTfIBNcFgdQ==" spinCount="100000" sheet="1" objects="1" scenarios="1" selectLockedCells="1" selectUnlockedCells="1"/>
  <mergeCells count="10">
    <mergeCell ref="O15:Q15"/>
    <mergeCell ref="A1:N1"/>
    <mergeCell ref="G3:J3"/>
    <mergeCell ref="K3:N3"/>
    <mergeCell ref="A3:A5"/>
    <mergeCell ref="B3:B5"/>
    <mergeCell ref="C3:F3"/>
    <mergeCell ref="D4:E4"/>
    <mergeCell ref="H4:I4"/>
    <mergeCell ref="L4:M4"/>
  </mergeCells>
  <conditionalFormatting sqref="J6:J20">
    <cfRule type="cellIs" dxfId="3" priority="6" operator="equal">
      <formula>"NO CUMPLE"</formula>
    </cfRule>
  </conditionalFormatting>
  <conditionalFormatting sqref="F6:F20">
    <cfRule type="cellIs" dxfId="2" priority="2" operator="equal">
      <formula>"NO CUMPLE"</formula>
    </cfRule>
  </conditionalFormatting>
  <conditionalFormatting sqref="N6:N20">
    <cfRule type="cellIs" dxfId="1" priority="1" operator="equal">
      <formula>"NO CUMPLE"</formula>
    </cfRule>
  </conditionalFormatting>
  <printOptions horizontalCentered="1"/>
  <pageMargins left="0.59055118110236227" right="0.39370078740157483" top="0.39370078740157483" bottom="0.19685039370078741" header="0.31496062992125984" footer="0.31496062992125984"/>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8"/>
  <sheetViews>
    <sheetView topLeftCell="B1" zoomScale="85" zoomScaleNormal="85" zoomScaleSheetLayoutView="85" workbookViewId="0">
      <selection activeCell="E36" sqref="E36"/>
    </sheetView>
  </sheetViews>
  <sheetFormatPr baseColWidth="10" defaultColWidth="11.42578125" defaultRowHeight="12.75"/>
  <cols>
    <col min="1" max="1" width="8" style="1" customWidth="1"/>
    <col min="2" max="2" width="41" style="1" customWidth="1"/>
    <col min="3" max="5" width="42.28515625" style="1" customWidth="1"/>
    <col min="6" max="16384" width="11.42578125" style="1"/>
  </cols>
  <sheetData>
    <row r="1" spans="1:5" ht="28.5" customHeight="1">
      <c r="A1" s="570" t="s">
        <v>126</v>
      </c>
      <c r="B1" s="556"/>
      <c r="C1" s="556"/>
      <c r="D1" s="556"/>
      <c r="E1" s="556"/>
    </row>
    <row r="3" spans="1:5" ht="51">
      <c r="A3" s="3"/>
      <c r="B3" s="4" t="s">
        <v>41</v>
      </c>
      <c r="C3" s="2" t="s">
        <v>148</v>
      </c>
      <c r="D3" s="2" t="s">
        <v>149</v>
      </c>
      <c r="E3" s="2" t="s">
        <v>150</v>
      </c>
    </row>
    <row r="4" spans="1:5" ht="38.25" customHeight="1">
      <c r="A4" s="51">
        <f>+IF(ENTREGA!A7="","",ENTREGA!A7)</f>
        <v>1</v>
      </c>
      <c r="B4" s="18" t="str">
        <f>IF(A4="","",VLOOKUP(A4,ENTREGA!$A$7:$B$21,2,FALSE))</f>
        <v xml:space="preserve">GUSTAVO ADOLFO CARMONA ALARCÓN </v>
      </c>
      <c r="C4" s="228" t="s">
        <v>765</v>
      </c>
      <c r="D4" s="228" t="s">
        <v>762</v>
      </c>
      <c r="E4" s="228" t="s">
        <v>762</v>
      </c>
    </row>
    <row r="5" spans="1:5" ht="38.25" customHeight="1">
      <c r="A5" s="51">
        <f>+IF(ENTREGA!A8="","",ENTREGA!A8)</f>
        <v>2</v>
      </c>
      <c r="B5" s="18" t="str">
        <f>IF(A5="","",VLOOKUP(A5,ENTREGA!$A$7:$B$21,2,FALSE))</f>
        <v>CONSTRUCTORES E INGENIEROS UNIDOS S.A.S (CONINSAS)</v>
      </c>
      <c r="C5" s="228" t="s">
        <v>764</v>
      </c>
      <c r="D5" s="513" t="s">
        <v>770</v>
      </c>
      <c r="E5" s="228" t="s">
        <v>762</v>
      </c>
    </row>
    <row r="6" spans="1:5" ht="38.25" customHeight="1">
      <c r="A6" s="51">
        <f>+IF(ENTREGA!A9="","",ENTREGA!A9)</f>
        <v>3</v>
      </c>
      <c r="B6" s="18" t="str">
        <f>IF(A6="","",VLOOKUP(A6,ENTREGA!$A$7:$B$21,2,FALSE))</f>
        <v>ADMINISTRACCIÓN PUBLICA COOPERATIVA DE DEPARTAMENTOS Y MUNICIPIOS DE COLOMBIA (CODENCO)</v>
      </c>
      <c r="C6" s="228" t="s">
        <v>763</v>
      </c>
      <c r="D6" s="513" t="s">
        <v>770</v>
      </c>
      <c r="E6" s="228" t="s">
        <v>762</v>
      </c>
    </row>
    <row r="7" spans="1:5" ht="38.25" customHeight="1">
      <c r="A7" s="51">
        <f>+IF(ENTREGA!A10="","",ENTREGA!A10)</f>
        <v>4</v>
      </c>
      <c r="B7" s="18" t="str">
        <f>IF(A7="","",VLOOKUP(A7,ENTREGA!$A$7:$B$21,2,FALSE))</f>
        <v>GUSTAVO ENRIQUE CARDONA VERGARA</v>
      </c>
      <c r="C7" s="228" t="s">
        <v>761</v>
      </c>
      <c r="D7" s="513" t="s">
        <v>770</v>
      </c>
      <c r="E7" s="228" t="s">
        <v>762</v>
      </c>
    </row>
    <row r="8" spans="1:5" ht="38.25" hidden="1" customHeight="1">
      <c r="A8" s="51" t="str">
        <f>+IF(ENTREGA!A11="","",ENTREGA!A11)</f>
        <v/>
      </c>
      <c r="B8" s="18" t="str">
        <f>IF(A8="","",VLOOKUP(A8,ENTREGA!$A$7:$B$21,2,FALSE))</f>
        <v/>
      </c>
      <c r="C8" s="228"/>
      <c r="D8" s="228"/>
      <c r="E8" s="228"/>
    </row>
    <row r="9" spans="1:5" ht="38.25" hidden="1" customHeight="1">
      <c r="A9" s="51" t="str">
        <f>+IF(ENTREGA!A12="","",ENTREGA!A12)</f>
        <v/>
      </c>
      <c r="B9" s="18" t="str">
        <f>IF(A9="","",VLOOKUP(A9,ENTREGA!$A$7:$B$21,2,FALSE))</f>
        <v/>
      </c>
      <c r="C9" s="228"/>
      <c r="D9" s="228"/>
      <c r="E9" s="228"/>
    </row>
    <row r="10" spans="1:5" ht="38.25" hidden="1" customHeight="1">
      <c r="A10" s="51" t="str">
        <f>+IF(ENTREGA!A13="","",ENTREGA!A13)</f>
        <v/>
      </c>
      <c r="B10" s="18" t="str">
        <f>IF(A10="","",VLOOKUP(A10,ENTREGA!$A$7:$B$21,2,FALSE))</f>
        <v/>
      </c>
      <c r="C10" s="228"/>
      <c r="D10" s="228"/>
      <c r="E10" s="228"/>
    </row>
    <row r="11" spans="1:5" ht="38.25" hidden="1" customHeight="1">
      <c r="A11" s="51" t="str">
        <f>+IF(ENTREGA!A14="","",ENTREGA!A14)</f>
        <v/>
      </c>
      <c r="B11" s="18" t="str">
        <f>IF(A11="","",VLOOKUP(A11,ENTREGA!$A$7:$B$21,2,FALSE))</f>
        <v/>
      </c>
      <c r="C11" s="228"/>
      <c r="D11" s="228"/>
      <c r="E11" s="228"/>
    </row>
    <row r="12" spans="1:5" ht="38.25" hidden="1" customHeight="1">
      <c r="A12" s="51" t="str">
        <f>+IF(ENTREGA!A15="","",ENTREGA!A15)</f>
        <v/>
      </c>
      <c r="B12" s="18" t="str">
        <f>IF(A12="","",VLOOKUP(A12,ENTREGA!$A$7:$B$21,2,FALSE))</f>
        <v/>
      </c>
      <c r="C12" s="228"/>
      <c r="D12" s="228"/>
      <c r="E12" s="228"/>
    </row>
    <row r="13" spans="1:5" ht="38.25" hidden="1" customHeight="1">
      <c r="A13" s="51" t="str">
        <f>+IF(ENTREGA!A16="","",ENTREGA!A16)</f>
        <v/>
      </c>
      <c r="B13" s="18" t="str">
        <f>IF(A13="","",VLOOKUP(A13,ENTREGA!$A$7:$B$21,2,FALSE))</f>
        <v/>
      </c>
      <c r="C13" s="228"/>
      <c r="D13" s="228"/>
      <c r="E13" s="228"/>
    </row>
    <row r="14" spans="1:5" ht="38.25" hidden="1" customHeight="1">
      <c r="A14" s="51" t="str">
        <f>+IF(ENTREGA!A17="","",ENTREGA!A17)</f>
        <v/>
      </c>
      <c r="B14" s="18" t="str">
        <f>IF(A14="","",VLOOKUP(A14,ENTREGA!$A$7:$B$21,2,FALSE))</f>
        <v/>
      </c>
      <c r="C14" s="228"/>
      <c r="D14" s="228"/>
      <c r="E14" s="228"/>
    </row>
    <row r="15" spans="1:5" ht="38.25" hidden="1" customHeight="1">
      <c r="A15" s="51" t="str">
        <f>+IF(ENTREGA!A18="","",ENTREGA!A18)</f>
        <v/>
      </c>
      <c r="B15" s="18" t="str">
        <f>IF(A15="","",VLOOKUP(A15,ENTREGA!$A$7:$B$21,2,FALSE))</f>
        <v/>
      </c>
      <c r="C15" s="228"/>
      <c r="D15" s="228"/>
      <c r="E15" s="228"/>
    </row>
    <row r="16" spans="1:5" ht="38.25" hidden="1" customHeight="1">
      <c r="A16" s="51" t="str">
        <f>+IF(ENTREGA!A19="","",ENTREGA!A19)</f>
        <v/>
      </c>
      <c r="B16" s="18" t="str">
        <f>IF(A16="","",VLOOKUP(A16,ENTREGA!$A$7:$B$21,2,FALSE))</f>
        <v/>
      </c>
      <c r="C16" s="228"/>
      <c r="D16" s="228"/>
      <c r="E16" s="228"/>
    </row>
    <row r="17" spans="1:5" ht="38.25" hidden="1" customHeight="1">
      <c r="A17" s="51" t="str">
        <f>+IF(ENTREGA!A20="","",ENTREGA!A20)</f>
        <v/>
      </c>
      <c r="B17" s="18" t="str">
        <f>IF(A17="","",VLOOKUP(A17,ENTREGA!$A$7:$B$21,2,FALSE))</f>
        <v/>
      </c>
      <c r="C17" s="228"/>
      <c r="D17" s="228"/>
      <c r="E17" s="228"/>
    </row>
    <row r="18" spans="1:5" ht="38.25" hidden="1" customHeight="1">
      <c r="A18" s="51" t="str">
        <f>+IF(ENTREGA!A21="","",ENTREGA!A21)</f>
        <v/>
      </c>
      <c r="B18" s="18" t="str">
        <f>IF(A18="","",VLOOKUP(A18,ENTREGA!$A$7:$B$21,2,FALSE))</f>
        <v/>
      </c>
      <c r="C18" s="228"/>
      <c r="D18" s="228"/>
      <c r="E18" s="228"/>
    </row>
  </sheetData>
  <sheetProtection algorithmName="SHA-512" hashValue="5fQK66MLtF/IDf0Vds7hzb1XLjebeX0XDBBQIiyrax5PgpSPqO/FEBcFlAa9z0WcbOd8+2EA+99rGdHT1A3czQ==" saltValue="nH548/32kpKmSaD/eK0wlQ==" spinCount="100000" sheet="1" objects="1" scenarios="1" selectLockedCells="1" selectUnlockedCells="1"/>
  <mergeCells count="1">
    <mergeCell ref="A1:E1"/>
  </mergeCells>
  <printOptions horizontalCentered="1"/>
  <pageMargins left="0.39370078740157483" right="0.39370078740157483" top="0.59055118110236227" bottom="0.39370078740157483" header="0.31496062992125984" footer="0.31496062992125984"/>
  <pageSetup scale="7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F27"/>
  <sheetViews>
    <sheetView zoomScaleNormal="100" workbookViewId="0">
      <selection activeCell="J34" sqref="J34"/>
    </sheetView>
  </sheetViews>
  <sheetFormatPr baseColWidth="10" defaultColWidth="11.42578125" defaultRowHeight="15"/>
  <cols>
    <col min="1" max="1" width="6.140625" style="62" customWidth="1"/>
    <col min="2" max="2" width="13.7109375" style="62" customWidth="1"/>
    <col min="3" max="3" width="17.5703125" style="62" customWidth="1"/>
    <col min="4" max="4" width="6.7109375" style="62" customWidth="1"/>
    <col min="5" max="5" width="10" style="62" customWidth="1"/>
    <col min="6" max="6" width="21.85546875" style="62" customWidth="1"/>
    <col min="7" max="7" width="9.140625" style="62" customWidth="1"/>
    <col min="8" max="9" width="9.7109375" style="62" customWidth="1"/>
    <col min="10" max="10" width="13.28515625" style="62" customWidth="1"/>
    <col min="11" max="11" width="9.7109375" style="62" customWidth="1"/>
    <col min="12" max="12" width="9.42578125" style="62" customWidth="1"/>
    <col min="13" max="13" width="8.5703125" style="62" customWidth="1"/>
    <col min="14" max="14" width="17.5703125" style="62" customWidth="1"/>
    <col min="15" max="15" width="13.42578125" style="62" customWidth="1"/>
    <col min="16" max="16" width="11.42578125" style="62"/>
    <col min="17" max="29" width="6.140625" style="62" hidden="1" customWidth="1"/>
    <col min="30" max="30" width="8.28515625" style="62" hidden="1" customWidth="1"/>
    <col min="31" max="32" width="11.7109375" style="62" bestFit="1" customWidth="1"/>
    <col min="33" max="16384" width="11.42578125" style="62"/>
  </cols>
  <sheetData>
    <row r="1" spans="1:32" ht="49.5" customHeight="1">
      <c r="A1" s="585" t="str">
        <f>+ENTREGA!A1</f>
        <v>UNIVERSIDAD DE ANTIOQUIA</v>
      </c>
      <c r="B1" s="586"/>
      <c r="C1" s="586"/>
      <c r="D1" s="586"/>
      <c r="E1" s="586"/>
      <c r="F1" s="586"/>
      <c r="G1" s="586"/>
      <c r="H1" s="586"/>
      <c r="I1" s="586"/>
      <c r="J1" s="587"/>
      <c r="K1" s="586"/>
      <c r="L1" s="586"/>
      <c r="M1" s="586"/>
      <c r="N1" s="586"/>
      <c r="O1" s="588"/>
    </row>
    <row r="2" spans="1:32" ht="34.5" customHeight="1">
      <c r="A2" s="589" t="str">
        <f>+ENTREGA!A2</f>
        <v>Invitación Pública N° SIU-20230015-01-2019</v>
      </c>
      <c r="B2" s="590"/>
      <c r="C2" s="590"/>
      <c r="D2" s="590"/>
      <c r="E2" s="590"/>
      <c r="F2" s="590"/>
      <c r="G2" s="590"/>
      <c r="H2" s="590"/>
      <c r="I2" s="590"/>
      <c r="J2" s="590"/>
      <c r="K2" s="590"/>
      <c r="L2" s="590"/>
      <c r="M2" s="590"/>
      <c r="N2" s="590"/>
      <c r="O2" s="591"/>
    </row>
    <row r="3" spans="1:32" ht="47.25" customHeight="1">
      <c r="A3" s="592" t="str">
        <f>+ENTREGA!A3</f>
        <v>OBJETO: “Ejecutar las obras civiles de mantenimiento, adecuaciones, reparaciones, y obras complementarias para la infraestructura de la Biofábrica, por la modalidad de precios unitarios fijos no reajustables, conforme las especificaciones técnicas de construcción del proyecto” proyecto (ver anexo 1)”</v>
      </c>
      <c r="B3" s="593"/>
      <c r="C3" s="593"/>
      <c r="D3" s="593"/>
      <c r="E3" s="593"/>
      <c r="F3" s="593"/>
      <c r="G3" s="593"/>
      <c r="H3" s="593"/>
      <c r="I3" s="593"/>
      <c r="J3" s="593"/>
      <c r="K3" s="593"/>
      <c r="L3" s="593"/>
      <c r="M3" s="593"/>
      <c r="N3" s="593"/>
      <c r="O3" s="594"/>
    </row>
    <row r="4" spans="1:32" ht="26.25" customHeight="1">
      <c r="A4" s="595" t="s">
        <v>151</v>
      </c>
      <c r="B4" s="596"/>
      <c r="C4" s="596"/>
      <c r="D4" s="596"/>
      <c r="E4" s="596"/>
      <c r="F4" s="596"/>
      <c r="G4" s="596"/>
      <c r="H4" s="596"/>
      <c r="I4" s="596"/>
      <c r="J4" s="596"/>
      <c r="K4" s="596"/>
      <c r="L4" s="596"/>
      <c r="M4" s="596"/>
      <c r="N4" s="596"/>
      <c r="O4" s="597"/>
    </row>
    <row r="5" spans="1:32" ht="15.75" thickBot="1">
      <c r="A5" s="63"/>
      <c r="B5" s="63"/>
      <c r="C5" s="63"/>
      <c r="D5" s="63"/>
      <c r="E5" s="63"/>
      <c r="F5" s="63"/>
      <c r="G5" s="63"/>
      <c r="H5" s="63"/>
      <c r="I5" s="63"/>
      <c r="J5" s="63"/>
      <c r="K5" s="63"/>
      <c r="L5" s="63"/>
      <c r="M5" s="63"/>
      <c r="N5" s="63"/>
      <c r="O5" s="63"/>
    </row>
    <row r="6" spans="1:32" ht="15" customHeight="1">
      <c r="A6" s="606" t="s">
        <v>36</v>
      </c>
      <c r="B6" s="607"/>
      <c r="C6" s="462">
        <v>3143.36</v>
      </c>
      <c r="D6" s="601" t="s">
        <v>113</v>
      </c>
      <c r="E6" s="602"/>
      <c r="F6" s="603"/>
      <c r="G6" s="616" t="s">
        <v>73</v>
      </c>
      <c r="H6" s="617"/>
      <c r="I6" s="617"/>
      <c r="J6" s="617"/>
      <c r="K6" s="618"/>
      <c r="L6" s="63"/>
      <c r="M6" s="63"/>
      <c r="N6" s="64" t="s">
        <v>35</v>
      </c>
      <c r="O6" s="65">
        <f>+'3.2.1 EXPERIENCIA GRAL'!I6</f>
        <v>1367556629</v>
      </c>
    </row>
    <row r="7" spans="1:32" ht="20.25" customHeight="1" thickBot="1">
      <c r="A7" s="604" t="s">
        <v>71</v>
      </c>
      <c r="B7" s="605"/>
      <c r="C7" s="463" t="s">
        <v>767</v>
      </c>
      <c r="D7" s="59">
        <v>1</v>
      </c>
      <c r="E7" s="612" t="s">
        <v>110</v>
      </c>
      <c r="F7" s="613"/>
      <c r="G7" s="143">
        <f>IF(($C$6-TRUNC($C$6))&lt;=0.5,1,2)</f>
        <v>1</v>
      </c>
      <c r="H7" s="614" t="str">
        <f>IF(G7=3,VLOOKUP(G7,$D$7:$E$8,2,FALSE),IF(G7=2,VLOOKUP(G7,$D$7:$E$8,2,FALSE),IF(G7=1,VLOOKUP(G7,$D$7:$E$8,2,FALSE),"NINGUNO")))</f>
        <v>Media aritmética</v>
      </c>
      <c r="I7" s="615"/>
      <c r="J7" s="144">
        <f>IF($H$7="Media aritmética",ROUND(SUM(F13:F27)/O7,2),ROUND(_xlfn.STDEV.P(F13:F27),2))</f>
        <v>1157127617</v>
      </c>
      <c r="K7" s="145">
        <f>IF($H$7="Media aritmética",ROUND(SUM(G13:G27)/O7,4),ROUND(_xlfn.STDEV.P(G13:G27),4))</f>
        <v>9.5200000000000007E-2</v>
      </c>
      <c r="L7" s="63"/>
      <c r="M7" s="63"/>
      <c r="N7" s="66" t="s">
        <v>111</v>
      </c>
      <c r="O7" s="67">
        <f>COUNT(F13:F27)</f>
        <v>1</v>
      </c>
    </row>
    <row r="8" spans="1:32" ht="21" customHeight="1" thickBot="1">
      <c r="A8" s="610" t="s">
        <v>112</v>
      </c>
      <c r="B8" s="611"/>
      <c r="C8" s="58">
        <v>1220000000</v>
      </c>
      <c r="D8" s="60">
        <v>2</v>
      </c>
      <c r="E8" s="619" t="s">
        <v>141</v>
      </c>
      <c r="F8" s="620"/>
      <c r="G8" s="63"/>
      <c r="H8" s="63"/>
      <c r="I8" s="63"/>
      <c r="J8" s="63"/>
      <c r="K8" s="63"/>
      <c r="L8" s="63"/>
      <c r="M8" s="63"/>
      <c r="N8" s="63"/>
      <c r="O8" s="63"/>
    </row>
    <row r="9" spans="1:32" ht="21" customHeight="1" thickBot="1">
      <c r="A9" s="610" t="s">
        <v>135</v>
      </c>
      <c r="B9" s="611"/>
      <c r="C9" s="254">
        <v>0.1134</v>
      </c>
      <c r="D9" s="63"/>
      <c r="E9" s="63"/>
      <c r="F9" s="63"/>
      <c r="G9" s="63"/>
      <c r="H9" s="63"/>
      <c r="I9" s="63"/>
      <c r="J9" s="63"/>
      <c r="K9" s="63"/>
      <c r="L9" s="63"/>
      <c r="M9" s="63"/>
      <c r="N9" s="63"/>
      <c r="O9" s="63"/>
    </row>
    <row r="10" spans="1:32" ht="18" customHeight="1">
      <c r="A10" s="63"/>
      <c r="B10" s="63"/>
      <c r="C10" s="63"/>
      <c r="D10" s="63"/>
      <c r="E10" s="63"/>
      <c r="F10" s="63"/>
      <c r="G10" s="63"/>
      <c r="H10" s="608" t="s">
        <v>134</v>
      </c>
      <c r="I10" s="608"/>
      <c r="J10" s="608"/>
      <c r="K10" s="608"/>
      <c r="L10" s="147" t="s">
        <v>2</v>
      </c>
      <c r="M10" s="63"/>
      <c r="N10" s="63"/>
      <c r="O10" s="63"/>
    </row>
    <row r="11" spans="1:32" ht="18" customHeight="1">
      <c r="A11" s="68"/>
      <c r="B11" s="63"/>
      <c r="C11" s="68"/>
      <c r="D11" s="63"/>
      <c r="E11" s="69" t="s">
        <v>91</v>
      </c>
      <c r="F11" s="63"/>
      <c r="G11" s="63"/>
      <c r="H11" s="148">
        <v>100</v>
      </c>
      <c r="I11" s="148">
        <v>120</v>
      </c>
      <c r="J11" s="148">
        <f>200-I11</f>
        <v>80</v>
      </c>
      <c r="K11" s="148">
        <v>100</v>
      </c>
      <c r="L11" s="147">
        <f>+SUM(H11:K11)</f>
        <v>400</v>
      </c>
      <c r="M11" s="63"/>
      <c r="N11" s="63"/>
      <c r="O11" s="63"/>
    </row>
    <row r="12" spans="1:32" ht="47.25" customHeight="1">
      <c r="A12" s="70" t="s">
        <v>38</v>
      </c>
      <c r="B12" s="598" t="s">
        <v>40</v>
      </c>
      <c r="C12" s="599"/>
      <c r="D12" s="600"/>
      <c r="E12" s="71" t="s">
        <v>92</v>
      </c>
      <c r="F12" s="70" t="s">
        <v>152</v>
      </c>
      <c r="G12" s="72" t="s">
        <v>142</v>
      </c>
      <c r="H12" s="146" t="s">
        <v>72</v>
      </c>
      <c r="I12" s="146" t="s">
        <v>136</v>
      </c>
      <c r="J12" s="146" t="s">
        <v>137</v>
      </c>
      <c r="K12" s="146" t="s">
        <v>88</v>
      </c>
      <c r="L12" s="72" t="s">
        <v>87</v>
      </c>
      <c r="M12" s="72" t="s">
        <v>37</v>
      </c>
      <c r="N12" s="609" t="s">
        <v>44</v>
      </c>
      <c r="O12" s="609"/>
      <c r="AE12" s="250"/>
    </row>
    <row r="13" spans="1:32" s="74" customFormat="1" ht="33" customHeight="1">
      <c r="A13" s="73">
        <f>+IF(ENTREGA!A7="","",ENTREGA!A7)</f>
        <v>1</v>
      </c>
      <c r="B13" s="581" t="str">
        <f>IF(A13="","",VLOOKUP(A13,ENTREGA!$A$7:$B$21,2,FALSE))</f>
        <v xml:space="preserve">GUSTAVO ADOLFO CARMONA ALARCÓN </v>
      </c>
      <c r="C13" s="582"/>
      <c r="D13" s="583"/>
      <c r="E13" s="61" t="s">
        <v>766</v>
      </c>
      <c r="F13" s="52">
        <f>IF(OR(E13="NH",E13=""),"",IF('Presupuesto Consolidado'!F260&gt;$C$8,"REVISAR",ROUND('Presupuesto Consolidado'!F260,0)))</f>
        <v>1157127617</v>
      </c>
      <c r="G13" s="53">
        <f>IF(OR(E13="NH",E13=""),"",IF('Analisis A.I.U.'!F39&gt;$C$9,"REVISAR",ROUND('Analisis A.I.U.'!F39,4)))</f>
        <v>9.5200000000000007E-2</v>
      </c>
      <c r="H13" s="54">
        <f t="shared" ref="H13:H14" si="0">IF(F13="","",IF($H$7="Media aritmética",(F13&lt;=$J$7)*100+(F13&gt;$J$7)*0,IF(AVERAGE($F$13:$F$27)-$J$7/2&lt;=F13,IF(F13&lt;(AVERAGE($F$13:$F$27)+$J$7/2),100,0),0)))</f>
        <v>100</v>
      </c>
      <c r="I13" s="55">
        <f>+IF(E13="H",HLOOKUP(A13,'Cálculo Pt2'!$C$7:$AF$11,3,FALSE),"")</f>
        <v>120.00000000000009</v>
      </c>
      <c r="J13" s="55">
        <f>+IF(E13="H",HLOOKUP(A13,'Cálculo Pt2'!$C$7:$AF$11,4,FALSE),"")</f>
        <v>79.999999999999787</v>
      </c>
      <c r="K13" s="54">
        <f>IF(G13="","",ROUND($K$11*MIN($G$13:$G$27)/$G13,2))</f>
        <v>100</v>
      </c>
      <c r="L13" s="56">
        <f t="shared" ref="L13:L27" si="1">IF(OR(E13="",E13="NH"),"",SUM(H13:K13))</f>
        <v>399.99999999999989</v>
      </c>
      <c r="M13" s="57">
        <f t="shared" ref="M13:M27" si="2">IF(OR(E13="",E13="NH"),"",(L13=MAX($L$13:$L$27))*1+(L13=MAX($Q$13:$Q$27))*2+(L13=MAX($R$13:$R$27))*3+(L13=MAX($S$13:$S$27))*4+(L13=MAX($T$13:$T$27))*5+(L13=MAX($U$13:$U$27))*6+(L13=MAX($V$13:$V$27))*7+(L13=MAX($W$13:$W$27))*8+(L13=MAX($X$13:$X$27))*9+(L13=MAX($Y$13:$Y$27))*10+(L13=MAX($Z$13:$Z$27))*11+(L13=MAX($AA$13:$AA$27))*12+(L13=MAX($AB$13:$AB$27))*13+(L13=MAX($AC$13:$AC$27))*14+(L13=MAX($AD$13:$AD$27))*15)</f>
        <v>1</v>
      </c>
      <c r="N13" s="584"/>
      <c r="O13" s="584"/>
      <c r="Q13" s="75" t="str">
        <f>+IF(L13=MAX($L$13:$L$27),"",L13)</f>
        <v/>
      </c>
      <c r="R13" s="75" t="str">
        <f>+IF(Q13=MAX($Q$13:$Q$27),"",Q13)</f>
        <v/>
      </c>
      <c r="S13" s="75" t="str">
        <f>+IF(R13=MAX($R$13:$R$27),"",R13)</f>
        <v/>
      </c>
      <c r="T13" s="75" t="str">
        <f>+IF(S13=MAX($S$13:$S$27),"",S13)</f>
        <v/>
      </c>
      <c r="U13" s="75" t="str">
        <f>+IF(T13=MAX($T$13:$T$27),"",T13)</f>
        <v/>
      </c>
      <c r="V13" s="75" t="str">
        <f>+IF(U13=MAX($U$13:$U$27),"",U13)</f>
        <v/>
      </c>
      <c r="W13" s="75" t="str">
        <f>+IF(V13=MAX($V$13:$V$27),"",V13)</f>
        <v/>
      </c>
      <c r="X13" s="75" t="str">
        <f>+IF(W13=MAX($W$13:$W$27),"",W13)</f>
        <v/>
      </c>
      <c r="Y13" s="75" t="str">
        <f>+IF(X13=MAX($X$13:$X$27),"",X13)</f>
        <v/>
      </c>
      <c r="Z13" s="75" t="str">
        <f>+IF(Y13=MAX($Y$13:$Y$27),"",Y13)</f>
        <v/>
      </c>
      <c r="AA13" s="75" t="str">
        <f>+IF(Z13=MAX($Z$13:$Z$27),"",Z13)</f>
        <v/>
      </c>
      <c r="AB13" s="75" t="str">
        <f>+IF(AA13=MAX($AA$13:$AA$27),"",AA13)</f>
        <v/>
      </c>
      <c r="AC13" s="75" t="str">
        <f>+IF(AB13=MAX($AB$13:$AB$27),"",AB13)</f>
        <v/>
      </c>
      <c r="AD13" s="75" t="str">
        <f>+IF(AC13=MAX($AC$13:$AC$27),"",AC13)</f>
        <v/>
      </c>
      <c r="AE13" s="250"/>
      <c r="AF13" s="250"/>
    </row>
    <row r="14" spans="1:32" s="74" customFormat="1" ht="33" customHeight="1">
      <c r="A14" s="73">
        <f>+IF(ENTREGA!A8="","",ENTREGA!A8)</f>
        <v>2</v>
      </c>
      <c r="B14" s="581" t="str">
        <f>IF(A14="","",VLOOKUP(A14,ENTREGA!$A$7:$B$21,2,FALSE))</f>
        <v>CONSTRUCTORES E INGENIEROS UNIDOS S.A.S (CONINSAS)</v>
      </c>
      <c r="C14" s="582"/>
      <c r="D14" s="583"/>
      <c r="E14" s="61" t="s">
        <v>769</v>
      </c>
      <c r="F14" s="52" t="str">
        <f>IF(OR(E14="NH",E14=""),"",IF('Presupuesto Consolidado'!N260&gt;$C$8,"REVISAR",ROUND('Presupuesto Consolidado'!N260,0)))</f>
        <v/>
      </c>
      <c r="G14" s="53" t="str">
        <f>IF(OR(E14="NH",E14=""),"",IF('Analisis A.I.U.'!O39&gt;$C$9,"REVISAR",ROUND('Analisis A.I.U.'!O39,4)))</f>
        <v/>
      </c>
      <c r="H14" s="54" t="str">
        <f t="shared" si="0"/>
        <v/>
      </c>
      <c r="I14" s="55" t="str">
        <f>+IF(E14="H",HLOOKUP(A14,'Cálculo Pt2'!$C$7:$AF$11,3,FALSE),"")</f>
        <v/>
      </c>
      <c r="J14" s="55" t="str">
        <f>+IF(E14="H",HLOOKUP(A14,'Cálculo Pt2'!$C$7:$AF$11,4,FALSE),"")</f>
        <v/>
      </c>
      <c r="K14" s="54" t="str">
        <f t="shared" ref="K14:K27" si="3">IF(G14="","",ROUND($K$11*MIN($G$13:$G$27)/$G14,2))</f>
        <v/>
      </c>
      <c r="L14" s="56" t="str">
        <f t="shared" si="1"/>
        <v/>
      </c>
      <c r="M14" s="57" t="str">
        <f t="shared" si="2"/>
        <v/>
      </c>
      <c r="N14" s="584"/>
      <c r="O14" s="584"/>
      <c r="Q14" s="75" t="str">
        <f t="shared" ref="Q14:Q27" si="4">+IF(L14=MAX($L$13:$L$27),"",L14)</f>
        <v/>
      </c>
      <c r="R14" s="75" t="str">
        <f t="shared" ref="R14:R27" si="5">+IF(Q14=MAX($Q$13:$Q$27),"",Q14)</f>
        <v/>
      </c>
      <c r="S14" s="75" t="str">
        <f t="shared" ref="S14:S27" si="6">+IF(R14=MAX($R$13:$R$27),"",R14)</f>
        <v/>
      </c>
      <c r="T14" s="75" t="str">
        <f t="shared" ref="T14:T27" si="7">+IF(S14=MAX($S$13:$S$27),"",S14)</f>
        <v/>
      </c>
      <c r="U14" s="75" t="str">
        <f t="shared" ref="U14:U27" si="8">+IF(T14=MAX($T$13:$T$27),"",T14)</f>
        <v/>
      </c>
      <c r="V14" s="75" t="str">
        <f t="shared" ref="V14:V27" si="9">+IF(U14=MAX($U$13:$U$27),"",U14)</f>
        <v/>
      </c>
      <c r="W14" s="75" t="str">
        <f t="shared" ref="W14:W27" si="10">+IF(V14=MAX($V$13:$V$27),"",V14)</f>
        <v/>
      </c>
      <c r="X14" s="75" t="str">
        <f t="shared" ref="X14:X27" si="11">+IF(W14=MAX($W$13:$W$27),"",W14)</f>
        <v/>
      </c>
      <c r="Y14" s="75" t="str">
        <f t="shared" ref="Y14:Y27" si="12">+IF(X14=MAX($X$13:$X$27),"",X14)</f>
        <v/>
      </c>
      <c r="Z14" s="75" t="str">
        <f t="shared" ref="Z14:Z27" si="13">+IF(Y14=MAX($Y$13:$Y$27),"",Y14)</f>
        <v/>
      </c>
      <c r="AA14" s="75" t="str">
        <f t="shared" ref="AA14:AA27" si="14">+IF(Z14=MAX($Z$13:$Z$27),"",Z14)</f>
        <v/>
      </c>
      <c r="AB14" s="75" t="str">
        <f t="shared" ref="AB14:AB27" si="15">+IF(AA14=MAX($AA$13:$AA$27),"",AA14)</f>
        <v/>
      </c>
      <c r="AC14" s="75" t="str">
        <f t="shared" ref="AC14:AC27" si="16">+IF(AB14=MAX($AB$13:$AB$27),"",AB14)</f>
        <v/>
      </c>
      <c r="AD14" s="75" t="str">
        <f t="shared" ref="AD14:AD27" si="17">+IF(AC14=MAX($AC$13:$AC$27),"",AC14)</f>
        <v/>
      </c>
      <c r="AE14" s="250"/>
      <c r="AF14" s="250"/>
    </row>
    <row r="15" spans="1:32" s="74" customFormat="1" ht="42.75" customHeight="1">
      <c r="A15" s="73">
        <f>+IF(ENTREGA!A9="","",ENTREGA!A9)</f>
        <v>3</v>
      </c>
      <c r="B15" s="581" t="str">
        <f>IF(A15="","",VLOOKUP(A15,ENTREGA!$A$7:$B$21,2,FALSE))</f>
        <v>ADMINISTRACCIÓN PUBLICA COOPERATIVA DE DEPARTAMENTOS Y MUNICIPIOS DE COLOMBIA (CODENCO)</v>
      </c>
      <c r="C15" s="582"/>
      <c r="D15" s="583"/>
      <c r="E15" s="61" t="s">
        <v>769</v>
      </c>
      <c r="F15" s="52" t="str">
        <f>IF(OR(E15="NH",E15=""),"",IF('Presupuesto Consolidado'!V260&gt;$C$8,"REVISAR",ROUND('Presupuesto Consolidado'!V260,0)))</f>
        <v/>
      </c>
      <c r="G15" s="53" t="str">
        <f>IF(OR(E15="NH",E15=""),"",IF('Analisis A.I.U.'!X39&gt;$C$9,"REVISAR",ROUND('Analisis A.I.U.'!X39,4)))</f>
        <v/>
      </c>
      <c r="H15" s="54" t="str">
        <f>IF(F15="","",IF($H$7="Media aritmética",(F15&lt;=$J$7)*100+(F15&gt;$J$7)*0,IF(AVERAGE($F$13:$F$27)-$J$7/2&lt;=F15,IF(F15&lt;(AVERAGE($F$13:$F$27)+$J$7/2),100,0),0)))</f>
        <v/>
      </c>
      <c r="I15" s="55" t="str">
        <f>+IF(E15="H",HLOOKUP(A15,'Cálculo Pt2'!$C$7:$AF$11,3,FALSE),"")</f>
        <v/>
      </c>
      <c r="J15" s="55" t="str">
        <f>+IF(E15="H",HLOOKUP(A15,'Cálculo Pt2'!$C$7:$AF$11,4,FALSE),"")</f>
        <v/>
      </c>
      <c r="K15" s="54" t="str">
        <f t="shared" si="3"/>
        <v/>
      </c>
      <c r="L15" s="56" t="str">
        <f t="shared" si="1"/>
        <v/>
      </c>
      <c r="M15" s="57" t="str">
        <f t="shared" si="2"/>
        <v/>
      </c>
      <c r="N15" s="584"/>
      <c r="O15" s="584"/>
      <c r="Q15" s="75" t="str">
        <f t="shared" si="4"/>
        <v/>
      </c>
      <c r="R15" s="75" t="str">
        <f t="shared" si="5"/>
        <v/>
      </c>
      <c r="S15" s="75" t="str">
        <f t="shared" si="6"/>
        <v/>
      </c>
      <c r="T15" s="75" t="str">
        <f t="shared" si="7"/>
        <v/>
      </c>
      <c r="U15" s="75" t="str">
        <f t="shared" si="8"/>
        <v/>
      </c>
      <c r="V15" s="75" t="str">
        <f t="shared" si="9"/>
        <v/>
      </c>
      <c r="W15" s="75" t="str">
        <f t="shared" si="10"/>
        <v/>
      </c>
      <c r="X15" s="75" t="str">
        <f t="shared" si="11"/>
        <v/>
      </c>
      <c r="Y15" s="75" t="str">
        <f t="shared" si="12"/>
        <v/>
      </c>
      <c r="Z15" s="75" t="str">
        <f t="shared" si="13"/>
        <v/>
      </c>
      <c r="AA15" s="75" t="str">
        <f t="shared" si="14"/>
        <v/>
      </c>
      <c r="AB15" s="75" t="str">
        <f t="shared" si="15"/>
        <v/>
      </c>
      <c r="AC15" s="75" t="str">
        <f t="shared" si="16"/>
        <v/>
      </c>
      <c r="AD15" s="75" t="str">
        <f t="shared" si="17"/>
        <v/>
      </c>
      <c r="AE15" s="250"/>
      <c r="AF15" s="250"/>
    </row>
    <row r="16" spans="1:32" s="74" customFormat="1" ht="33" customHeight="1">
      <c r="A16" s="73">
        <f>+IF(ENTREGA!A10="","",ENTREGA!A10)</f>
        <v>4</v>
      </c>
      <c r="B16" s="581" t="str">
        <f>IF(A16="","",VLOOKUP(A16,ENTREGA!$A$7:$B$21,2,FALSE))</f>
        <v>GUSTAVO ENRIQUE CARDONA VERGARA</v>
      </c>
      <c r="C16" s="582"/>
      <c r="D16" s="583"/>
      <c r="E16" s="61" t="s">
        <v>769</v>
      </c>
      <c r="F16" s="52" t="str">
        <f>IF(OR(E16="NH",E16=""),"",IF('Presupuesto Consolidado'!AD260&gt;$C$8,"REVISAR",ROUND('Presupuesto Consolidado'!AD260,0)))</f>
        <v/>
      </c>
      <c r="G16" s="53" t="str">
        <f>IF(OR(E16="NH",E16=""),"",IF('Analisis A.I.U.'!AG39&gt;$C$9,"REVISAR",ROUND('Analisis A.I.U.'!AG39,4)))</f>
        <v/>
      </c>
      <c r="H16" s="54" t="str">
        <f t="shared" ref="H16:H27" si="18">IF(F16="","",IF($H$7="Media aritmética",(F16&lt;=$J$7)*100+(F16&gt;$J$7)*0,IF(AVERAGE($F$13:$F$27)-$J$7/2&lt;=F16,IF(F16&lt;(AVERAGE($F$13:$F$27)+$J$7/2),100,0),0)))</f>
        <v/>
      </c>
      <c r="I16" s="55" t="str">
        <f>+IF(E16="H",HLOOKUP(A16,'Cálculo Pt2'!$C$7:$AF$11,3,FALSE),"")</f>
        <v/>
      </c>
      <c r="J16" s="55" t="str">
        <f>+IF(E16="H",HLOOKUP(A16,'Cálculo Pt2'!$C$7:$AF$11,4,FALSE),"")</f>
        <v/>
      </c>
      <c r="K16" s="54" t="str">
        <f t="shared" si="3"/>
        <v/>
      </c>
      <c r="L16" s="56" t="str">
        <f t="shared" si="1"/>
        <v/>
      </c>
      <c r="M16" s="57" t="str">
        <f t="shared" si="2"/>
        <v/>
      </c>
      <c r="N16" s="584"/>
      <c r="O16" s="584"/>
      <c r="Q16" s="75" t="str">
        <f t="shared" si="4"/>
        <v/>
      </c>
      <c r="R16" s="75" t="str">
        <f t="shared" si="5"/>
        <v/>
      </c>
      <c r="S16" s="75" t="str">
        <f t="shared" si="6"/>
        <v/>
      </c>
      <c r="T16" s="75" t="str">
        <f t="shared" si="7"/>
        <v/>
      </c>
      <c r="U16" s="75" t="str">
        <f t="shared" si="8"/>
        <v/>
      </c>
      <c r="V16" s="75" t="str">
        <f t="shared" si="9"/>
        <v/>
      </c>
      <c r="W16" s="75" t="str">
        <f t="shared" si="10"/>
        <v/>
      </c>
      <c r="X16" s="75" t="str">
        <f t="shared" si="11"/>
        <v/>
      </c>
      <c r="Y16" s="75" t="str">
        <f t="shared" si="12"/>
        <v/>
      </c>
      <c r="Z16" s="75" t="str">
        <f t="shared" si="13"/>
        <v/>
      </c>
      <c r="AA16" s="75" t="str">
        <f t="shared" si="14"/>
        <v/>
      </c>
      <c r="AB16" s="75" t="str">
        <f t="shared" si="15"/>
        <v/>
      </c>
      <c r="AC16" s="75" t="str">
        <f t="shared" si="16"/>
        <v/>
      </c>
      <c r="AD16" s="75" t="str">
        <f t="shared" si="17"/>
        <v/>
      </c>
      <c r="AE16" s="250"/>
      <c r="AF16" s="250"/>
    </row>
    <row r="17" spans="1:32" s="74" customFormat="1" ht="33" hidden="1" customHeight="1">
      <c r="A17" s="73" t="str">
        <f>+IF(ENTREGA!A11="","",ENTREGA!A11)</f>
        <v/>
      </c>
      <c r="B17" s="581" t="str">
        <f>IF(A17="","",VLOOKUP(A17,ENTREGA!$A$7:$B$21,2,FALSE))</f>
        <v/>
      </c>
      <c r="C17" s="582"/>
      <c r="D17" s="583"/>
      <c r="E17" s="61"/>
      <c r="F17" s="52" t="str">
        <f>IF(OR(E17="NH",E17=""),"",IF('Presupuesto Consolidado'!#REF!&gt;$C$8,"REVISAR",ROUND('Presupuesto Consolidado'!#REF!,0)))</f>
        <v/>
      </c>
      <c r="G17" s="53" t="str">
        <f>IF(OR(E17="NH",E17=""),"",IF('Analisis A.I.U.'!#REF!&gt;$C$9,"REVISAR",ROUND('Analisis A.I.U.'!#REF!,4)))</f>
        <v/>
      </c>
      <c r="H17" s="54" t="str">
        <f t="shared" si="18"/>
        <v/>
      </c>
      <c r="I17" s="55" t="str">
        <f>+IF(E17="H",HLOOKUP(A17,'Cálculo Pt2'!$C$7:$AF$11,3,FALSE),"")</f>
        <v/>
      </c>
      <c r="J17" s="55" t="str">
        <f>+IF(E17="H",HLOOKUP(A17,'Cálculo Pt2'!$C$7:$AF$11,4,FALSE),"")</f>
        <v/>
      </c>
      <c r="K17" s="54" t="str">
        <f t="shared" si="3"/>
        <v/>
      </c>
      <c r="L17" s="56" t="str">
        <f t="shared" si="1"/>
        <v/>
      </c>
      <c r="M17" s="57" t="str">
        <f t="shared" si="2"/>
        <v/>
      </c>
      <c r="N17" s="584"/>
      <c r="O17" s="584"/>
      <c r="Q17" s="75" t="str">
        <f t="shared" si="4"/>
        <v/>
      </c>
      <c r="R17" s="75" t="str">
        <f t="shared" si="5"/>
        <v/>
      </c>
      <c r="S17" s="75" t="str">
        <f t="shared" si="6"/>
        <v/>
      </c>
      <c r="T17" s="75" t="str">
        <f t="shared" si="7"/>
        <v/>
      </c>
      <c r="U17" s="75" t="str">
        <f t="shared" si="8"/>
        <v/>
      </c>
      <c r="V17" s="75" t="str">
        <f t="shared" si="9"/>
        <v/>
      </c>
      <c r="W17" s="75" t="str">
        <f t="shared" si="10"/>
        <v/>
      </c>
      <c r="X17" s="75" t="str">
        <f t="shared" si="11"/>
        <v/>
      </c>
      <c r="Y17" s="75" t="str">
        <f t="shared" si="12"/>
        <v/>
      </c>
      <c r="Z17" s="75" t="str">
        <f t="shared" si="13"/>
        <v/>
      </c>
      <c r="AA17" s="75" t="str">
        <f t="shared" si="14"/>
        <v/>
      </c>
      <c r="AB17" s="75" t="str">
        <f t="shared" si="15"/>
        <v/>
      </c>
      <c r="AC17" s="75" t="str">
        <f t="shared" si="16"/>
        <v/>
      </c>
      <c r="AD17" s="75" t="str">
        <f t="shared" si="17"/>
        <v/>
      </c>
      <c r="AE17" s="250"/>
      <c r="AF17" s="250"/>
    </row>
    <row r="18" spans="1:32" s="74" customFormat="1" ht="33" hidden="1" customHeight="1">
      <c r="A18" s="73" t="str">
        <f>+IF(ENTREGA!A12="","",ENTREGA!A12)</f>
        <v/>
      </c>
      <c r="B18" s="581" t="str">
        <f>IF(A18="","",VLOOKUP(A18,ENTREGA!$A$7:$B$21,2,FALSE))</f>
        <v/>
      </c>
      <c r="C18" s="582"/>
      <c r="D18" s="583"/>
      <c r="E18" s="61"/>
      <c r="F18" s="52" t="str">
        <f>IF(OR(E18="NH",E18=""),"",IF('Presupuesto Consolidado'!#REF!&gt;$C$8,"REVISAR",ROUND('Presupuesto Consolidado'!#REF!,0)))</f>
        <v/>
      </c>
      <c r="G18" s="53" t="str">
        <f>IF(OR(E18="NH",E18=""),"",IF('Analisis A.I.U.'!#REF!&gt;$C$9,"REVISAR",ROUND('Analisis A.I.U.'!#REF!,4)))</f>
        <v/>
      </c>
      <c r="H18" s="54" t="str">
        <f t="shared" si="18"/>
        <v/>
      </c>
      <c r="I18" s="55" t="str">
        <f>+IF(E18="H",HLOOKUP(A18,'Cálculo Pt2'!$C$7:$AF$11,3,FALSE),"")</f>
        <v/>
      </c>
      <c r="J18" s="55" t="str">
        <f>+IF(E18="H",HLOOKUP(A18,'Cálculo Pt2'!$C$7:$AF$11,4,FALSE),"")</f>
        <v/>
      </c>
      <c r="K18" s="54" t="str">
        <f t="shared" si="3"/>
        <v/>
      </c>
      <c r="L18" s="56" t="str">
        <f t="shared" si="1"/>
        <v/>
      </c>
      <c r="M18" s="57" t="str">
        <f t="shared" si="2"/>
        <v/>
      </c>
      <c r="N18" s="584"/>
      <c r="O18" s="584"/>
      <c r="Q18" s="75" t="str">
        <f t="shared" si="4"/>
        <v/>
      </c>
      <c r="R18" s="75" t="str">
        <f t="shared" si="5"/>
        <v/>
      </c>
      <c r="S18" s="75" t="str">
        <f t="shared" si="6"/>
        <v/>
      </c>
      <c r="T18" s="75" t="str">
        <f t="shared" si="7"/>
        <v/>
      </c>
      <c r="U18" s="75" t="str">
        <f t="shared" si="8"/>
        <v/>
      </c>
      <c r="V18" s="75" t="str">
        <f t="shared" si="9"/>
        <v/>
      </c>
      <c r="W18" s="75" t="str">
        <f t="shared" si="10"/>
        <v/>
      </c>
      <c r="X18" s="75" t="str">
        <f t="shared" si="11"/>
        <v/>
      </c>
      <c r="Y18" s="75" t="str">
        <f t="shared" si="12"/>
        <v/>
      </c>
      <c r="Z18" s="75" t="str">
        <f t="shared" si="13"/>
        <v/>
      </c>
      <c r="AA18" s="75" t="str">
        <f t="shared" si="14"/>
        <v/>
      </c>
      <c r="AB18" s="75" t="str">
        <f t="shared" si="15"/>
        <v/>
      </c>
      <c r="AC18" s="75" t="str">
        <f t="shared" si="16"/>
        <v/>
      </c>
      <c r="AD18" s="75" t="str">
        <f t="shared" si="17"/>
        <v/>
      </c>
      <c r="AE18" s="250"/>
      <c r="AF18" s="250"/>
    </row>
    <row r="19" spans="1:32" s="74" customFormat="1" ht="33" hidden="1" customHeight="1">
      <c r="A19" s="73" t="str">
        <f>+IF(ENTREGA!A13="","",ENTREGA!A13)</f>
        <v/>
      </c>
      <c r="B19" s="581" t="str">
        <f>IF(A19="","",VLOOKUP(A19,ENTREGA!$A$7:$B$21,2,FALSE))</f>
        <v/>
      </c>
      <c r="C19" s="582"/>
      <c r="D19" s="583"/>
      <c r="E19" s="61"/>
      <c r="F19" s="52" t="str">
        <f>IF(OR(E19="NH",E19=""),"",IF('Presupuesto Consolidado'!#REF!&gt;$C$8,"REVISAR",ROUND('Presupuesto Consolidado'!#REF!,0)))</f>
        <v/>
      </c>
      <c r="G19" s="53" t="str">
        <f>IF(OR(E19="NH",E19=""),"",IF('Analisis A.I.U.'!#REF!&gt;$C$9,"REVISAR",ROUND('Analisis A.I.U.'!#REF!,4)))</f>
        <v/>
      </c>
      <c r="H19" s="54" t="str">
        <f t="shared" si="18"/>
        <v/>
      </c>
      <c r="I19" s="55" t="str">
        <f>+IF(E19="H",HLOOKUP(A19,'Cálculo Pt2'!$C$7:$AF$11,3,FALSE),"")</f>
        <v/>
      </c>
      <c r="J19" s="55" t="str">
        <f>+IF(E19="H",HLOOKUP(A19,'Cálculo Pt2'!$C$7:$AF$11,4,FALSE),"")</f>
        <v/>
      </c>
      <c r="K19" s="54" t="str">
        <f t="shared" si="3"/>
        <v/>
      </c>
      <c r="L19" s="56" t="str">
        <f t="shared" si="1"/>
        <v/>
      </c>
      <c r="M19" s="57" t="str">
        <f t="shared" si="2"/>
        <v/>
      </c>
      <c r="N19" s="584"/>
      <c r="O19" s="584"/>
      <c r="Q19" s="75" t="str">
        <f t="shared" si="4"/>
        <v/>
      </c>
      <c r="R19" s="75" t="str">
        <f t="shared" si="5"/>
        <v/>
      </c>
      <c r="S19" s="75" t="str">
        <f t="shared" si="6"/>
        <v/>
      </c>
      <c r="T19" s="75" t="str">
        <f t="shared" si="7"/>
        <v/>
      </c>
      <c r="U19" s="75" t="str">
        <f t="shared" si="8"/>
        <v/>
      </c>
      <c r="V19" s="75" t="str">
        <f t="shared" si="9"/>
        <v/>
      </c>
      <c r="W19" s="75" t="str">
        <f t="shared" si="10"/>
        <v/>
      </c>
      <c r="X19" s="75" t="str">
        <f t="shared" si="11"/>
        <v/>
      </c>
      <c r="Y19" s="75" t="str">
        <f t="shared" si="12"/>
        <v/>
      </c>
      <c r="Z19" s="75" t="str">
        <f t="shared" si="13"/>
        <v/>
      </c>
      <c r="AA19" s="75" t="str">
        <f t="shared" si="14"/>
        <v/>
      </c>
      <c r="AB19" s="75" t="str">
        <f t="shared" si="15"/>
        <v/>
      </c>
      <c r="AC19" s="75" t="str">
        <f t="shared" si="16"/>
        <v/>
      </c>
      <c r="AD19" s="75" t="str">
        <f t="shared" si="17"/>
        <v/>
      </c>
      <c r="AE19" s="250"/>
      <c r="AF19" s="250"/>
    </row>
    <row r="20" spans="1:32" s="74" customFormat="1" ht="33" hidden="1" customHeight="1">
      <c r="A20" s="73" t="str">
        <f>+IF(ENTREGA!A14="","",ENTREGA!A14)</f>
        <v/>
      </c>
      <c r="B20" s="581" t="str">
        <f>IF(A20="","",VLOOKUP(A20,ENTREGA!$A$7:$B$21,2,FALSE))</f>
        <v/>
      </c>
      <c r="C20" s="582"/>
      <c r="D20" s="583"/>
      <c r="E20" s="61"/>
      <c r="F20" s="52" t="str">
        <f>IF(OR(E20="NH",E20=""),"",IF('Presupuesto Consolidado'!#REF!&gt;$C$8,"REVISAR",ROUND('Presupuesto Consolidado'!#REF!,0)))</f>
        <v/>
      </c>
      <c r="G20" s="53" t="str">
        <f>IF(OR(E20="NH",E20=""),"",IF('Analisis A.I.U.'!#REF!&gt;$C$9,"REVISAR",ROUND('Analisis A.I.U.'!#REF!,4)))</f>
        <v/>
      </c>
      <c r="H20" s="54" t="str">
        <f t="shared" si="18"/>
        <v/>
      </c>
      <c r="I20" s="55" t="str">
        <f>+IF(E20="H",HLOOKUP(A20,'Cálculo Pt2'!$C$7:$AF$11,3,FALSE),"")</f>
        <v/>
      </c>
      <c r="J20" s="55" t="str">
        <f>+IF(E20="H",HLOOKUP(A20,'Cálculo Pt2'!$C$7:$AF$11,4,FALSE),"")</f>
        <v/>
      </c>
      <c r="K20" s="54" t="str">
        <f t="shared" si="3"/>
        <v/>
      </c>
      <c r="L20" s="56" t="str">
        <f t="shared" si="1"/>
        <v/>
      </c>
      <c r="M20" s="57" t="str">
        <f t="shared" si="2"/>
        <v/>
      </c>
      <c r="N20" s="584"/>
      <c r="O20" s="584"/>
      <c r="Q20" s="75" t="str">
        <f t="shared" si="4"/>
        <v/>
      </c>
      <c r="R20" s="75" t="str">
        <f t="shared" si="5"/>
        <v/>
      </c>
      <c r="S20" s="75" t="str">
        <f t="shared" si="6"/>
        <v/>
      </c>
      <c r="T20" s="75" t="str">
        <f t="shared" si="7"/>
        <v/>
      </c>
      <c r="U20" s="75" t="str">
        <f t="shared" si="8"/>
        <v/>
      </c>
      <c r="V20" s="75" t="str">
        <f t="shared" si="9"/>
        <v/>
      </c>
      <c r="W20" s="75" t="str">
        <f t="shared" si="10"/>
        <v/>
      </c>
      <c r="X20" s="75" t="str">
        <f t="shared" si="11"/>
        <v/>
      </c>
      <c r="Y20" s="75" t="str">
        <f t="shared" si="12"/>
        <v/>
      </c>
      <c r="Z20" s="75" t="str">
        <f t="shared" si="13"/>
        <v/>
      </c>
      <c r="AA20" s="75" t="str">
        <f t="shared" si="14"/>
        <v/>
      </c>
      <c r="AB20" s="75" t="str">
        <f t="shared" si="15"/>
        <v/>
      </c>
      <c r="AC20" s="75" t="str">
        <f t="shared" si="16"/>
        <v/>
      </c>
      <c r="AD20" s="75" t="str">
        <f t="shared" si="17"/>
        <v/>
      </c>
      <c r="AE20" s="250"/>
      <c r="AF20" s="250"/>
    </row>
    <row r="21" spans="1:32" s="74" customFormat="1" ht="33" hidden="1" customHeight="1">
      <c r="A21" s="73" t="str">
        <f>+IF(ENTREGA!A15="","",ENTREGA!A15)</f>
        <v/>
      </c>
      <c r="B21" s="581" t="str">
        <f>IF(A21="","",VLOOKUP(A21,ENTREGA!$A$7:$B$21,2,FALSE))</f>
        <v/>
      </c>
      <c r="C21" s="582"/>
      <c r="D21" s="583"/>
      <c r="E21" s="61"/>
      <c r="F21" s="52" t="str">
        <f>IF(OR(E21="NH",E21=""),"",IF('Presupuesto Consolidado'!#REF!&gt;$C$8,"REVISAR",ROUND('Presupuesto Consolidado'!#REF!,0)))</f>
        <v/>
      </c>
      <c r="G21" s="53" t="str">
        <f>IF(OR(E21="NH",E21=""),"",IF('Analisis A.I.U.'!#REF!&gt;$C$9,"REVISAR",ROUND('Analisis A.I.U.'!#REF!,4)))</f>
        <v/>
      </c>
      <c r="H21" s="54" t="str">
        <f t="shared" si="18"/>
        <v/>
      </c>
      <c r="I21" s="55" t="str">
        <f>+IF(E21="H",HLOOKUP(A21,'Cálculo Pt2'!$C$7:$AF$11,3,FALSE),"")</f>
        <v/>
      </c>
      <c r="J21" s="55" t="str">
        <f>+IF(E21="H",HLOOKUP(A21,'Cálculo Pt2'!$C$7:$AF$11,4,FALSE),"")</f>
        <v/>
      </c>
      <c r="K21" s="54" t="str">
        <f t="shared" si="3"/>
        <v/>
      </c>
      <c r="L21" s="56" t="str">
        <f t="shared" si="1"/>
        <v/>
      </c>
      <c r="M21" s="57" t="str">
        <f t="shared" si="2"/>
        <v/>
      </c>
      <c r="N21" s="584"/>
      <c r="O21" s="584"/>
      <c r="Q21" s="75" t="str">
        <f t="shared" si="4"/>
        <v/>
      </c>
      <c r="R21" s="75" t="str">
        <f t="shared" si="5"/>
        <v/>
      </c>
      <c r="S21" s="75" t="str">
        <f t="shared" si="6"/>
        <v/>
      </c>
      <c r="T21" s="75" t="str">
        <f t="shared" si="7"/>
        <v/>
      </c>
      <c r="U21" s="75" t="str">
        <f t="shared" si="8"/>
        <v/>
      </c>
      <c r="V21" s="75" t="str">
        <f t="shared" si="9"/>
        <v/>
      </c>
      <c r="W21" s="75" t="str">
        <f t="shared" si="10"/>
        <v/>
      </c>
      <c r="X21" s="75" t="str">
        <f t="shared" si="11"/>
        <v/>
      </c>
      <c r="Y21" s="75" t="str">
        <f t="shared" si="12"/>
        <v/>
      </c>
      <c r="Z21" s="75" t="str">
        <f t="shared" si="13"/>
        <v/>
      </c>
      <c r="AA21" s="75" t="str">
        <f t="shared" si="14"/>
        <v/>
      </c>
      <c r="AB21" s="75" t="str">
        <f t="shared" si="15"/>
        <v/>
      </c>
      <c r="AC21" s="75" t="str">
        <f t="shared" si="16"/>
        <v/>
      </c>
      <c r="AD21" s="75" t="str">
        <f t="shared" si="17"/>
        <v/>
      </c>
      <c r="AE21" s="250"/>
      <c r="AF21" s="250"/>
    </row>
    <row r="22" spans="1:32" s="74" customFormat="1" ht="33" hidden="1" customHeight="1">
      <c r="A22" s="73" t="str">
        <f>+IF(ENTREGA!A16="","",ENTREGA!A16)</f>
        <v/>
      </c>
      <c r="B22" s="581" t="str">
        <f>IF(A22="","",VLOOKUP(A22,ENTREGA!$A$7:$B$21,2,FALSE))</f>
        <v/>
      </c>
      <c r="C22" s="582"/>
      <c r="D22" s="583"/>
      <c r="E22" s="61"/>
      <c r="F22" s="52" t="str">
        <f>IF(OR(E22="NH",E22=""),"",IF('Presupuesto Consolidado'!#REF!&gt;$C$8,"REVISAR",ROUND('Presupuesto Consolidado'!#REF!,0)))</f>
        <v/>
      </c>
      <c r="G22" s="53" t="str">
        <f>IF(OR(E22="NH",E22=""),"",IF('Analisis A.I.U.'!#REF!&gt;$C$9,"REVISAR",ROUND('Analisis A.I.U.'!#REF!,4)))</f>
        <v/>
      </c>
      <c r="H22" s="54" t="str">
        <f t="shared" si="18"/>
        <v/>
      </c>
      <c r="I22" s="55" t="str">
        <f>+IF(E22="H",HLOOKUP(A22,'Cálculo Pt2'!$C$7:$AF$11,3,FALSE),"")</f>
        <v/>
      </c>
      <c r="J22" s="55" t="str">
        <f>+IF(E22="H",HLOOKUP(A22,'Cálculo Pt2'!$C$7:$AF$11,4,FALSE),"")</f>
        <v/>
      </c>
      <c r="K22" s="54" t="str">
        <f t="shared" si="3"/>
        <v/>
      </c>
      <c r="L22" s="56" t="str">
        <f t="shared" si="1"/>
        <v/>
      </c>
      <c r="M22" s="57" t="str">
        <f t="shared" si="2"/>
        <v/>
      </c>
      <c r="N22" s="584"/>
      <c r="O22" s="584"/>
      <c r="Q22" s="75" t="str">
        <f t="shared" si="4"/>
        <v/>
      </c>
      <c r="R22" s="75" t="str">
        <f t="shared" si="5"/>
        <v/>
      </c>
      <c r="S22" s="75" t="str">
        <f t="shared" si="6"/>
        <v/>
      </c>
      <c r="T22" s="75" t="str">
        <f t="shared" si="7"/>
        <v/>
      </c>
      <c r="U22" s="75" t="str">
        <f t="shared" si="8"/>
        <v/>
      </c>
      <c r="V22" s="75" t="str">
        <f t="shared" si="9"/>
        <v/>
      </c>
      <c r="W22" s="75" t="str">
        <f t="shared" si="10"/>
        <v/>
      </c>
      <c r="X22" s="75" t="str">
        <f t="shared" si="11"/>
        <v/>
      </c>
      <c r="Y22" s="75" t="str">
        <f t="shared" si="12"/>
        <v/>
      </c>
      <c r="Z22" s="75" t="str">
        <f t="shared" si="13"/>
        <v/>
      </c>
      <c r="AA22" s="75" t="str">
        <f t="shared" si="14"/>
        <v/>
      </c>
      <c r="AB22" s="75" t="str">
        <f t="shared" si="15"/>
        <v/>
      </c>
      <c r="AC22" s="75" t="str">
        <f t="shared" si="16"/>
        <v/>
      </c>
      <c r="AD22" s="75" t="str">
        <f t="shared" si="17"/>
        <v/>
      </c>
      <c r="AE22" s="250"/>
      <c r="AF22" s="250"/>
    </row>
    <row r="23" spans="1:32" s="74" customFormat="1" ht="33" hidden="1" customHeight="1">
      <c r="A23" s="73" t="str">
        <f>+IF(ENTREGA!A17="","",ENTREGA!A17)</f>
        <v/>
      </c>
      <c r="B23" s="581" t="str">
        <f>IF(A23="","",VLOOKUP(A23,ENTREGA!$A$7:$B$21,2,FALSE))</f>
        <v/>
      </c>
      <c r="C23" s="582"/>
      <c r="D23" s="583"/>
      <c r="E23" s="61"/>
      <c r="F23" s="52" t="str">
        <f>IF(OR(E23="NH",E23=""),"",IF('Presupuesto Consolidado'!#REF!&gt;$C$8,"REVISAR",ROUND('Presupuesto Consolidado'!#REF!,0)))</f>
        <v/>
      </c>
      <c r="G23" s="53" t="str">
        <f>IF(OR(E23="NH",E23=""),"",IF('Analisis A.I.U.'!#REF!&gt;$C$9,"REVISAR",ROUND('Analisis A.I.U.'!#REF!,4)))</f>
        <v/>
      </c>
      <c r="H23" s="54" t="str">
        <f t="shared" si="18"/>
        <v/>
      </c>
      <c r="I23" s="55" t="str">
        <f>+IF(E23="H",HLOOKUP(A23,'Cálculo Pt2'!$C$7:$AF$11,3,FALSE),"")</f>
        <v/>
      </c>
      <c r="J23" s="55" t="str">
        <f>+IF(E23="H",HLOOKUP(A23,'Cálculo Pt2'!$C$7:$AF$11,4,FALSE),"")</f>
        <v/>
      </c>
      <c r="K23" s="54" t="str">
        <f t="shared" si="3"/>
        <v/>
      </c>
      <c r="L23" s="56" t="str">
        <f t="shared" si="1"/>
        <v/>
      </c>
      <c r="M23" s="57" t="str">
        <f t="shared" si="2"/>
        <v/>
      </c>
      <c r="N23" s="584"/>
      <c r="O23" s="584"/>
      <c r="Q23" s="75" t="str">
        <f t="shared" si="4"/>
        <v/>
      </c>
      <c r="R23" s="75" t="str">
        <f t="shared" si="5"/>
        <v/>
      </c>
      <c r="S23" s="75" t="str">
        <f t="shared" si="6"/>
        <v/>
      </c>
      <c r="T23" s="75" t="str">
        <f t="shared" si="7"/>
        <v/>
      </c>
      <c r="U23" s="75" t="str">
        <f t="shared" si="8"/>
        <v/>
      </c>
      <c r="V23" s="75" t="str">
        <f t="shared" si="9"/>
        <v/>
      </c>
      <c r="W23" s="75" t="str">
        <f t="shared" si="10"/>
        <v/>
      </c>
      <c r="X23" s="75" t="str">
        <f t="shared" si="11"/>
        <v/>
      </c>
      <c r="Y23" s="75" t="str">
        <f t="shared" si="12"/>
        <v/>
      </c>
      <c r="Z23" s="75" t="str">
        <f t="shared" si="13"/>
        <v/>
      </c>
      <c r="AA23" s="75" t="str">
        <f t="shared" si="14"/>
        <v/>
      </c>
      <c r="AB23" s="75" t="str">
        <f t="shared" si="15"/>
        <v/>
      </c>
      <c r="AC23" s="75" t="str">
        <f t="shared" si="16"/>
        <v/>
      </c>
      <c r="AD23" s="75" t="str">
        <f t="shared" si="17"/>
        <v/>
      </c>
      <c r="AE23" s="250"/>
      <c r="AF23" s="250"/>
    </row>
    <row r="24" spans="1:32" s="74" customFormat="1" ht="33" hidden="1" customHeight="1">
      <c r="A24" s="73" t="str">
        <f>+IF(ENTREGA!A18="","",ENTREGA!A18)</f>
        <v/>
      </c>
      <c r="B24" s="581" t="str">
        <f>IF(A24="","",VLOOKUP(A24,ENTREGA!$A$7:$B$21,2,FALSE))</f>
        <v/>
      </c>
      <c r="C24" s="582"/>
      <c r="D24" s="583"/>
      <c r="E24" s="61"/>
      <c r="F24" s="52" t="str">
        <f>IF(OR(E24="NH",E24=""),"",IF('Presupuesto Consolidado'!#REF!&gt;$C$8,"REVISAR",ROUND('Presupuesto Consolidado'!#REF!,0)))</f>
        <v/>
      </c>
      <c r="G24" s="53" t="str">
        <f>IF(OR(E24="NH",E24=""),"",IF('Analisis A.I.U.'!#REF!&gt;$C$9,"REVISAR",ROUND('Analisis A.I.U.'!#REF!,4)))</f>
        <v/>
      </c>
      <c r="H24" s="54" t="str">
        <f t="shared" si="18"/>
        <v/>
      </c>
      <c r="I24" s="55" t="str">
        <f>+IF(E24="H",HLOOKUP(A24,'Cálculo Pt2'!$C$7:$AF$11,3,FALSE),"")</f>
        <v/>
      </c>
      <c r="J24" s="55" t="str">
        <f>+IF(E24="H",HLOOKUP(A24,'Cálculo Pt2'!$C$7:$AF$11,4,FALSE),"")</f>
        <v/>
      </c>
      <c r="K24" s="54" t="str">
        <f t="shared" si="3"/>
        <v/>
      </c>
      <c r="L24" s="56" t="str">
        <f t="shared" si="1"/>
        <v/>
      </c>
      <c r="M24" s="57" t="str">
        <f t="shared" si="2"/>
        <v/>
      </c>
      <c r="N24" s="584"/>
      <c r="O24" s="584"/>
      <c r="Q24" s="75" t="str">
        <f t="shared" si="4"/>
        <v/>
      </c>
      <c r="R24" s="75" t="str">
        <f t="shared" si="5"/>
        <v/>
      </c>
      <c r="S24" s="75" t="str">
        <f t="shared" si="6"/>
        <v/>
      </c>
      <c r="T24" s="75" t="str">
        <f t="shared" si="7"/>
        <v/>
      </c>
      <c r="U24" s="75" t="str">
        <f t="shared" si="8"/>
        <v/>
      </c>
      <c r="V24" s="75" t="str">
        <f t="shared" si="9"/>
        <v/>
      </c>
      <c r="W24" s="75" t="str">
        <f t="shared" si="10"/>
        <v/>
      </c>
      <c r="X24" s="75" t="str">
        <f t="shared" si="11"/>
        <v/>
      </c>
      <c r="Y24" s="75" t="str">
        <f t="shared" si="12"/>
        <v/>
      </c>
      <c r="Z24" s="75" t="str">
        <f t="shared" si="13"/>
        <v/>
      </c>
      <c r="AA24" s="75" t="str">
        <f t="shared" si="14"/>
        <v/>
      </c>
      <c r="AB24" s="75" t="str">
        <f t="shared" si="15"/>
        <v/>
      </c>
      <c r="AC24" s="75" t="str">
        <f t="shared" si="16"/>
        <v/>
      </c>
      <c r="AD24" s="75" t="str">
        <f t="shared" si="17"/>
        <v/>
      </c>
      <c r="AE24" s="250"/>
      <c r="AF24" s="250"/>
    </row>
    <row r="25" spans="1:32" s="74" customFormat="1" ht="33" hidden="1" customHeight="1">
      <c r="A25" s="73" t="str">
        <f>+IF(ENTREGA!A19="","",ENTREGA!A19)</f>
        <v/>
      </c>
      <c r="B25" s="581" t="str">
        <f>IF(A25="","",VLOOKUP(A25,ENTREGA!$A$7:$B$21,2,FALSE))</f>
        <v/>
      </c>
      <c r="C25" s="582"/>
      <c r="D25" s="583"/>
      <c r="E25" s="61"/>
      <c r="F25" s="52" t="str">
        <f>IF(OR(E25="NH",E25=""),"",IF('Presupuesto Consolidado'!#REF!&gt;$C$8,"REVISAR",ROUND('Presupuesto Consolidado'!#REF!,0)))</f>
        <v/>
      </c>
      <c r="G25" s="53" t="str">
        <f>IF(OR(E25="NH",E25=""),"",IF('Analisis A.I.U.'!#REF!&gt;$C$9,"REVISAR",ROUND('Analisis A.I.U.'!#REF!,4)))</f>
        <v/>
      </c>
      <c r="H25" s="54" t="str">
        <f t="shared" si="18"/>
        <v/>
      </c>
      <c r="I25" s="55" t="str">
        <f>+IF(E25="H",HLOOKUP(A25,'Cálculo Pt2'!$C$7:$AF$11,3,FALSE),"")</f>
        <v/>
      </c>
      <c r="J25" s="55" t="str">
        <f>+IF(E25="H",HLOOKUP(A25,'Cálculo Pt2'!$C$7:$AF$11,4,FALSE),"")</f>
        <v/>
      </c>
      <c r="K25" s="54" t="str">
        <f t="shared" si="3"/>
        <v/>
      </c>
      <c r="L25" s="56" t="str">
        <f t="shared" si="1"/>
        <v/>
      </c>
      <c r="M25" s="57" t="str">
        <f t="shared" si="2"/>
        <v/>
      </c>
      <c r="N25" s="584"/>
      <c r="O25" s="584"/>
      <c r="Q25" s="75" t="str">
        <f t="shared" si="4"/>
        <v/>
      </c>
      <c r="R25" s="75" t="str">
        <f t="shared" si="5"/>
        <v/>
      </c>
      <c r="S25" s="75" t="str">
        <f t="shared" si="6"/>
        <v/>
      </c>
      <c r="T25" s="75" t="str">
        <f t="shared" si="7"/>
        <v/>
      </c>
      <c r="U25" s="75" t="str">
        <f t="shared" si="8"/>
        <v/>
      </c>
      <c r="V25" s="75" t="str">
        <f t="shared" si="9"/>
        <v/>
      </c>
      <c r="W25" s="75" t="str">
        <f t="shared" si="10"/>
        <v/>
      </c>
      <c r="X25" s="75" t="str">
        <f t="shared" si="11"/>
        <v/>
      </c>
      <c r="Y25" s="75" t="str">
        <f t="shared" si="12"/>
        <v/>
      </c>
      <c r="Z25" s="75" t="str">
        <f t="shared" si="13"/>
        <v/>
      </c>
      <c r="AA25" s="75" t="str">
        <f t="shared" si="14"/>
        <v/>
      </c>
      <c r="AB25" s="75" t="str">
        <f t="shared" si="15"/>
        <v/>
      </c>
      <c r="AC25" s="75" t="str">
        <f t="shared" si="16"/>
        <v/>
      </c>
      <c r="AD25" s="75" t="str">
        <f t="shared" si="17"/>
        <v/>
      </c>
      <c r="AE25" s="250"/>
      <c r="AF25" s="250"/>
    </row>
    <row r="26" spans="1:32" s="74" customFormat="1" ht="33" hidden="1" customHeight="1">
      <c r="A26" s="73" t="str">
        <f>+IF(ENTREGA!A20="","",ENTREGA!A20)</f>
        <v/>
      </c>
      <c r="B26" s="581" t="str">
        <f>IF(A26="","",VLOOKUP(A26,ENTREGA!$A$7:$B$21,2,FALSE))</f>
        <v/>
      </c>
      <c r="C26" s="582"/>
      <c r="D26" s="583"/>
      <c r="E26" s="61"/>
      <c r="F26" s="52" t="str">
        <f>IF(OR(E26="NH",E26=""),"",IF('Presupuesto Consolidado'!#REF!&gt;$C$8,"REVISAR",ROUND('Presupuesto Consolidado'!#REF!,0)))</f>
        <v/>
      </c>
      <c r="G26" s="53" t="str">
        <f>IF(OR(E26="NH",E26=""),"",IF('Analisis A.I.U.'!#REF!&gt;$C$9,"REVISAR",ROUND('Analisis A.I.U.'!#REF!,4)))</f>
        <v/>
      </c>
      <c r="H26" s="54" t="str">
        <f t="shared" si="18"/>
        <v/>
      </c>
      <c r="I26" s="55" t="str">
        <f>+IF(E26="H",HLOOKUP(A26,'Cálculo Pt2'!$C$7:$AF$11,3,FALSE),"")</f>
        <v/>
      </c>
      <c r="J26" s="55" t="str">
        <f>+IF(E26="H",HLOOKUP(A26,'Cálculo Pt2'!$C$7:$AF$11,4,FALSE),"")</f>
        <v/>
      </c>
      <c r="K26" s="54" t="str">
        <f t="shared" si="3"/>
        <v/>
      </c>
      <c r="L26" s="56" t="str">
        <f t="shared" si="1"/>
        <v/>
      </c>
      <c r="M26" s="57" t="str">
        <f t="shared" si="2"/>
        <v/>
      </c>
      <c r="N26" s="584"/>
      <c r="O26" s="584"/>
      <c r="Q26" s="75" t="str">
        <f t="shared" si="4"/>
        <v/>
      </c>
      <c r="R26" s="75" t="str">
        <f t="shared" si="5"/>
        <v/>
      </c>
      <c r="S26" s="75" t="str">
        <f t="shared" si="6"/>
        <v/>
      </c>
      <c r="T26" s="75" t="str">
        <f t="shared" si="7"/>
        <v/>
      </c>
      <c r="U26" s="75" t="str">
        <f t="shared" si="8"/>
        <v/>
      </c>
      <c r="V26" s="75" t="str">
        <f t="shared" si="9"/>
        <v/>
      </c>
      <c r="W26" s="75" t="str">
        <f t="shared" si="10"/>
        <v/>
      </c>
      <c r="X26" s="75" t="str">
        <f t="shared" si="11"/>
        <v/>
      </c>
      <c r="Y26" s="75" t="str">
        <f t="shared" si="12"/>
        <v/>
      </c>
      <c r="Z26" s="75" t="str">
        <f t="shared" si="13"/>
        <v/>
      </c>
      <c r="AA26" s="75" t="str">
        <f t="shared" si="14"/>
        <v/>
      </c>
      <c r="AB26" s="75" t="str">
        <f t="shared" si="15"/>
        <v/>
      </c>
      <c r="AC26" s="75" t="str">
        <f t="shared" si="16"/>
        <v/>
      </c>
      <c r="AD26" s="75" t="str">
        <f t="shared" si="17"/>
        <v/>
      </c>
      <c r="AE26" s="250"/>
      <c r="AF26" s="250"/>
    </row>
    <row r="27" spans="1:32" s="74" customFormat="1" ht="33" hidden="1" customHeight="1">
      <c r="A27" s="73" t="str">
        <f>+IF(ENTREGA!A21="","",ENTREGA!A21)</f>
        <v/>
      </c>
      <c r="B27" s="581" t="str">
        <f>IF(A27="","",VLOOKUP(A27,ENTREGA!$A$7:$B$21,2,FALSE))</f>
        <v/>
      </c>
      <c r="C27" s="582"/>
      <c r="D27" s="583"/>
      <c r="E27" s="61"/>
      <c r="F27" s="52" t="str">
        <f>IF(OR(E27="NH",E27=""),"",IF('Presupuesto Consolidado'!#REF!&gt;$C$8,"REVISAR",ROUND('Presupuesto Consolidado'!#REF!,0)))</f>
        <v/>
      </c>
      <c r="G27" s="53" t="str">
        <f>IF(OR(E27="NH",E27=""),"",IF('Analisis A.I.U.'!#REF!&gt;$C$9,"REVISAR",ROUND('Analisis A.I.U.'!#REF!,4)))</f>
        <v/>
      </c>
      <c r="H27" s="54" t="str">
        <f t="shared" si="18"/>
        <v/>
      </c>
      <c r="I27" s="55" t="str">
        <f>+IF(E27="H",HLOOKUP(A27,'Cálculo Pt2'!$C$7:$AF$11,3,FALSE),"")</f>
        <v/>
      </c>
      <c r="J27" s="55" t="str">
        <f>+IF(E27="H",HLOOKUP(A27,'Cálculo Pt2'!$C$7:$AF$11,4,FALSE),"")</f>
        <v/>
      </c>
      <c r="K27" s="54" t="str">
        <f t="shared" si="3"/>
        <v/>
      </c>
      <c r="L27" s="56" t="str">
        <f t="shared" si="1"/>
        <v/>
      </c>
      <c r="M27" s="57" t="str">
        <f t="shared" si="2"/>
        <v/>
      </c>
      <c r="N27" s="584"/>
      <c r="O27" s="584"/>
      <c r="Q27" s="75" t="str">
        <f t="shared" si="4"/>
        <v/>
      </c>
      <c r="R27" s="75" t="str">
        <f t="shared" si="5"/>
        <v/>
      </c>
      <c r="S27" s="75" t="str">
        <f t="shared" si="6"/>
        <v/>
      </c>
      <c r="T27" s="75" t="str">
        <f t="shared" si="7"/>
        <v/>
      </c>
      <c r="U27" s="75" t="str">
        <f t="shared" si="8"/>
        <v/>
      </c>
      <c r="V27" s="75" t="str">
        <f t="shared" si="9"/>
        <v/>
      </c>
      <c r="W27" s="75" t="str">
        <f t="shared" si="10"/>
        <v/>
      </c>
      <c r="X27" s="75" t="str">
        <f t="shared" si="11"/>
        <v/>
      </c>
      <c r="Y27" s="75" t="str">
        <f t="shared" si="12"/>
        <v/>
      </c>
      <c r="Z27" s="75" t="str">
        <f t="shared" si="13"/>
        <v/>
      </c>
      <c r="AA27" s="75" t="str">
        <f t="shared" si="14"/>
        <v/>
      </c>
      <c r="AB27" s="75" t="str">
        <f t="shared" si="15"/>
        <v/>
      </c>
      <c r="AC27" s="75" t="str">
        <f t="shared" si="16"/>
        <v/>
      </c>
      <c r="AD27" s="75" t="str">
        <f t="shared" si="17"/>
        <v/>
      </c>
      <c r="AE27" s="250"/>
      <c r="AF27" s="250"/>
    </row>
  </sheetData>
  <sheetProtection algorithmName="SHA-512" hashValue="nz+xxN2MgJdsh0l52sOiUf6ZUObcnDQ1mhy1kCCX7U3+M1PB1UfD0AmeawUawzWJimb8dTeDmzvuPPBQgakyuA==" saltValue="ZvDK8ArHTuBhTPUtI3k7Gg==" spinCount="100000" sheet="1" objects="1" scenarios="1" selectLockedCells="1" selectUnlockedCells="1"/>
  <mergeCells count="46">
    <mergeCell ref="A8:B8"/>
    <mergeCell ref="A9:B9"/>
    <mergeCell ref="E7:F7"/>
    <mergeCell ref="H7:I7"/>
    <mergeCell ref="G6:K6"/>
    <mergeCell ref="E8:F8"/>
    <mergeCell ref="B20:D20"/>
    <mergeCell ref="B21:D21"/>
    <mergeCell ref="B22:D22"/>
    <mergeCell ref="B23:D23"/>
    <mergeCell ref="B24:D24"/>
    <mergeCell ref="N22:O22"/>
    <mergeCell ref="N23:O23"/>
    <mergeCell ref="N24:O24"/>
    <mergeCell ref="N12:O12"/>
    <mergeCell ref="N13:O13"/>
    <mergeCell ref="N14:O14"/>
    <mergeCell ref="N15:O15"/>
    <mergeCell ref="N21:O21"/>
    <mergeCell ref="N16:O16"/>
    <mergeCell ref="N17:O17"/>
    <mergeCell ref="N18:O18"/>
    <mergeCell ref="N19:O19"/>
    <mergeCell ref="N20:O20"/>
    <mergeCell ref="B19:D19"/>
    <mergeCell ref="A1:O1"/>
    <mergeCell ref="A2:O2"/>
    <mergeCell ref="A3:O3"/>
    <mergeCell ref="A4:O4"/>
    <mergeCell ref="B14:D14"/>
    <mergeCell ref="B15:D15"/>
    <mergeCell ref="B16:D16"/>
    <mergeCell ref="B17:D17"/>
    <mergeCell ref="B18:D18"/>
    <mergeCell ref="B12:D12"/>
    <mergeCell ref="D6:F6"/>
    <mergeCell ref="A7:B7"/>
    <mergeCell ref="B13:D13"/>
    <mergeCell ref="A6:B6"/>
    <mergeCell ref="H10:K10"/>
    <mergeCell ref="B25:D25"/>
    <mergeCell ref="N25:O25"/>
    <mergeCell ref="B26:D26"/>
    <mergeCell ref="N26:O26"/>
    <mergeCell ref="B27:D27"/>
    <mergeCell ref="N27:O27"/>
  </mergeCells>
  <conditionalFormatting sqref="M13:M27">
    <cfRule type="cellIs" dxfId="0" priority="1" operator="equal">
      <formula>1</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J221"/>
  <sheetViews>
    <sheetView zoomScale="70" zoomScaleNormal="70" workbookViewId="0">
      <selection activeCell="D115" sqref="D115"/>
    </sheetView>
  </sheetViews>
  <sheetFormatPr baseColWidth="10" defaultColWidth="11.42578125" defaultRowHeight="12.75"/>
  <cols>
    <col min="1" max="1" width="7.85546875" customWidth="1"/>
    <col min="2" max="2" width="18.140625" customWidth="1"/>
    <col min="3" max="3" width="15" customWidth="1"/>
    <col min="4" max="4" width="6.7109375" customWidth="1"/>
    <col min="5" max="5" width="14.85546875" customWidth="1"/>
    <col min="6" max="6" width="6.7109375" customWidth="1"/>
    <col min="7" max="7" width="14.140625" customWidth="1"/>
    <col min="8" max="8" width="9.140625" customWidth="1"/>
    <col min="9" max="9" width="15.140625" customWidth="1"/>
    <col min="10" max="10" width="8.140625" customWidth="1"/>
    <col min="11" max="11" width="12.5703125" customWidth="1"/>
    <col min="12" max="12" width="6.7109375" customWidth="1"/>
    <col min="13" max="13" width="12.5703125" customWidth="1"/>
    <col min="14" max="14" width="6.7109375" customWidth="1"/>
    <col min="15" max="15" width="12.5703125" hidden="1" customWidth="1"/>
    <col min="16" max="16" width="6.7109375" hidden="1" customWidth="1"/>
    <col min="17" max="17" width="12.5703125" hidden="1" customWidth="1"/>
    <col min="18" max="18" width="6.7109375" hidden="1" customWidth="1"/>
    <col min="19" max="19" width="12.5703125" hidden="1" customWidth="1"/>
    <col min="20" max="20" width="6.7109375" hidden="1" customWidth="1"/>
    <col min="21" max="21" width="12.5703125" hidden="1" customWidth="1"/>
    <col min="22" max="22" width="6.7109375" hidden="1" customWidth="1"/>
    <col min="23" max="23" width="12.5703125" hidden="1" customWidth="1"/>
    <col min="24" max="24" width="6.7109375" hidden="1" customWidth="1"/>
    <col min="25" max="25" width="12.5703125" hidden="1" customWidth="1"/>
    <col min="26" max="26" width="6.7109375" hidden="1" customWidth="1"/>
    <col min="27" max="27" width="12.5703125" hidden="1" customWidth="1"/>
    <col min="28" max="28" width="6.7109375" hidden="1" customWidth="1"/>
    <col min="29" max="29" width="12.5703125" hidden="1" customWidth="1"/>
    <col min="30" max="30" width="6.7109375" hidden="1" customWidth="1"/>
    <col min="31" max="31" width="12.5703125" hidden="1" customWidth="1"/>
    <col min="32" max="32" width="6.7109375" hidden="1" customWidth="1"/>
    <col min="33" max="33" width="2" customWidth="1"/>
  </cols>
  <sheetData>
    <row r="1" spans="1:36" s="62" customFormat="1" ht="24.75" customHeight="1">
      <c r="A1" s="627" t="s">
        <v>144</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row>
    <row r="3" spans="1:36" ht="15">
      <c r="A3" s="626" t="s">
        <v>89</v>
      </c>
      <c r="B3" s="626"/>
      <c r="E3" s="630" t="s">
        <v>116</v>
      </c>
      <c r="F3" s="630"/>
      <c r="G3" s="630"/>
      <c r="H3" s="630"/>
      <c r="K3" s="631" t="s">
        <v>143</v>
      </c>
      <c r="L3" s="631"/>
      <c r="M3" s="631"/>
    </row>
    <row r="4" spans="1:36" s="135" customFormat="1" ht="30.75" customHeight="1">
      <c r="A4" s="133" t="s">
        <v>117</v>
      </c>
      <c r="B4" s="134">
        <f>COUNT(B14:B44)</f>
        <v>31</v>
      </c>
      <c r="E4" s="626" t="s">
        <v>118</v>
      </c>
      <c r="F4" s="626"/>
      <c r="G4" s="626" t="s">
        <v>119</v>
      </c>
      <c r="H4" s="626"/>
      <c r="K4" s="632" t="str">
        <f>+'10. EVALUACIÓN'!H7</f>
        <v>Media aritmética</v>
      </c>
      <c r="L4" s="633"/>
      <c r="M4" s="634"/>
    </row>
    <row r="5" spans="1:36" ht="30.75" customHeight="1">
      <c r="A5" s="134" t="s">
        <v>120</v>
      </c>
      <c r="B5" s="134">
        <f>COUNT(B47:B221)</f>
        <v>175</v>
      </c>
      <c r="E5" s="629">
        <f>+'10. EVALUACIÓN'!I11</f>
        <v>120</v>
      </c>
      <c r="F5" s="629"/>
      <c r="G5" s="629">
        <f>+'10. EVALUACIÓN'!J11</f>
        <v>80</v>
      </c>
      <c r="H5" s="629"/>
      <c r="K5" s="635"/>
      <c r="L5" s="636"/>
      <c r="M5" s="637"/>
    </row>
    <row r="6" spans="1:36">
      <c r="A6" s="136"/>
      <c r="B6" s="136"/>
      <c r="D6" s="137"/>
    </row>
    <row r="7" spans="1:36" s="138" customFormat="1" ht="21" customHeight="1">
      <c r="A7" s="638" t="s">
        <v>21</v>
      </c>
      <c r="B7" s="133" t="s">
        <v>90</v>
      </c>
      <c r="C7" s="621">
        <f>IF(ENTREGA!A7="","",ENTREGA!A7)</f>
        <v>1</v>
      </c>
      <c r="D7" s="621"/>
      <c r="E7" s="621">
        <f>IF(ENTREGA!A8="","",ENTREGA!A8)</f>
        <v>2</v>
      </c>
      <c r="F7" s="621"/>
      <c r="G7" s="621">
        <f>IF(ENTREGA!A9="","",ENTREGA!A9)</f>
        <v>3</v>
      </c>
      <c r="H7" s="621"/>
      <c r="I7" s="621">
        <f>IF(ENTREGA!A10="","",ENTREGA!A10)</f>
        <v>4</v>
      </c>
      <c r="J7" s="621"/>
      <c r="K7" s="621" t="str">
        <f>IF(ENTREGA!A11="","",ENTREGA!A11)</f>
        <v/>
      </c>
      <c r="L7" s="621"/>
      <c r="M7" s="621" t="str">
        <f>IF(ENTREGA!A12="","",ENTREGA!A12)</f>
        <v/>
      </c>
      <c r="N7" s="621"/>
      <c r="O7" s="621" t="str">
        <f>IF(ENTREGA!A13="","",ENTREGA!A13)</f>
        <v/>
      </c>
      <c r="P7" s="621"/>
      <c r="Q7" s="621" t="str">
        <f>IF(ENTREGA!A14="","",ENTREGA!A14)</f>
        <v/>
      </c>
      <c r="R7" s="621"/>
      <c r="S7" s="621" t="str">
        <f>IF(ENTREGA!A15="","",ENTREGA!A15)</f>
        <v/>
      </c>
      <c r="T7" s="621"/>
      <c r="U7" s="621" t="str">
        <f>IF(ENTREGA!A16="","",ENTREGA!A16)</f>
        <v/>
      </c>
      <c r="V7" s="621"/>
      <c r="W7" s="621" t="str">
        <f>IF(ENTREGA!A17="","",ENTREGA!A17)</f>
        <v/>
      </c>
      <c r="X7" s="621"/>
      <c r="Y7" s="621" t="str">
        <f>IF(ENTREGA!A18="","",ENTREGA!A18)</f>
        <v/>
      </c>
      <c r="Z7" s="621"/>
      <c r="AA7" s="621" t="str">
        <f>IF(ENTREGA!A19="","",ENTREGA!A19)</f>
        <v/>
      </c>
      <c r="AB7" s="621"/>
      <c r="AC7" s="621" t="str">
        <f>IF(ENTREGA!A20="","",ENTREGA!A20)</f>
        <v/>
      </c>
      <c r="AD7" s="621"/>
      <c r="AE7" s="621" t="str">
        <f>IF(ENTREGA!A21="","",ENTREGA!A21)</f>
        <v/>
      </c>
      <c r="AF7" s="621"/>
    </row>
    <row r="8" spans="1:36" s="135" customFormat="1" ht="35.25" customHeight="1">
      <c r="A8" s="638"/>
      <c r="B8" s="139" t="s">
        <v>123</v>
      </c>
      <c r="C8" s="624" t="str">
        <f>IF(C7="","",IF('10. EVALUACIÓN'!E13="H","Habilitado","No habilitado"))</f>
        <v>Habilitado</v>
      </c>
      <c r="D8" s="625"/>
      <c r="E8" s="622" t="str">
        <f>IF(E7="","",IF('10. EVALUACIÓN'!E14="H","Habilitado","No habilitado"))</f>
        <v>No habilitado</v>
      </c>
      <c r="F8" s="623"/>
      <c r="G8" s="622" t="str">
        <f>IF(G7="","",IF('10. EVALUACIÓN'!E15="H","Habilitado","No habilitado"))</f>
        <v>No habilitado</v>
      </c>
      <c r="H8" s="623"/>
      <c r="I8" s="622" t="str">
        <f>IF(I7="","",IF('10. EVALUACIÓN'!E16="H","Habilitado","No habilitado"))</f>
        <v>No habilitado</v>
      </c>
      <c r="J8" s="623"/>
      <c r="K8" s="622" t="str">
        <f>IF(K7="","",IF('10. EVALUACIÓN'!E17="H","Habilitado","No habilitado"))</f>
        <v/>
      </c>
      <c r="L8" s="623"/>
      <c r="M8" s="622" t="str">
        <f>IF(M7="","",IF('10. EVALUACIÓN'!E18="H","Habilitado","No habilitado"))</f>
        <v/>
      </c>
      <c r="N8" s="623"/>
      <c r="O8" s="622" t="str">
        <f>IF(O7="","",IF('10. EVALUACIÓN'!E19="H","Habilitado","No habilitado"))</f>
        <v/>
      </c>
      <c r="P8" s="623"/>
      <c r="Q8" s="622" t="str">
        <f>IF(Q7="","",IF('10. EVALUACIÓN'!E20="H","Habilitado","No habilitado"))</f>
        <v/>
      </c>
      <c r="R8" s="623"/>
      <c r="S8" s="622" t="str">
        <f>IF(S7="","",IF('10. EVALUACIÓN'!E21="H","Habilitado","No habilitado"))</f>
        <v/>
      </c>
      <c r="T8" s="623"/>
      <c r="U8" s="622" t="str">
        <f>IF(U7="","",IF('10. EVALUACIÓN'!E22="H","Habilitado","No habilitado"))</f>
        <v/>
      </c>
      <c r="V8" s="623"/>
      <c r="W8" s="622" t="str">
        <f>IF(W7="","",IF('10. EVALUACIÓN'!E23="H","Habilitado","No habilitado"))</f>
        <v/>
      </c>
      <c r="X8" s="623"/>
      <c r="Y8" s="622" t="str">
        <f>IF(Y7="","",IF('10. EVALUACIÓN'!E24="H","Habilitado","No habilitado"))</f>
        <v/>
      </c>
      <c r="Z8" s="623"/>
      <c r="AA8" s="622" t="str">
        <f>IF(AA7="","",IF('10. EVALUACIÓN'!E25="H","Habilitado","No habilitado"))</f>
        <v/>
      </c>
      <c r="AB8" s="623"/>
      <c r="AC8" s="622" t="str">
        <f>IF(AC7="","",IF('10. EVALUACIÓN'!E26="H","Habilitado","No habilitado"))</f>
        <v/>
      </c>
      <c r="AD8" s="623"/>
      <c r="AE8" s="622" t="str">
        <f>IF(AE7="","",IF('10. EVALUACIÓN'!E27="H","Habilitado","No habilitado"))</f>
        <v/>
      </c>
      <c r="AF8" s="623"/>
    </row>
    <row r="9" spans="1:36" s="135" customFormat="1" ht="23.25" customHeight="1">
      <c r="A9" s="638" t="s">
        <v>138</v>
      </c>
      <c r="B9" s="638"/>
      <c r="C9" s="639">
        <f>IF(C14="","",SUM(D14:D44))</f>
        <v>120.00000000000009</v>
      </c>
      <c r="D9" s="640"/>
      <c r="E9" s="639" t="str">
        <f>IF(E14="","",SUM(F14:F44))</f>
        <v/>
      </c>
      <c r="F9" s="640"/>
      <c r="G9" s="639" t="str">
        <f t="shared" ref="G9" si="0">IF(G14="","",SUM(H14:H44))</f>
        <v/>
      </c>
      <c r="H9" s="640"/>
      <c r="I9" s="639" t="str">
        <f t="shared" ref="I9" si="1">IF(I14="","",SUM(J14:J44))</f>
        <v/>
      </c>
      <c r="J9" s="640"/>
      <c r="K9" s="639" t="str">
        <f t="shared" ref="K9" si="2">IF(K14="","",SUM(L14:L44))</f>
        <v/>
      </c>
      <c r="L9" s="640"/>
      <c r="M9" s="639" t="str">
        <f t="shared" ref="M9" si="3">IF(M14="","",SUM(N14:N44))</f>
        <v/>
      </c>
      <c r="N9" s="640"/>
      <c r="O9" s="639" t="str">
        <f t="shared" ref="O9" si="4">IF(O14="","",SUM(P14:P44))</f>
        <v/>
      </c>
      <c r="P9" s="640"/>
      <c r="Q9" s="639" t="str">
        <f t="shared" ref="Q9" si="5">IF(Q14="","",SUM(R14:R44))</f>
        <v/>
      </c>
      <c r="R9" s="640"/>
      <c r="S9" s="639" t="str">
        <f t="shared" ref="S9" si="6">IF(S14="","",SUM(T14:T44))</f>
        <v/>
      </c>
      <c r="T9" s="640"/>
      <c r="U9" s="639" t="str">
        <f t="shared" ref="U9" si="7">IF(U14="","",SUM(V14:V44))</f>
        <v/>
      </c>
      <c r="V9" s="640"/>
      <c r="W9" s="639" t="str">
        <f t="shared" ref="W9" si="8">IF(W14="","",SUM(X14:X44))</f>
        <v/>
      </c>
      <c r="X9" s="640"/>
      <c r="Y9" s="639" t="str">
        <f t="shared" ref="Y9" si="9">IF(Y14="","",SUM(Z14:Z44))</f>
        <v/>
      </c>
      <c r="Z9" s="640"/>
      <c r="AA9" s="639" t="str">
        <f t="shared" ref="AA9" si="10">IF(AA14="","",SUM(AB14:AB44))</f>
        <v/>
      </c>
      <c r="AB9" s="640"/>
      <c r="AC9" s="639" t="str">
        <f t="shared" ref="AC9" si="11">IF(AC14="","",SUM(AD14:AD44))</f>
        <v/>
      </c>
      <c r="AD9" s="640"/>
      <c r="AE9" s="639" t="str">
        <f t="shared" ref="AE9" si="12">IF(AE14="","",SUM(AF14:AF44))</f>
        <v/>
      </c>
      <c r="AF9" s="640"/>
    </row>
    <row r="10" spans="1:36" s="135" customFormat="1" ht="23.25" customHeight="1">
      <c r="A10" s="638" t="s">
        <v>140</v>
      </c>
      <c r="B10" s="638"/>
      <c r="C10" s="639">
        <f>IF(C14="","",SUM(D47:D221))</f>
        <v>79.999999999999787</v>
      </c>
      <c r="D10" s="640"/>
      <c r="E10" s="639" t="str">
        <f>IF(E14="","",SUM(F47:F221))</f>
        <v/>
      </c>
      <c r="F10" s="640"/>
      <c r="G10" s="639" t="str">
        <f>IF(G14="","",SUM(H47:H221))</f>
        <v/>
      </c>
      <c r="H10" s="640"/>
      <c r="I10" s="639" t="str">
        <f>IF(I14="","",SUM(J47:J221))</f>
        <v/>
      </c>
      <c r="J10" s="640"/>
      <c r="K10" s="639" t="str">
        <f>IF(K14="","",SUM(L47:L221))</f>
        <v/>
      </c>
      <c r="L10" s="640"/>
      <c r="M10" s="639" t="str">
        <f>IF(M14="","",SUM(N47:N221))</f>
        <v/>
      </c>
      <c r="N10" s="640"/>
      <c r="O10" s="639" t="str">
        <f>IF(O14="","",SUM(P47:P221))</f>
        <v/>
      </c>
      <c r="P10" s="640"/>
      <c r="Q10" s="639" t="str">
        <f>IF(Q14="","",SUM(R47:R221))</f>
        <v/>
      </c>
      <c r="R10" s="640"/>
      <c r="S10" s="639" t="str">
        <f>IF(S14="","",SUM(T47:T221))</f>
        <v/>
      </c>
      <c r="T10" s="640"/>
      <c r="U10" s="639" t="str">
        <f>IF(U14="","",SUM(V47:V221))</f>
        <v/>
      </c>
      <c r="V10" s="640"/>
      <c r="W10" s="639" t="str">
        <f>IF(W14="","",SUM(X47:X221))</f>
        <v/>
      </c>
      <c r="X10" s="640"/>
      <c r="Y10" s="639" t="str">
        <f>IF(Y14="","",SUM(Z47:Z221))</f>
        <v/>
      </c>
      <c r="Z10" s="640"/>
      <c r="AA10" s="639" t="str">
        <f>IF(AA14="","",SUM(AB47:AB221))</f>
        <v/>
      </c>
      <c r="AB10" s="640"/>
      <c r="AC10" s="639" t="str">
        <f>IF(AC14="","",SUM(AD47:AD221))</f>
        <v/>
      </c>
      <c r="AD10" s="640"/>
      <c r="AE10" s="639" t="str">
        <f>IF(AE14="","",SUM(AF47:AF221))</f>
        <v/>
      </c>
      <c r="AF10" s="640"/>
    </row>
    <row r="11" spans="1:36" s="135" customFormat="1" ht="23.25" customHeight="1">
      <c r="A11" s="638" t="s">
        <v>139</v>
      </c>
      <c r="B11" s="638"/>
      <c r="C11" s="639">
        <f>IF(C7="","",IF(C8="No habilitado","",C9+C10))</f>
        <v>199.99999999999989</v>
      </c>
      <c r="D11" s="640"/>
      <c r="E11" s="639" t="str">
        <f>IF(E7="","",IF(E8="No habilitado","",E9+E10))</f>
        <v/>
      </c>
      <c r="F11" s="640"/>
      <c r="G11" s="639" t="str">
        <f>IF(G7="","",IF(G8="No habilitado","",G9+G10))</f>
        <v/>
      </c>
      <c r="H11" s="640"/>
      <c r="I11" s="639" t="str">
        <f>IF(I7="","",IF(I8="No habilitado","",I9+I10))</f>
        <v/>
      </c>
      <c r="J11" s="640"/>
      <c r="K11" s="639" t="str">
        <f>IF(K7="","",IF(K8="No habilitado","",K9+K10))</f>
        <v/>
      </c>
      <c r="L11" s="640"/>
      <c r="M11" s="639" t="str">
        <f>IF(M7="","",IF(M8="No habilitado","",M9+M10))</f>
        <v/>
      </c>
      <c r="N11" s="640"/>
      <c r="O11" s="639" t="str">
        <f>IF(O7="","",IF(O8="No habilitado","",O9+O10))</f>
        <v/>
      </c>
      <c r="P11" s="640"/>
      <c r="Q11" s="639" t="str">
        <f>IF(Q7="","",IF(Q8="No habilitado","",Q9+Q10))</f>
        <v/>
      </c>
      <c r="R11" s="640"/>
      <c r="S11" s="639" t="str">
        <f>IF(S7="","",IF(S8="No habilitado","",S9+S10))</f>
        <v/>
      </c>
      <c r="T11" s="640"/>
      <c r="U11" s="639" t="str">
        <f>IF(U7="","",IF(U8="No habilitado","",U9+U10))</f>
        <v/>
      </c>
      <c r="V11" s="640"/>
      <c r="W11" s="639" t="str">
        <f>IF(W7="","",IF(W8="No habilitado","",W9+W10))</f>
        <v/>
      </c>
      <c r="X11" s="640"/>
      <c r="Y11" s="639" t="str">
        <f>IF(Y7="","",IF(Y8="No habilitado","",Y9+Y10))</f>
        <v/>
      </c>
      <c r="Z11" s="640"/>
      <c r="AA11" s="639" t="str">
        <f>IF(AA7="","",IF(AA8="No habilitado","",AA9+AA10))</f>
        <v/>
      </c>
      <c r="AB11" s="640"/>
      <c r="AC11" s="639" t="str">
        <f>IF(AC7="","",IF(AC8="No habilitado","",AC9+AC10))</f>
        <v/>
      </c>
      <c r="AD11" s="640"/>
      <c r="AE11" s="639" t="str">
        <f>IF(AE7="","",IF(AE8="No habilitado","",AE9+AE10))</f>
        <v/>
      </c>
      <c r="AF11" s="640"/>
    </row>
    <row r="12" spans="1:36" ht="21" customHeight="1"/>
    <row r="13" spans="1:36" ht="21.75" customHeight="1">
      <c r="A13" s="641" t="s">
        <v>121</v>
      </c>
      <c r="B13" s="641"/>
      <c r="C13" s="641"/>
      <c r="D13" s="641"/>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row>
    <row r="14" spans="1:36" s="135" customFormat="1" ht="21" customHeight="1">
      <c r="A14" s="132" t="str">
        <f>+'Presupuesto Consolidado'!A13</f>
        <v>2.2</v>
      </c>
      <c r="B14" s="140">
        <f t="shared" ref="B14:B44" si="13">IF(A14="","",IF($K$4="Media aritmética",ROUND(AVERAGE(C14,E14,G14,I14,K14,M14,O14,Q14,S14,U14,W14,Y14,AA14,AC14,AE14),2),ROUND(_xlfn.STDEV.P(C14,E14,G14,I14,K14,M14,O14,Q14,S14,U14,W14,Y14,AA14,AC14,AE14),2)))</f>
        <v>108188000</v>
      </c>
      <c r="C14" s="141">
        <f>IF($C$8="Habilitado",IF($A14="","",ROUND(VLOOKUP($A14,'Presupuesto Consolidado'!$A$9:$F$600,6,FALSE),2)),"")</f>
        <v>108188000</v>
      </c>
      <c r="D14" s="142">
        <f>IF($A14="","",IF(C14="","",IF($K$4="Media aritmética",(C14&lt;=$B14)*($E$5/$B$4)+(C14&gt;$B14)*0,IF(ROUND(AVERAGE($C14,$E14,$G14,$I14,$K14,$M14,$O14,$Q14,$S14,$U14,$W14,$Y14,$AA14,$AC14,$AE14),2)-$B14/2&lt;=C14,IF(ROUND(AVERAGE($C14,$E14,$G14,$I14,$K14,$M14,$O14,$Q14,$S14,$U14,$W14,$Y14,$AA14,$AC14,$AE14),2)+$B14/2&gt;C14,($E$5/$B$4),0),0))))</f>
        <v>3.870967741935484</v>
      </c>
      <c r="E14" s="141" t="str">
        <f>IF($E$8="Habilitado",IF($A14="","",ROUND(VLOOKUP($A14,'Presupuesto Consolidado'!$I$9:$N$600,6,FALSE),2)),"")</f>
        <v/>
      </c>
      <c r="F14" s="142" t="str">
        <f>IF($A14="","",IF(E14="","",IF($K$4="Media aritmética",(E14&lt;=$B14)*($E$5/$B$4)+(E14&gt;$B14)*0,IF(ROUND(AVERAGE($C14,$E14,$G14,$I14,$K14,$M14,$O14,$Q14,$S14,$U14,$W14,$Y14,$AA14,$AC14,$AE14),2)-$B14/2&lt;=E14,IF(ROUND(AVERAGE($C14,$E14,$G14,$I14,$K14,$M14,$O14,$Q14,$S14,$U14,$W14,$Y14,$AA14,$AC14,$AE14),2)+$B14/2&gt;E14,($E$5/$B$4),0),0))))</f>
        <v/>
      </c>
      <c r="G14" s="141" t="str">
        <f>IF($G$8="Habilitado",IF($A14="","",ROUND(VLOOKUP($A14,'Presupuesto Consolidado'!$Q$9:$V$600,6,FALSE),2)),"")</f>
        <v/>
      </c>
      <c r="H14" s="142" t="str">
        <f>IF($A14="","",IF(G14="","",IF($K$4="Media aritmética",(G14&lt;=$B14)*($E$5/$B$4)+(G14&gt;$B14)*0,IF(ROUND(AVERAGE($C14,$E14,$G14,$I14,$K14,$M14,$O14,$Q14,$S14,$U14,$W14,$Y14,$AA14,$AC14,$AE14),2)-$B14/2&lt;=G14,IF(ROUND(AVERAGE($C14,$E14,$G14,$I14,$K14,$M14,$O14,$Q14,$S14,$U14,$W14,$Y14,$AA14,$AC14,$AE14),2)+$B14/2&gt;G14,($E$5/$B$4),0),0))))</f>
        <v/>
      </c>
      <c r="I14" s="141" t="str">
        <f>IF($I$8="Habilitado",IF($A14="","",ROUND(VLOOKUP($A14,'Presupuesto Consolidado'!$Y$9:$AD$600,6,FALSE),2)),"")</f>
        <v/>
      </c>
      <c r="J14" s="142" t="str">
        <f>IF($A14="","",IF(I14="","",IF($K$4="Media aritmética",(I14&lt;=$B14)*($E$5/$B$4)+(I14&gt;$B14)*0,IF(ROUND(AVERAGE($C14,$E14,$G14,$I14,$K14,$M14,$O14,$Q14,$S14,$U14,$W14,$Y14,$AA14,$AC14,$AE14),2)-$B14/2&lt;=I14,IF(ROUND(AVERAGE($C14,$E14,$G14,$I14,$K14,$M14,$O14,$Q14,$S14,$U14,$W14,$Y14,$AA14,$AC14,$AE14),2)+$B14/2&gt;I14,($E$5/$B$4),0),0))))</f>
        <v/>
      </c>
      <c r="K14" s="141" t="str">
        <f>IF($K$8="Habilitado",IF($A14="","",ROUND(VLOOKUP($A14,'Presupuesto Consolidado'!#REF!,6,FALSE),2)),"")</f>
        <v/>
      </c>
      <c r="L14" s="142" t="str">
        <f>IF($A14="","",IF(K14="","",IF($K$4="Media aritmética",(K14&lt;=$B14)*($E$5/$B$4)+(K14&gt;$B14)*0,IF(ROUND(AVERAGE($C14,$E14,$G14,$I14,$K14,$M14,$O14,$Q14,$S14,$U14,$W14,$Y14,$AA14,$AC14,$AE14),2)-$B14/2&lt;=K14,IF(ROUND(AVERAGE($C14,$E14,$G14,$I14,$K14,$M14,$O14,$Q14,$S14,$U14,$W14,$Y14,$AA14,$AC14,$AE14),2)+$B14/2&gt;K14,($E$5/$B$4),0),0))))</f>
        <v/>
      </c>
      <c r="M14" s="141" t="str">
        <f>IF($M$8="Habilitado",IF($A14="","",ROUND(VLOOKUP($A14,'Presupuesto Consolidado'!#REF!,6,FALSE),2)),"")</f>
        <v/>
      </c>
      <c r="N14" s="142" t="str">
        <f>IF($A14="","",IF(M14="","",IF($K$4="Media aritmética",(M14&lt;=$B14)*($E$5/$B$4)+(M14&gt;$B14)*0,IF(ROUND(AVERAGE($C14,$E14,$G14,$I14,$K14,$M14,$O14,$Q14,$S14,$U14,$W14,$Y14,$AA14,$AC14,$AE14),2)-$B14/2&lt;=M14,IF(ROUND(AVERAGE($C14,$E14,$G14,$I14,$K14,$M14,$O14,$Q14,$S14,$U14,$W14,$Y14,$AA14,$AC14,$AE14),2)+$B14/2&gt;M14,($E$5/$B$4),0),0))))</f>
        <v/>
      </c>
      <c r="O14" s="141" t="str">
        <f>IF($O$8="Habilitado",IF($A14="","",ROUND(VLOOKUP($A14,'Presupuesto Consolidado'!#REF!,6,FALSE),2)),"")</f>
        <v/>
      </c>
      <c r="P14" s="142" t="str">
        <f>IF($A14="","",IF(O14="","",IF($K$4="Media aritmética",(O14&lt;=$B14)*($E$5/$B$4)+(O14&gt;$B14)*0,IF(ROUND(AVERAGE($C14,$E14,$G14,$I14,$K14,$M14,$O14,$Q14,$S14,$U14,$W14,$Y14,$AA14,$AC14,$AE14),2)-$B14/2&lt;=O14,IF(ROUND(AVERAGE($C14,$E14,$G14,$I14,$K14,$M14,$O14,$Q14,$S14,$U14,$W14,$Y14,$AA14,$AC14,$AE14),2)+$B14/2&gt;O14,($E$5/$B$4),0),0))))</f>
        <v/>
      </c>
      <c r="Q14" s="141" t="str">
        <f>IF($Q$8="Habilitado",IF($A14="","",ROUND(VLOOKUP($A14,'Presupuesto Consolidado'!#REF!,6,FALSE),2)),"")</f>
        <v/>
      </c>
      <c r="R14" s="142" t="str">
        <f>IF($A14="","",IF(Q14="","",IF($K$4="Media aritmética",(Q14&lt;=$B14)*($E$5/$B$4)+(Q14&gt;$B14)*0,IF(ROUND(AVERAGE($C14,$E14,$G14,$I14,$K14,$M14,$O14,$Q14,$S14,$U14,$W14,$Y14,$AA14,$AC14,$AE14),2)-$B14/2&lt;=Q14,IF(ROUND(AVERAGE($C14,$E14,$G14,$I14,$K14,$M14,$O14,$Q14,$S14,$U14,$W14,$Y14,$AA14,$AC14,$AE14),2)+$B14/2&gt;Q14,($E$5/$B$4),0),0))))</f>
        <v/>
      </c>
      <c r="S14" s="141" t="str">
        <f>IF($S$8="Habilitado",IF($A14="","",ROUND(VLOOKUP($A14,'Presupuesto Consolidado'!#REF!,6,FALSE),2)),"")</f>
        <v/>
      </c>
      <c r="T14" s="142" t="str">
        <f>IF($A14="","",IF(S14="","",IF($K$4="Media aritmética",(S14&lt;=$B14)*($E$5/$B$4)+(S14&gt;$B14)*0,IF(ROUND(AVERAGE($C14,$E14,$G14,$I14,$K14,$M14,$O14,$Q14,$S14,$U14,$W14,$Y14,$AA14,$AC14,$AE14),2)-$B14/2&lt;=S14,IF(ROUND(AVERAGE($C14,$E14,$G14,$I14,$K14,$M14,$O14,$Q14,$S14,$U14,$W14,$Y14,$AA14,$AC14,$AE14),2)+$B14/2&gt;S14,($E$5/$B$4),0),0))))</f>
        <v/>
      </c>
      <c r="U14" s="141" t="str">
        <f>IF($U$8="Habilitado",IF($A14="","",ROUND(VLOOKUP($A14,'Presupuesto Consolidado'!#REF!,6,FALSE),2)),"")</f>
        <v/>
      </c>
      <c r="V14" s="142" t="str">
        <f>IF($A14="","",IF(U14="","",IF($K$4="Media aritmética",(U14&lt;=$B14)*($E$5/$B$4)+(U14&gt;$B14)*0,IF(ROUND(AVERAGE($C14,$E14,$G14,$I14,$K14,$M14,$O14,$Q14,$S14,$U14,$W14,$Y14,$AA14,$AC14,$AE14),2)-$B14/2&lt;=U14,IF(ROUND(AVERAGE($C14,$E14,$G14,$I14,$K14,$M14,$O14,$Q14,$S14,$U14,$W14,$Y14,$AA14,$AC14,$AE14),2)+$B14/2&gt;U14,($E$5/$B$4),0),0))))</f>
        <v/>
      </c>
      <c r="W14" s="141" t="str">
        <f>IF($W$8="Habilitado",IF($A14="","",ROUND(VLOOKUP($A14,'Presupuesto Consolidado'!#REF!,6,FALSE),2)),"")</f>
        <v/>
      </c>
      <c r="X14" s="142" t="str">
        <f>IF($A14="","",IF(W14="","",IF($K$4="Media aritmética",(W14&lt;=$B14)*($E$5/$B$4)+(W14&gt;$B14)*0,IF(ROUND(AVERAGE($C14,$E14,$G14,$I14,$K14,$M14,$O14,$Q14,$S14,$U14,$W14,$Y14,$AA14,$AC14,$AE14),2)-$B14/2&lt;=W14,IF(ROUND(AVERAGE($C14,$E14,$G14,$I14,$K14,$M14,$O14,$Q14,$S14,$U14,$W14,$Y14,$AA14,$AC14,$AE14),2)+$B14/2&gt;W14,($E$5/$B$4),0),0))))</f>
        <v/>
      </c>
      <c r="Y14" s="141" t="str">
        <f>IF($Y$8="Habilitado",IF($A14="","",ROUND(VLOOKUP($A14,'Presupuesto Consolidado'!#REF!,6,FALSE),2)),"")</f>
        <v/>
      </c>
      <c r="Z14" s="142" t="str">
        <f>IF($A14="","",IF(Y14="","",IF($K$4="Media aritmética",(Y14&lt;=$B14)*($E$5/$B$4)+(Y14&gt;$B14)*0,IF(ROUND(AVERAGE($C14,$E14,$G14,$I14,$K14,$M14,$O14,$Q14,$S14,$U14,$W14,$Y14,$AA14,$AC14,$AE14),2)-$B14/2&lt;=Y14,IF(ROUND(AVERAGE($C14,$E14,$G14,$I14,$K14,$M14,$O14,$Q14,$S14,$U14,$W14,$Y14,$AA14,$AC14,$AE14),2)+$B14/2&gt;Y14,($E$5/$B$4),0),0))))</f>
        <v/>
      </c>
      <c r="AA14" s="141" t="str">
        <f>IF($AA$8="Habilitado",IF($A14="","",ROUND(VLOOKUP($A14,'Presupuesto Consolidado'!#REF!,6,FALSE),2)),"")</f>
        <v/>
      </c>
      <c r="AB14" s="142" t="str">
        <f>IF($A14="","",IF(AA14="","",IF($K$4="Media aritmética",(AA14&lt;=$B14)*($E$5/$B$4)+(AA14&gt;$B14)*0,IF(ROUND(AVERAGE($C14,$E14,$G14,$I14,$K14,$M14,$O14,$Q14,$S14,$U14,$W14,$Y14,$AA14,$AC14,$AE14),2)-$B14/2&lt;=AA14,IF(ROUND(AVERAGE($C14,$E14,$G14,$I14,$K14,$M14,$O14,$Q14,$S14,$U14,$W14,$Y14,$AA14,$AC14,$AE14),2)+$B14/2&gt;AA14,($E$5/$B$4),0),0))))</f>
        <v/>
      </c>
      <c r="AC14" s="141" t="str">
        <f>IF($AC$8="Habilitado",IF($A14="","",ROUND(VLOOKUP($A14,'Presupuesto Consolidado'!#REF!,6,FALSE),2)),"")</f>
        <v/>
      </c>
      <c r="AD14" s="142" t="str">
        <f>IF($A14="","",IF(AC14="","",IF($K$4="Media aritmética",(AC14&lt;=$B14)*($E$5/$B$4)+(AC14&gt;$B14)*0,IF(ROUND(AVERAGE($C14,$E14,$G14,$I14,$K14,$M14,$O14,$Q14,$S14,$U14,$W14,$Y14,$AA14,$AC14,$AE14),2)-$B14/2&lt;=AC14,IF(ROUND(AVERAGE($C14,$E14,$G14,$I14,$K14,$M14,$O14,$Q14,$S14,$U14,$W14,$Y14,$AA14,$AC14,$AE14),2)+$B14/2&gt;AC14,($E$5/$B$4),0),0))))</f>
        <v/>
      </c>
      <c r="AE14" s="141" t="str">
        <f>IF($AE$8="Habilitado",IF($A14="","",ROUND(VLOOKUP($A14,'Presupuesto Consolidado'!#REF!,6,FALSE),2)),"")</f>
        <v/>
      </c>
      <c r="AF14" s="142" t="str">
        <f>IF($A14="","",IF(AE14="","",IF($K$4="Media aritmética",(AE14&lt;=$B14)*($E$5/$B$4)+(AE14&gt;$B14)*0,IF(ROUND(AVERAGE($C14,$E14,$G14,$I14,$K14,$M14,$O14,$Q14,$S14,$U14,$W14,$Y14,$AA14,$AC14,$AE14),2)-$B14/2&lt;=AE14,IF(ROUND(AVERAGE($C14,$E14,$G14,$I14,$K14,$M14,$O14,$Q14,$S14,$U14,$W14,$Y14,$AA14,$AC14,$AE14),2)+$B14/2&gt;AE14,($E$5/$B$4),0),0))))</f>
        <v/>
      </c>
      <c r="AH14" s="251"/>
      <c r="AI14" s="252"/>
      <c r="AJ14" s="252"/>
    </row>
    <row r="15" spans="1:36" s="135" customFormat="1" ht="21" customHeight="1">
      <c r="A15" s="132" t="str">
        <f>+'Presupuesto Consolidado'!A16</f>
        <v>3.1</v>
      </c>
      <c r="B15" s="140">
        <f t="shared" si="13"/>
        <v>22448250</v>
      </c>
      <c r="C15" s="141">
        <f>IF($C$8="Habilitado",IF($A15="","",ROUND(VLOOKUP($A15,'Presupuesto Consolidado'!$A$9:$F$600,6,FALSE),2)),"")</f>
        <v>22448250</v>
      </c>
      <c r="D15" s="142">
        <f t="shared" ref="D15:F44" si="14">IF($A15="","",IF(C15="","",IF($K$4="Media aritmética",(C15&lt;=$B15)*($E$5/$B$4)+(C15&gt;$B15)*0,IF(ROUND(AVERAGE($C15,$E15,$G15,$I15,$K15,$M15,$O15,$Q15,$S15,$U15,$W15,$Y15,$AA15,$AC15,$AE15),2)-$B15/2&lt;=C15,IF(ROUND(AVERAGE($C15,$E15,$G15,$I15,$K15,$M15,$O15,$Q15,$S15,$U15,$W15,$Y15,$AA15,$AC15,$AE15),2)+$B15/2&gt;C15,($E$5/$B$4),0),0))))</f>
        <v>3.870967741935484</v>
      </c>
      <c r="E15" s="141" t="str">
        <f>IF($E$8="Habilitado",IF($A15="","",ROUND(VLOOKUP($A15,'Presupuesto Consolidado'!$I$9:$N$600,6,FALSE),2)),"")</f>
        <v/>
      </c>
      <c r="F15" s="142" t="str">
        <f t="shared" si="14"/>
        <v/>
      </c>
      <c r="G15" s="141" t="str">
        <f>IF($G$8="Habilitado",IF($A15="","",ROUND(VLOOKUP($A15,'Presupuesto Consolidado'!$Q$9:$V$600,6,FALSE),2)),"")</f>
        <v/>
      </c>
      <c r="H15" s="142" t="str">
        <f t="shared" ref="H15" si="15">IF($A15="","",IF(G15="","",IF($K$4="Media aritmética",(G15&lt;=$B15)*($E$5/$B$4)+(G15&gt;$B15)*0,IF(ROUND(AVERAGE($C15,$E15,$G15,$I15,$K15,$M15,$O15,$Q15,$S15,$U15,$W15,$Y15,$AA15,$AC15,$AE15),2)-$B15/2&lt;=G15,IF(ROUND(AVERAGE($C15,$E15,$G15,$I15,$K15,$M15,$O15,$Q15,$S15,$U15,$W15,$Y15,$AA15,$AC15,$AE15),2)+$B15/2&gt;G15,($E$5/$B$4),0),0))))</f>
        <v/>
      </c>
      <c r="I15" s="141" t="str">
        <f>IF($I$8="Habilitado",IF($A15="","",ROUND(VLOOKUP($A15,'Presupuesto Consolidado'!$Y$9:$AD$600,6,FALSE),2)),"")</f>
        <v/>
      </c>
      <c r="J15" s="142" t="str">
        <f t="shared" ref="J15" si="16">IF($A15="","",IF(I15="","",IF($K$4="Media aritmética",(I15&lt;=$B15)*($E$5/$B$4)+(I15&gt;$B15)*0,IF(ROUND(AVERAGE($C15,$E15,$G15,$I15,$K15,$M15,$O15,$Q15,$S15,$U15,$W15,$Y15,$AA15,$AC15,$AE15),2)-$B15/2&lt;=I15,IF(ROUND(AVERAGE($C15,$E15,$G15,$I15,$K15,$M15,$O15,$Q15,$S15,$U15,$W15,$Y15,$AA15,$AC15,$AE15),2)+$B15/2&gt;I15,($E$5/$B$4),0),0))))</f>
        <v/>
      </c>
      <c r="K15" s="141" t="str">
        <f>IF($K$8="Habilitado",IF($A15="","",ROUND(VLOOKUP($A15,'Presupuesto Consolidado'!#REF!,6,FALSE),2)),"")</f>
        <v/>
      </c>
      <c r="L15" s="142" t="str">
        <f t="shared" ref="L15" si="17">IF($A15="","",IF(K15="","",IF($K$4="Media aritmética",(K15&lt;=$B15)*($E$5/$B$4)+(K15&gt;$B15)*0,IF(ROUND(AVERAGE($C15,$E15,$G15,$I15,$K15,$M15,$O15,$Q15,$S15,$U15,$W15,$Y15,$AA15,$AC15,$AE15),2)-$B15/2&lt;=K15,IF(ROUND(AVERAGE($C15,$E15,$G15,$I15,$K15,$M15,$O15,$Q15,$S15,$U15,$W15,$Y15,$AA15,$AC15,$AE15),2)+$B15/2&gt;K15,($E$5/$B$4),0),0))))</f>
        <v/>
      </c>
      <c r="M15" s="141" t="str">
        <f>IF($M$8="Habilitado",IF($A15="","",ROUND(VLOOKUP($A15,'Presupuesto Consolidado'!#REF!,6,FALSE),2)),"")</f>
        <v/>
      </c>
      <c r="N15" s="142" t="str">
        <f t="shared" ref="N15" si="18">IF($A15="","",IF(M15="","",IF($K$4="Media aritmética",(M15&lt;=$B15)*($E$5/$B$4)+(M15&gt;$B15)*0,IF(ROUND(AVERAGE($C15,$E15,$G15,$I15,$K15,$M15,$O15,$Q15,$S15,$U15,$W15,$Y15,$AA15,$AC15,$AE15),2)-$B15/2&lt;=M15,IF(ROUND(AVERAGE($C15,$E15,$G15,$I15,$K15,$M15,$O15,$Q15,$S15,$U15,$W15,$Y15,$AA15,$AC15,$AE15),2)+$B15/2&gt;M15,($E$5/$B$4),0),0))))</f>
        <v/>
      </c>
      <c r="O15" s="141" t="str">
        <f>IF($O$8="Habilitado",IF($A15="","",ROUND(VLOOKUP($A15,'Presupuesto Consolidado'!#REF!,6,FALSE),2)),"")</f>
        <v/>
      </c>
      <c r="P15" s="142" t="str">
        <f t="shared" ref="P15" si="19">IF($A15="","",IF(O15="","",IF($K$4="Media aritmética",(O15&lt;=$B15)*($E$5/$B$4)+(O15&gt;$B15)*0,IF(ROUND(AVERAGE($C15,$E15,$G15,$I15,$K15,$M15,$O15,$Q15,$S15,$U15,$W15,$Y15,$AA15,$AC15,$AE15),2)-$B15/2&lt;=O15,IF(ROUND(AVERAGE($C15,$E15,$G15,$I15,$K15,$M15,$O15,$Q15,$S15,$U15,$W15,$Y15,$AA15,$AC15,$AE15),2)+$B15/2&gt;O15,($E$5/$B$4),0),0))))</f>
        <v/>
      </c>
      <c r="Q15" s="141" t="str">
        <f>IF($Q$8="Habilitado",IF($A15="","",ROUND(VLOOKUP($A15,'Presupuesto Consolidado'!#REF!,6,FALSE),2)),"")</f>
        <v/>
      </c>
      <c r="R15" s="142" t="str">
        <f t="shared" ref="R15" si="20">IF($A15="","",IF(Q15="","",IF($K$4="Media aritmética",(Q15&lt;=$B15)*($E$5/$B$4)+(Q15&gt;$B15)*0,IF(ROUND(AVERAGE($C15,$E15,$G15,$I15,$K15,$M15,$O15,$Q15,$S15,$U15,$W15,$Y15,$AA15,$AC15,$AE15),2)-$B15/2&lt;=Q15,IF(ROUND(AVERAGE($C15,$E15,$G15,$I15,$K15,$M15,$O15,$Q15,$S15,$U15,$W15,$Y15,$AA15,$AC15,$AE15),2)+$B15/2&gt;Q15,($E$5/$B$4),0),0))))</f>
        <v/>
      </c>
      <c r="S15" s="141" t="str">
        <f>IF($S$8="Habilitado",IF($A15="","",ROUND(VLOOKUP($A15,'Presupuesto Consolidado'!#REF!,6,FALSE),2)),"")</f>
        <v/>
      </c>
      <c r="T15" s="142" t="str">
        <f t="shared" ref="T15" si="21">IF($A15="","",IF(S15="","",IF($K$4="Media aritmética",(S15&lt;=$B15)*($E$5/$B$4)+(S15&gt;$B15)*0,IF(ROUND(AVERAGE($C15,$E15,$G15,$I15,$K15,$M15,$O15,$Q15,$S15,$U15,$W15,$Y15,$AA15,$AC15,$AE15),2)-$B15/2&lt;=S15,IF(ROUND(AVERAGE($C15,$E15,$G15,$I15,$K15,$M15,$O15,$Q15,$S15,$U15,$W15,$Y15,$AA15,$AC15,$AE15),2)+$B15/2&gt;S15,($E$5/$B$4),0),0))))</f>
        <v/>
      </c>
      <c r="U15" s="141" t="str">
        <f>IF($U$8="Habilitado",IF($A15="","",ROUND(VLOOKUP($A15,'Presupuesto Consolidado'!#REF!,6,FALSE),2)),"")</f>
        <v/>
      </c>
      <c r="V15" s="142" t="str">
        <f t="shared" ref="V15" si="22">IF($A15="","",IF(U15="","",IF($K$4="Media aritmética",(U15&lt;=$B15)*($E$5/$B$4)+(U15&gt;$B15)*0,IF(ROUND(AVERAGE($C15,$E15,$G15,$I15,$K15,$M15,$O15,$Q15,$S15,$U15,$W15,$Y15,$AA15,$AC15,$AE15),2)-$B15/2&lt;=U15,IF(ROUND(AVERAGE($C15,$E15,$G15,$I15,$K15,$M15,$O15,$Q15,$S15,$U15,$W15,$Y15,$AA15,$AC15,$AE15),2)+$B15/2&gt;U15,($E$5/$B$4),0),0))))</f>
        <v/>
      </c>
      <c r="W15" s="141" t="str">
        <f>IF($W$8="Habilitado",IF($A15="","",ROUND(VLOOKUP($A15,'Presupuesto Consolidado'!#REF!,6,FALSE),2)),"")</f>
        <v/>
      </c>
      <c r="X15" s="142" t="str">
        <f t="shared" ref="X15" si="23">IF($A15="","",IF(W15="","",IF($K$4="Media aritmética",(W15&lt;=$B15)*($E$5/$B$4)+(W15&gt;$B15)*0,IF(ROUND(AVERAGE($C15,$E15,$G15,$I15,$K15,$M15,$O15,$Q15,$S15,$U15,$W15,$Y15,$AA15,$AC15,$AE15),2)-$B15/2&lt;=W15,IF(ROUND(AVERAGE($C15,$E15,$G15,$I15,$K15,$M15,$O15,$Q15,$S15,$U15,$W15,$Y15,$AA15,$AC15,$AE15),2)+$B15/2&gt;W15,($E$5/$B$4),0),0))))</f>
        <v/>
      </c>
      <c r="Y15" s="141" t="str">
        <f>IF($Y$8="Habilitado",IF($A15="","",ROUND(VLOOKUP($A15,'Presupuesto Consolidado'!#REF!,6,FALSE),2)),"")</f>
        <v/>
      </c>
      <c r="Z15" s="142" t="str">
        <f t="shared" ref="Z15" si="24">IF($A15="","",IF(Y15="","",IF($K$4="Media aritmética",(Y15&lt;=$B15)*($E$5/$B$4)+(Y15&gt;$B15)*0,IF(ROUND(AVERAGE($C15,$E15,$G15,$I15,$K15,$M15,$O15,$Q15,$S15,$U15,$W15,$Y15,$AA15,$AC15,$AE15),2)-$B15/2&lt;=Y15,IF(ROUND(AVERAGE($C15,$E15,$G15,$I15,$K15,$M15,$O15,$Q15,$S15,$U15,$W15,$Y15,$AA15,$AC15,$AE15),2)+$B15/2&gt;Y15,($E$5/$B$4),0),0))))</f>
        <v/>
      </c>
      <c r="AA15" s="141" t="str">
        <f>IF($AA$8="Habilitado",IF($A15="","",ROUND(VLOOKUP($A15,'Presupuesto Consolidado'!#REF!,6,FALSE),2)),"")</f>
        <v/>
      </c>
      <c r="AB15" s="142" t="str">
        <f t="shared" ref="AB15" si="25">IF($A15="","",IF(AA15="","",IF($K$4="Media aritmética",(AA15&lt;=$B15)*($E$5/$B$4)+(AA15&gt;$B15)*0,IF(ROUND(AVERAGE($C15,$E15,$G15,$I15,$K15,$M15,$O15,$Q15,$S15,$U15,$W15,$Y15,$AA15,$AC15,$AE15),2)-$B15/2&lt;=AA15,IF(ROUND(AVERAGE($C15,$E15,$G15,$I15,$K15,$M15,$O15,$Q15,$S15,$U15,$W15,$Y15,$AA15,$AC15,$AE15),2)+$B15/2&gt;AA15,($E$5/$B$4),0),0))))</f>
        <v/>
      </c>
      <c r="AC15" s="141" t="str">
        <f>IF($AC$8="Habilitado",IF($A15="","",ROUND(VLOOKUP($A15,'Presupuesto Consolidado'!#REF!,6,FALSE),2)),"")</f>
        <v/>
      </c>
      <c r="AD15" s="142" t="str">
        <f t="shared" ref="AD15" si="26">IF($A15="","",IF(AC15="","",IF($K$4="Media aritmética",(AC15&lt;=$B15)*($E$5/$B$4)+(AC15&gt;$B15)*0,IF(ROUND(AVERAGE($C15,$E15,$G15,$I15,$K15,$M15,$O15,$Q15,$S15,$U15,$W15,$Y15,$AA15,$AC15,$AE15),2)-$B15/2&lt;=AC15,IF(ROUND(AVERAGE($C15,$E15,$G15,$I15,$K15,$M15,$O15,$Q15,$S15,$U15,$W15,$Y15,$AA15,$AC15,$AE15),2)+$B15/2&gt;AC15,($E$5/$B$4),0),0))))</f>
        <v/>
      </c>
      <c r="AE15" s="141" t="str">
        <f>IF($AE$8="Habilitado",IF($A15="","",ROUND(VLOOKUP($A15,'Presupuesto Consolidado'!#REF!,6,FALSE),2)),"")</f>
        <v/>
      </c>
      <c r="AF15" s="142" t="str">
        <f t="shared" ref="AF15" si="27">IF($A15="","",IF(AE15="","",IF($K$4="Media aritmética",(AE15&lt;=$B15)*($E$5/$B$4)+(AE15&gt;$B15)*0,IF(ROUND(AVERAGE($C15,$E15,$G15,$I15,$K15,$M15,$O15,$Q15,$S15,$U15,$W15,$Y15,$AA15,$AC15,$AE15),2)-$B15/2&lt;=AE15,IF(ROUND(AVERAGE($C15,$E15,$G15,$I15,$K15,$M15,$O15,$Q15,$S15,$U15,$W15,$Y15,$AA15,$AC15,$AE15),2)+$B15/2&gt;AE15,($E$5/$B$4),0),0))))</f>
        <v/>
      </c>
      <c r="AH15" s="251"/>
      <c r="AI15" s="252"/>
      <c r="AJ15" s="252"/>
    </row>
    <row r="16" spans="1:36" s="135" customFormat="1" ht="21" customHeight="1">
      <c r="A16" s="132" t="str">
        <f>+'Presupuesto Consolidado'!A17</f>
        <v>3.2</v>
      </c>
      <c r="B16" s="140">
        <f t="shared" si="13"/>
        <v>31647000</v>
      </c>
      <c r="C16" s="141">
        <f>IF($C$8="Habilitado",IF($A16="","",ROUND(VLOOKUP($A16,'Presupuesto Consolidado'!$A$9:$F$600,6,FALSE),2)),"")</f>
        <v>31647000</v>
      </c>
      <c r="D16" s="142">
        <f t="shared" si="14"/>
        <v>3.870967741935484</v>
      </c>
      <c r="E16" s="141" t="str">
        <f>IF($E$8="Habilitado",IF($A16="","",ROUND(VLOOKUP($A16,'Presupuesto Consolidado'!$I$9:$N$600,6,FALSE),2)),"")</f>
        <v/>
      </c>
      <c r="F16" s="142" t="str">
        <f t="shared" si="14"/>
        <v/>
      </c>
      <c r="G16" s="141" t="str">
        <f>IF($G$8="Habilitado",IF($A16="","",ROUND(VLOOKUP($A16,'Presupuesto Consolidado'!$Q$9:$V$600,6,FALSE),2)),"")</f>
        <v/>
      </c>
      <c r="H16" s="142" t="str">
        <f t="shared" ref="H16" si="28">IF($A16="","",IF(G16="","",IF($K$4="Media aritmética",(G16&lt;=$B16)*($E$5/$B$4)+(G16&gt;$B16)*0,IF(ROUND(AVERAGE($C16,$E16,$G16,$I16,$K16,$M16,$O16,$Q16,$S16,$U16,$W16,$Y16,$AA16,$AC16,$AE16),2)-$B16/2&lt;=G16,IF(ROUND(AVERAGE($C16,$E16,$G16,$I16,$K16,$M16,$O16,$Q16,$S16,$U16,$W16,$Y16,$AA16,$AC16,$AE16),2)+$B16/2&gt;G16,($E$5/$B$4),0),0))))</f>
        <v/>
      </c>
      <c r="I16" s="141" t="str">
        <f>IF($I$8="Habilitado",IF($A16="","",ROUND(VLOOKUP($A16,'Presupuesto Consolidado'!$Y$9:$AD$600,6,FALSE),2)),"")</f>
        <v/>
      </c>
      <c r="J16" s="142" t="str">
        <f t="shared" ref="J16" si="29">IF($A16="","",IF(I16="","",IF($K$4="Media aritmética",(I16&lt;=$B16)*($E$5/$B$4)+(I16&gt;$B16)*0,IF(ROUND(AVERAGE($C16,$E16,$G16,$I16,$K16,$M16,$O16,$Q16,$S16,$U16,$W16,$Y16,$AA16,$AC16,$AE16),2)-$B16/2&lt;=I16,IF(ROUND(AVERAGE($C16,$E16,$G16,$I16,$K16,$M16,$O16,$Q16,$S16,$U16,$W16,$Y16,$AA16,$AC16,$AE16),2)+$B16/2&gt;I16,($E$5/$B$4),0),0))))</f>
        <v/>
      </c>
      <c r="K16" s="141" t="str">
        <f>IF($K$8="Habilitado",IF($A16="","",ROUND(VLOOKUP($A16,'Presupuesto Consolidado'!#REF!,6,FALSE),2)),"")</f>
        <v/>
      </c>
      <c r="L16" s="142" t="str">
        <f t="shared" ref="L16" si="30">IF($A16="","",IF(K16="","",IF($K$4="Media aritmética",(K16&lt;=$B16)*($E$5/$B$4)+(K16&gt;$B16)*0,IF(ROUND(AVERAGE($C16,$E16,$G16,$I16,$K16,$M16,$O16,$Q16,$S16,$U16,$W16,$Y16,$AA16,$AC16,$AE16),2)-$B16/2&lt;=K16,IF(ROUND(AVERAGE($C16,$E16,$G16,$I16,$K16,$M16,$O16,$Q16,$S16,$U16,$W16,$Y16,$AA16,$AC16,$AE16),2)+$B16/2&gt;K16,($E$5/$B$4),0),0))))</f>
        <v/>
      </c>
      <c r="M16" s="141" t="str">
        <f>IF($M$8="Habilitado",IF($A16="","",ROUND(VLOOKUP($A16,'Presupuesto Consolidado'!#REF!,6,FALSE),2)),"")</f>
        <v/>
      </c>
      <c r="N16" s="142" t="str">
        <f t="shared" ref="N16" si="31">IF($A16="","",IF(M16="","",IF($K$4="Media aritmética",(M16&lt;=$B16)*($E$5/$B$4)+(M16&gt;$B16)*0,IF(ROUND(AVERAGE($C16,$E16,$G16,$I16,$K16,$M16,$O16,$Q16,$S16,$U16,$W16,$Y16,$AA16,$AC16,$AE16),2)-$B16/2&lt;=M16,IF(ROUND(AVERAGE($C16,$E16,$G16,$I16,$K16,$M16,$O16,$Q16,$S16,$U16,$W16,$Y16,$AA16,$AC16,$AE16),2)+$B16/2&gt;M16,($E$5/$B$4),0),0))))</f>
        <v/>
      </c>
      <c r="O16" s="141" t="str">
        <f>IF($O$8="Habilitado",IF($A16="","",ROUND(VLOOKUP($A16,'Presupuesto Consolidado'!#REF!,6,FALSE),2)),"")</f>
        <v/>
      </c>
      <c r="P16" s="142" t="str">
        <f t="shared" ref="P16" si="32">IF($A16="","",IF(O16="","",IF($K$4="Media aritmética",(O16&lt;=$B16)*($E$5/$B$4)+(O16&gt;$B16)*0,IF(ROUND(AVERAGE($C16,$E16,$G16,$I16,$K16,$M16,$O16,$Q16,$S16,$U16,$W16,$Y16,$AA16,$AC16,$AE16),2)-$B16/2&lt;=O16,IF(ROUND(AVERAGE($C16,$E16,$G16,$I16,$K16,$M16,$O16,$Q16,$S16,$U16,$W16,$Y16,$AA16,$AC16,$AE16),2)+$B16/2&gt;O16,($E$5/$B$4),0),0))))</f>
        <v/>
      </c>
      <c r="Q16" s="141" t="str">
        <f>IF($Q$8="Habilitado",IF($A16="","",ROUND(VLOOKUP($A16,'Presupuesto Consolidado'!#REF!,6,FALSE),2)),"")</f>
        <v/>
      </c>
      <c r="R16" s="142" t="str">
        <f t="shared" ref="R16" si="33">IF($A16="","",IF(Q16="","",IF($K$4="Media aritmética",(Q16&lt;=$B16)*($E$5/$B$4)+(Q16&gt;$B16)*0,IF(ROUND(AVERAGE($C16,$E16,$G16,$I16,$K16,$M16,$O16,$Q16,$S16,$U16,$W16,$Y16,$AA16,$AC16,$AE16),2)-$B16/2&lt;=Q16,IF(ROUND(AVERAGE($C16,$E16,$G16,$I16,$K16,$M16,$O16,$Q16,$S16,$U16,$W16,$Y16,$AA16,$AC16,$AE16),2)+$B16/2&gt;Q16,($E$5/$B$4),0),0))))</f>
        <v/>
      </c>
      <c r="S16" s="141" t="str">
        <f>IF($S$8="Habilitado",IF($A16="","",ROUND(VLOOKUP($A16,'Presupuesto Consolidado'!#REF!,6,FALSE),2)),"")</f>
        <v/>
      </c>
      <c r="T16" s="142" t="str">
        <f t="shared" ref="T16" si="34">IF($A16="","",IF(S16="","",IF($K$4="Media aritmética",(S16&lt;=$B16)*($E$5/$B$4)+(S16&gt;$B16)*0,IF(ROUND(AVERAGE($C16,$E16,$G16,$I16,$K16,$M16,$O16,$Q16,$S16,$U16,$W16,$Y16,$AA16,$AC16,$AE16),2)-$B16/2&lt;=S16,IF(ROUND(AVERAGE($C16,$E16,$G16,$I16,$K16,$M16,$O16,$Q16,$S16,$U16,$W16,$Y16,$AA16,$AC16,$AE16),2)+$B16/2&gt;S16,($E$5/$B$4),0),0))))</f>
        <v/>
      </c>
      <c r="U16" s="141" t="str">
        <f>IF($U$8="Habilitado",IF($A16="","",ROUND(VLOOKUP($A16,'Presupuesto Consolidado'!#REF!,6,FALSE),2)),"")</f>
        <v/>
      </c>
      <c r="V16" s="142" t="str">
        <f t="shared" ref="V16" si="35">IF($A16="","",IF(U16="","",IF($K$4="Media aritmética",(U16&lt;=$B16)*($E$5/$B$4)+(U16&gt;$B16)*0,IF(ROUND(AVERAGE($C16,$E16,$G16,$I16,$K16,$M16,$O16,$Q16,$S16,$U16,$W16,$Y16,$AA16,$AC16,$AE16),2)-$B16/2&lt;=U16,IF(ROUND(AVERAGE($C16,$E16,$G16,$I16,$K16,$M16,$O16,$Q16,$S16,$U16,$W16,$Y16,$AA16,$AC16,$AE16),2)+$B16/2&gt;U16,($E$5/$B$4),0),0))))</f>
        <v/>
      </c>
      <c r="W16" s="141" t="str">
        <f>IF($W$8="Habilitado",IF($A16="","",ROUND(VLOOKUP($A16,'Presupuesto Consolidado'!#REF!,6,FALSE),2)),"")</f>
        <v/>
      </c>
      <c r="X16" s="142" t="str">
        <f t="shared" ref="X16" si="36">IF($A16="","",IF(W16="","",IF($K$4="Media aritmética",(W16&lt;=$B16)*($E$5/$B$4)+(W16&gt;$B16)*0,IF(ROUND(AVERAGE($C16,$E16,$G16,$I16,$K16,$M16,$O16,$Q16,$S16,$U16,$W16,$Y16,$AA16,$AC16,$AE16),2)-$B16/2&lt;=W16,IF(ROUND(AVERAGE($C16,$E16,$G16,$I16,$K16,$M16,$O16,$Q16,$S16,$U16,$W16,$Y16,$AA16,$AC16,$AE16),2)+$B16/2&gt;W16,($E$5/$B$4),0),0))))</f>
        <v/>
      </c>
      <c r="Y16" s="141" t="str">
        <f>IF($Y$8="Habilitado",IF($A16="","",ROUND(VLOOKUP($A16,'Presupuesto Consolidado'!#REF!,6,FALSE),2)),"")</f>
        <v/>
      </c>
      <c r="Z16" s="142" t="str">
        <f t="shared" ref="Z16" si="37">IF($A16="","",IF(Y16="","",IF($K$4="Media aritmética",(Y16&lt;=$B16)*($E$5/$B$4)+(Y16&gt;$B16)*0,IF(ROUND(AVERAGE($C16,$E16,$G16,$I16,$K16,$M16,$O16,$Q16,$S16,$U16,$W16,$Y16,$AA16,$AC16,$AE16),2)-$B16/2&lt;=Y16,IF(ROUND(AVERAGE($C16,$E16,$G16,$I16,$K16,$M16,$O16,$Q16,$S16,$U16,$W16,$Y16,$AA16,$AC16,$AE16),2)+$B16/2&gt;Y16,($E$5/$B$4),0),0))))</f>
        <v/>
      </c>
      <c r="AA16" s="141" t="str">
        <f>IF($AA$8="Habilitado",IF($A16="","",ROUND(VLOOKUP($A16,'Presupuesto Consolidado'!#REF!,6,FALSE),2)),"")</f>
        <v/>
      </c>
      <c r="AB16" s="142" t="str">
        <f t="shared" ref="AB16" si="38">IF($A16="","",IF(AA16="","",IF($K$4="Media aritmética",(AA16&lt;=$B16)*($E$5/$B$4)+(AA16&gt;$B16)*0,IF(ROUND(AVERAGE($C16,$E16,$G16,$I16,$K16,$M16,$O16,$Q16,$S16,$U16,$W16,$Y16,$AA16,$AC16,$AE16),2)-$B16/2&lt;=AA16,IF(ROUND(AVERAGE($C16,$E16,$G16,$I16,$K16,$M16,$O16,$Q16,$S16,$U16,$W16,$Y16,$AA16,$AC16,$AE16),2)+$B16/2&gt;AA16,($E$5/$B$4),0),0))))</f>
        <v/>
      </c>
      <c r="AC16" s="141" t="str">
        <f>IF($AC$8="Habilitado",IF($A16="","",ROUND(VLOOKUP($A16,'Presupuesto Consolidado'!#REF!,6,FALSE),2)),"")</f>
        <v/>
      </c>
      <c r="AD16" s="142" t="str">
        <f t="shared" ref="AD16" si="39">IF($A16="","",IF(AC16="","",IF($K$4="Media aritmética",(AC16&lt;=$B16)*($E$5/$B$4)+(AC16&gt;$B16)*0,IF(ROUND(AVERAGE($C16,$E16,$G16,$I16,$K16,$M16,$O16,$Q16,$S16,$U16,$W16,$Y16,$AA16,$AC16,$AE16),2)-$B16/2&lt;=AC16,IF(ROUND(AVERAGE($C16,$E16,$G16,$I16,$K16,$M16,$O16,$Q16,$S16,$U16,$W16,$Y16,$AA16,$AC16,$AE16),2)+$B16/2&gt;AC16,($E$5/$B$4),0),0))))</f>
        <v/>
      </c>
      <c r="AE16" s="141" t="str">
        <f>IF($AE$8="Habilitado",IF($A16="","",ROUND(VLOOKUP($A16,'Presupuesto Consolidado'!#REF!,6,FALSE),2)),"")</f>
        <v/>
      </c>
      <c r="AF16" s="142" t="str">
        <f t="shared" ref="AF16" si="40">IF($A16="","",IF(AE16="","",IF($K$4="Media aritmética",(AE16&lt;=$B16)*($E$5/$B$4)+(AE16&gt;$B16)*0,IF(ROUND(AVERAGE($C16,$E16,$G16,$I16,$K16,$M16,$O16,$Q16,$S16,$U16,$W16,$Y16,$AA16,$AC16,$AE16),2)-$B16/2&lt;=AE16,IF(ROUND(AVERAGE($C16,$E16,$G16,$I16,$K16,$M16,$O16,$Q16,$S16,$U16,$W16,$Y16,$AA16,$AC16,$AE16),2)+$B16/2&gt;AE16,($E$5/$B$4),0),0))))</f>
        <v/>
      </c>
      <c r="AH16" s="251"/>
      <c r="AI16" s="252"/>
      <c r="AJ16" s="252"/>
    </row>
    <row r="17" spans="1:36" s="135" customFormat="1" ht="21" customHeight="1">
      <c r="A17" s="132" t="str">
        <f>+'Presupuesto Consolidado'!A25</f>
        <v>5.3</v>
      </c>
      <c r="B17" s="140">
        <f t="shared" si="13"/>
        <v>3378245</v>
      </c>
      <c r="C17" s="141">
        <f>IF($C$8="Habilitado",IF($A17="","",ROUND(VLOOKUP($A17,'Presupuesto Consolidado'!$A$9:$F$600,6,FALSE),2)),"")</f>
        <v>3378245</v>
      </c>
      <c r="D17" s="142">
        <f t="shared" si="14"/>
        <v>3.870967741935484</v>
      </c>
      <c r="E17" s="141" t="str">
        <f>IF($E$8="Habilitado",IF($A17="","",ROUND(VLOOKUP($A17,'Presupuesto Consolidado'!$I$9:$N$600,6,FALSE),2)),"")</f>
        <v/>
      </c>
      <c r="F17" s="142" t="str">
        <f t="shared" si="14"/>
        <v/>
      </c>
      <c r="G17" s="141" t="str">
        <f>IF($G$8="Habilitado",IF($A17="","",ROUND(VLOOKUP($A17,'Presupuesto Consolidado'!$Q$9:$V$600,6,FALSE),2)),"")</f>
        <v/>
      </c>
      <c r="H17" s="142" t="str">
        <f t="shared" ref="H17" si="41">IF($A17="","",IF(G17="","",IF($K$4="Media aritmética",(G17&lt;=$B17)*($E$5/$B$4)+(G17&gt;$B17)*0,IF(ROUND(AVERAGE($C17,$E17,$G17,$I17,$K17,$M17,$O17,$Q17,$S17,$U17,$W17,$Y17,$AA17,$AC17,$AE17),2)-$B17/2&lt;=G17,IF(ROUND(AVERAGE($C17,$E17,$G17,$I17,$K17,$M17,$O17,$Q17,$S17,$U17,$W17,$Y17,$AA17,$AC17,$AE17),2)+$B17/2&gt;G17,($E$5/$B$4),0),0))))</f>
        <v/>
      </c>
      <c r="I17" s="141" t="str">
        <f>IF($I$8="Habilitado",IF($A17="","",ROUND(VLOOKUP($A17,'Presupuesto Consolidado'!$Y$9:$AD$600,6,FALSE),2)),"")</f>
        <v/>
      </c>
      <c r="J17" s="142" t="str">
        <f t="shared" ref="J17" si="42">IF($A17="","",IF(I17="","",IF($K$4="Media aritmética",(I17&lt;=$B17)*($E$5/$B$4)+(I17&gt;$B17)*0,IF(ROUND(AVERAGE($C17,$E17,$G17,$I17,$K17,$M17,$O17,$Q17,$S17,$U17,$W17,$Y17,$AA17,$AC17,$AE17),2)-$B17/2&lt;=I17,IF(ROUND(AVERAGE($C17,$E17,$G17,$I17,$K17,$M17,$O17,$Q17,$S17,$U17,$W17,$Y17,$AA17,$AC17,$AE17),2)+$B17/2&gt;I17,($E$5/$B$4),0),0))))</f>
        <v/>
      </c>
      <c r="K17" s="141" t="str">
        <f>IF($K$8="Habilitado",IF($A17="","",ROUND(VLOOKUP($A17,'Presupuesto Consolidado'!#REF!,6,FALSE),2)),"")</f>
        <v/>
      </c>
      <c r="L17" s="142" t="str">
        <f t="shared" ref="L17" si="43">IF($A17="","",IF(K17="","",IF($K$4="Media aritmética",(K17&lt;=$B17)*($E$5/$B$4)+(K17&gt;$B17)*0,IF(ROUND(AVERAGE($C17,$E17,$G17,$I17,$K17,$M17,$O17,$Q17,$S17,$U17,$W17,$Y17,$AA17,$AC17,$AE17),2)-$B17/2&lt;=K17,IF(ROUND(AVERAGE($C17,$E17,$G17,$I17,$K17,$M17,$O17,$Q17,$S17,$U17,$W17,$Y17,$AA17,$AC17,$AE17),2)+$B17/2&gt;K17,($E$5/$B$4),0),0))))</f>
        <v/>
      </c>
      <c r="M17" s="141" t="str">
        <f>IF($M$8="Habilitado",IF($A17="","",ROUND(VLOOKUP($A17,'Presupuesto Consolidado'!#REF!,6,FALSE),2)),"")</f>
        <v/>
      </c>
      <c r="N17" s="142" t="str">
        <f t="shared" ref="N17" si="44">IF($A17="","",IF(M17="","",IF($K$4="Media aritmética",(M17&lt;=$B17)*($E$5/$B$4)+(M17&gt;$B17)*0,IF(ROUND(AVERAGE($C17,$E17,$G17,$I17,$K17,$M17,$O17,$Q17,$S17,$U17,$W17,$Y17,$AA17,$AC17,$AE17),2)-$B17/2&lt;=M17,IF(ROUND(AVERAGE($C17,$E17,$G17,$I17,$K17,$M17,$O17,$Q17,$S17,$U17,$W17,$Y17,$AA17,$AC17,$AE17),2)+$B17/2&gt;M17,($E$5/$B$4),0),0))))</f>
        <v/>
      </c>
      <c r="O17" s="141" t="str">
        <f>IF($O$8="Habilitado",IF($A17="","",ROUND(VLOOKUP($A17,'Presupuesto Consolidado'!#REF!,6,FALSE),2)),"")</f>
        <v/>
      </c>
      <c r="P17" s="142" t="str">
        <f t="shared" ref="P17" si="45">IF($A17="","",IF(O17="","",IF($K$4="Media aritmética",(O17&lt;=$B17)*($E$5/$B$4)+(O17&gt;$B17)*0,IF(ROUND(AVERAGE($C17,$E17,$G17,$I17,$K17,$M17,$O17,$Q17,$S17,$U17,$W17,$Y17,$AA17,$AC17,$AE17),2)-$B17/2&lt;=O17,IF(ROUND(AVERAGE($C17,$E17,$G17,$I17,$K17,$M17,$O17,$Q17,$S17,$U17,$W17,$Y17,$AA17,$AC17,$AE17),2)+$B17/2&gt;O17,($E$5/$B$4),0),0))))</f>
        <v/>
      </c>
      <c r="Q17" s="141" t="str">
        <f>IF($Q$8="Habilitado",IF($A17="","",ROUND(VLOOKUP($A17,'Presupuesto Consolidado'!#REF!,6,FALSE),2)),"")</f>
        <v/>
      </c>
      <c r="R17" s="142" t="str">
        <f t="shared" ref="R17" si="46">IF($A17="","",IF(Q17="","",IF($K$4="Media aritmética",(Q17&lt;=$B17)*($E$5/$B$4)+(Q17&gt;$B17)*0,IF(ROUND(AVERAGE($C17,$E17,$G17,$I17,$K17,$M17,$O17,$Q17,$S17,$U17,$W17,$Y17,$AA17,$AC17,$AE17),2)-$B17/2&lt;=Q17,IF(ROUND(AVERAGE($C17,$E17,$G17,$I17,$K17,$M17,$O17,$Q17,$S17,$U17,$W17,$Y17,$AA17,$AC17,$AE17),2)+$B17/2&gt;Q17,($E$5/$B$4),0),0))))</f>
        <v/>
      </c>
      <c r="S17" s="141" t="str">
        <f>IF($S$8="Habilitado",IF($A17="","",ROUND(VLOOKUP($A17,'Presupuesto Consolidado'!#REF!,6,FALSE),2)),"")</f>
        <v/>
      </c>
      <c r="T17" s="142" t="str">
        <f t="shared" ref="T17" si="47">IF($A17="","",IF(S17="","",IF($K$4="Media aritmética",(S17&lt;=$B17)*($E$5/$B$4)+(S17&gt;$B17)*0,IF(ROUND(AVERAGE($C17,$E17,$G17,$I17,$K17,$M17,$O17,$Q17,$S17,$U17,$W17,$Y17,$AA17,$AC17,$AE17),2)-$B17/2&lt;=S17,IF(ROUND(AVERAGE($C17,$E17,$G17,$I17,$K17,$M17,$O17,$Q17,$S17,$U17,$W17,$Y17,$AA17,$AC17,$AE17),2)+$B17/2&gt;S17,($E$5/$B$4),0),0))))</f>
        <v/>
      </c>
      <c r="U17" s="141" t="str">
        <f>IF($U$8="Habilitado",IF($A17="","",ROUND(VLOOKUP($A17,'Presupuesto Consolidado'!#REF!,6,FALSE),2)),"")</f>
        <v/>
      </c>
      <c r="V17" s="142" t="str">
        <f t="shared" ref="V17" si="48">IF($A17="","",IF(U17="","",IF($K$4="Media aritmética",(U17&lt;=$B17)*($E$5/$B$4)+(U17&gt;$B17)*0,IF(ROUND(AVERAGE($C17,$E17,$G17,$I17,$K17,$M17,$O17,$Q17,$S17,$U17,$W17,$Y17,$AA17,$AC17,$AE17),2)-$B17/2&lt;=U17,IF(ROUND(AVERAGE($C17,$E17,$G17,$I17,$K17,$M17,$O17,$Q17,$S17,$U17,$W17,$Y17,$AA17,$AC17,$AE17),2)+$B17/2&gt;U17,($E$5/$B$4),0),0))))</f>
        <v/>
      </c>
      <c r="W17" s="141" t="str">
        <f>IF($W$8="Habilitado",IF($A17="","",ROUND(VLOOKUP($A17,'Presupuesto Consolidado'!#REF!,6,FALSE),2)),"")</f>
        <v/>
      </c>
      <c r="X17" s="142" t="str">
        <f t="shared" ref="X17" si="49">IF($A17="","",IF(W17="","",IF($K$4="Media aritmética",(W17&lt;=$B17)*($E$5/$B$4)+(W17&gt;$B17)*0,IF(ROUND(AVERAGE($C17,$E17,$G17,$I17,$K17,$M17,$O17,$Q17,$S17,$U17,$W17,$Y17,$AA17,$AC17,$AE17),2)-$B17/2&lt;=W17,IF(ROUND(AVERAGE($C17,$E17,$G17,$I17,$K17,$M17,$O17,$Q17,$S17,$U17,$W17,$Y17,$AA17,$AC17,$AE17),2)+$B17/2&gt;W17,($E$5/$B$4),0),0))))</f>
        <v/>
      </c>
      <c r="Y17" s="141" t="str">
        <f>IF($Y$8="Habilitado",IF($A17="","",ROUND(VLOOKUP($A17,'Presupuesto Consolidado'!#REF!,6,FALSE),2)),"")</f>
        <v/>
      </c>
      <c r="Z17" s="142" t="str">
        <f t="shared" ref="Z17" si="50">IF($A17="","",IF(Y17="","",IF($K$4="Media aritmética",(Y17&lt;=$B17)*($E$5/$B$4)+(Y17&gt;$B17)*0,IF(ROUND(AVERAGE($C17,$E17,$G17,$I17,$K17,$M17,$O17,$Q17,$S17,$U17,$W17,$Y17,$AA17,$AC17,$AE17),2)-$B17/2&lt;=Y17,IF(ROUND(AVERAGE($C17,$E17,$G17,$I17,$K17,$M17,$O17,$Q17,$S17,$U17,$W17,$Y17,$AA17,$AC17,$AE17),2)+$B17/2&gt;Y17,($E$5/$B$4),0),0))))</f>
        <v/>
      </c>
      <c r="AA17" s="141" t="str">
        <f>IF($AA$8="Habilitado",IF($A17="","",ROUND(VLOOKUP($A17,'Presupuesto Consolidado'!#REF!,6,FALSE),2)),"")</f>
        <v/>
      </c>
      <c r="AB17" s="142" t="str">
        <f t="shared" ref="AB17" si="51">IF($A17="","",IF(AA17="","",IF($K$4="Media aritmética",(AA17&lt;=$B17)*($E$5/$B$4)+(AA17&gt;$B17)*0,IF(ROUND(AVERAGE($C17,$E17,$G17,$I17,$K17,$M17,$O17,$Q17,$S17,$U17,$W17,$Y17,$AA17,$AC17,$AE17),2)-$B17/2&lt;=AA17,IF(ROUND(AVERAGE($C17,$E17,$G17,$I17,$K17,$M17,$O17,$Q17,$S17,$U17,$W17,$Y17,$AA17,$AC17,$AE17),2)+$B17/2&gt;AA17,($E$5/$B$4),0),0))))</f>
        <v/>
      </c>
      <c r="AC17" s="141" t="str">
        <f>IF($AC$8="Habilitado",IF($A17="","",ROUND(VLOOKUP($A17,'Presupuesto Consolidado'!#REF!,6,FALSE),2)),"")</f>
        <v/>
      </c>
      <c r="AD17" s="142" t="str">
        <f t="shared" ref="AD17" si="52">IF($A17="","",IF(AC17="","",IF($K$4="Media aritmética",(AC17&lt;=$B17)*($E$5/$B$4)+(AC17&gt;$B17)*0,IF(ROUND(AVERAGE($C17,$E17,$G17,$I17,$K17,$M17,$O17,$Q17,$S17,$U17,$W17,$Y17,$AA17,$AC17,$AE17),2)-$B17/2&lt;=AC17,IF(ROUND(AVERAGE($C17,$E17,$G17,$I17,$K17,$M17,$O17,$Q17,$S17,$U17,$W17,$Y17,$AA17,$AC17,$AE17),2)+$B17/2&gt;AC17,($E$5/$B$4),0),0))))</f>
        <v/>
      </c>
      <c r="AE17" s="141" t="str">
        <f>IF($AE$8="Habilitado",IF($A17="","",ROUND(VLOOKUP($A17,'Presupuesto Consolidado'!#REF!,6,FALSE),2)),"")</f>
        <v/>
      </c>
      <c r="AF17" s="142" t="str">
        <f t="shared" ref="AF17" si="53">IF($A17="","",IF(AE17="","",IF($K$4="Media aritmética",(AE17&lt;=$B17)*($E$5/$B$4)+(AE17&gt;$B17)*0,IF(ROUND(AVERAGE($C17,$E17,$G17,$I17,$K17,$M17,$O17,$Q17,$S17,$U17,$W17,$Y17,$AA17,$AC17,$AE17),2)-$B17/2&lt;=AE17,IF(ROUND(AVERAGE($C17,$E17,$G17,$I17,$K17,$M17,$O17,$Q17,$S17,$U17,$W17,$Y17,$AA17,$AC17,$AE17),2)+$B17/2&gt;AE17,($E$5/$B$4),0),0))))</f>
        <v/>
      </c>
      <c r="AH17" s="251"/>
      <c r="AI17" s="252"/>
      <c r="AJ17" s="252"/>
    </row>
    <row r="18" spans="1:36" s="135" customFormat="1" ht="21" customHeight="1">
      <c r="A18" s="132" t="str">
        <f>+'Presupuesto Consolidado'!A29</f>
        <v>6.2</v>
      </c>
      <c r="B18" s="140">
        <f t="shared" si="13"/>
        <v>24630750</v>
      </c>
      <c r="C18" s="141">
        <f>IF($C$8="Habilitado",IF($A18="","",ROUND(VLOOKUP($A18,'Presupuesto Consolidado'!$A$9:$F$600,6,FALSE),2)),"")</f>
        <v>24630750</v>
      </c>
      <c r="D18" s="142">
        <f t="shared" si="14"/>
        <v>3.870967741935484</v>
      </c>
      <c r="E18" s="141" t="str">
        <f>IF($E$8="Habilitado",IF($A18="","",ROUND(VLOOKUP($A18,'Presupuesto Consolidado'!$I$9:$N$600,6,FALSE),2)),"")</f>
        <v/>
      </c>
      <c r="F18" s="142" t="str">
        <f t="shared" si="14"/>
        <v/>
      </c>
      <c r="G18" s="141" t="str">
        <f>IF($G$8="Habilitado",IF($A18="","",ROUND(VLOOKUP($A18,'Presupuesto Consolidado'!$Q$9:$V$600,6,FALSE),2)),"")</f>
        <v/>
      </c>
      <c r="H18" s="142" t="str">
        <f t="shared" ref="H18" si="54">IF($A18="","",IF(G18="","",IF($K$4="Media aritmética",(G18&lt;=$B18)*($E$5/$B$4)+(G18&gt;$B18)*0,IF(ROUND(AVERAGE($C18,$E18,$G18,$I18,$K18,$M18,$O18,$Q18,$S18,$U18,$W18,$Y18,$AA18,$AC18,$AE18),2)-$B18/2&lt;=G18,IF(ROUND(AVERAGE($C18,$E18,$G18,$I18,$K18,$M18,$O18,$Q18,$S18,$U18,$W18,$Y18,$AA18,$AC18,$AE18),2)+$B18/2&gt;G18,($E$5/$B$4),0),0))))</f>
        <v/>
      </c>
      <c r="I18" s="141" t="str">
        <f>IF($I$8="Habilitado",IF($A18="","",ROUND(VLOOKUP($A18,'Presupuesto Consolidado'!$Y$9:$AD$600,6,FALSE),2)),"")</f>
        <v/>
      </c>
      <c r="J18" s="142" t="str">
        <f t="shared" ref="J18" si="55">IF($A18="","",IF(I18="","",IF($K$4="Media aritmética",(I18&lt;=$B18)*($E$5/$B$4)+(I18&gt;$B18)*0,IF(ROUND(AVERAGE($C18,$E18,$G18,$I18,$K18,$M18,$O18,$Q18,$S18,$U18,$W18,$Y18,$AA18,$AC18,$AE18),2)-$B18/2&lt;=I18,IF(ROUND(AVERAGE($C18,$E18,$G18,$I18,$K18,$M18,$O18,$Q18,$S18,$U18,$W18,$Y18,$AA18,$AC18,$AE18),2)+$B18/2&gt;I18,($E$5/$B$4),0),0))))</f>
        <v/>
      </c>
      <c r="K18" s="141" t="str">
        <f>IF($K$8="Habilitado",IF($A18="","",ROUND(VLOOKUP($A18,'Presupuesto Consolidado'!#REF!,6,FALSE),2)),"")</f>
        <v/>
      </c>
      <c r="L18" s="142" t="str">
        <f t="shared" ref="L18" si="56">IF($A18="","",IF(K18="","",IF($K$4="Media aritmética",(K18&lt;=$B18)*($E$5/$B$4)+(K18&gt;$B18)*0,IF(ROUND(AVERAGE($C18,$E18,$G18,$I18,$K18,$M18,$O18,$Q18,$S18,$U18,$W18,$Y18,$AA18,$AC18,$AE18),2)-$B18/2&lt;=K18,IF(ROUND(AVERAGE($C18,$E18,$G18,$I18,$K18,$M18,$O18,$Q18,$S18,$U18,$W18,$Y18,$AA18,$AC18,$AE18),2)+$B18/2&gt;K18,($E$5/$B$4),0),0))))</f>
        <v/>
      </c>
      <c r="M18" s="141" t="str">
        <f>IF($M$8="Habilitado",IF($A18="","",ROUND(VLOOKUP($A18,'Presupuesto Consolidado'!#REF!,6,FALSE),2)),"")</f>
        <v/>
      </c>
      <c r="N18" s="142" t="str">
        <f t="shared" ref="N18" si="57">IF($A18="","",IF(M18="","",IF($K$4="Media aritmética",(M18&lt;=$B18)*($E$5/$B$4)+(M18&gt;$B18)*0,IF(ROUND(AVERAGE($C18,$E18,$G18,$I18,$K18,$M18,$O18,$Q18,$S18,$U18,$W18,$Y18,$AA18,$AC18,$AE18),2)-$B18/2&lt;=M18,IF(ROUND(AVERAGE($C18,$E18,$G18,$I18,$K18,$M18,$O18,$Q18,$S18,$U18,$W18,$Y18,$AA18,$AC18,$AE18),2)+$B18/2&gt;M18,($E$5/$B$4),0),0))))</f>
        <v/>
      </c>
      <c r="O18" s="141" t="str">
        <f>IF($O$8="Habilitado",IF($A18="","",ROUND(VLOOKUP($A18,'Presupuesto Consolidado'!#REF!,6,FALSE),2)),"")</f>
        <v/>
      </c>
      <c r="P18" s="142" t="str">
        <f t="shared" ref="P18" si="58">IF($A18="","",IF(O18="","",IF($K$4="Media aritmética",(O18&lt;=$B18)*($E$5/$B$4)+(O18&gt;$B18)*0,IF(ROUND(AVERAGE($C18,$E18,$G18,$I18,$K18,$M18,$O18,$Q18,$S18,$U18,$W18,$Y18,$AA18,$AC18,$AE18),2)-$B18/2&lt;=O18,IF(ROUND(AVERAGE($C18,$E18,$G18,$I18,$K18,$M18,$O18,$Q18,$S18,$U18,$W18,$Y18,$AA18,$AC18,$AE18),2)+$B18/2&gt;O18,($E$5/$B$4),0),0))))</f>
        <v/>
      </c>
      <c r="Q18" s="141" t="str">
        <f>IF($Q$8="Habilitado",IF($A18="","",ROUND(VLOOKUP($A18,'Presupuesto Consolidado'!#REF!,6,FALSE),2)),"")</f>
        <v/>
      </c>
      <c r="R18" s="142" t="str">
        <f t="shared" ref="R18" si="59">IF($A18="","",IF(Q18="","",IF($K$4="Media aritmética",(Q18&lt;=$B18)*($E$5/$B$4)+(Q18&gt;$B18)*0,IF(ROUND(AVERAGE($C18,$E18,$G18,$I18,$K18,$M18,$O18,$Q18,$S18,$U18,$W18,$Y18,$AA18,$AC18,$AE18),2)-$B18/2&lt;=Q18,IF(ROUND(AVERAGE($C18,$E18,$G18,$I18,$K18,$M18,$O18,$Q18,$S18,$U18,$W18,$Y18,$AA18,$AC18,$AE18),2)+$B18/2&gt;Q18,($E$5/$B$4),0),0))))</f>
        <v/>
      </c>
      <c r="S18" s="141" t="str">
        <f>IF($S$8="Habilitado",IF($A18="","",ROUND(VLOOKUP($A18,'Presupuesto Consolidado'!#REF!,6,FALSE),2)),"")</f>
        <v/>
      </c>
      <c r="T18" s="142" t="str">
        <f t="shared" ref="T18" si="60">IF($A18="","",IF(S18="","",IF($K$4="Media aritmética",(S18&lt;=$B18)*($E$5/$B$4)+(S18&gt;$B18)*0,IF(ROUND(AVERAGE($C18,$E18,$G18,$I18,$K18,$M18,$O18,$Q18,$S18,$U18,$W18,$Y18,$AA18,$AC18,$AE18),2)-$B18/2&lt;=S18,IF(ROUND(AVERAGE($C18,$E18,$G18,$I18,$K18,$M18,$O18,$Q18,$S18,$U18,$W18,$Y18,$AA18,$AC18,$AE18),2)+$B18/2&gt;S18,($E$5/$B$4),0),0))))</f>
        <v/>
      </c>
      <c r="U18" s="141" t="str">
        <f>IF($U$8="Habilitado",IF($A18="","",ROUND(VLOOKUP($A18,'Presupuesto Consolidado'!#REF!,6,FALSE),2)),"")</f>
        <v/>
      </c>
      <c r="V18" s="142" t="str">
        <f t="shared" ref="V18" si="61">IF($A18="","",IF(U18="","",IF($K$4="Media aritmética",(U18&lt;=$B18)*($E$5/$B$4)+(U18&gt;$B18)*0,IF(ROUND(AVERAGE($C18,$E18,$G18,$I18,$K18,$M18,$O18,$Q18,$S18,$U18,$W18,$Y18,$AA18,$AC18,$AE18),2)-$B18/2&lt;=U18,IF(ROUND(AVERAGE($C18,$E18,$G18,$I18,$K18,$M18,$O18,$Q18,$S18,$U18,$W18,$Y18,$AA18,$AC18,$AE18),2)+$B18/2&gt;U18,($E$5/$B$4),0),0))))</f>
        <v/>
      </c>
      <c r="W18" s="141" t="str">
        <f>IF($W$8="Habilitado",IF($A18="","",ROUND(VLOOKUP($A18,'Presupuesto Consolidado'!#REF!,6,FALSE),2)),"")</f>
        <v/>
      </c>
      <c r="X18" s="142" t="str">
        <f t="shared" ref="X18" si="62">IF($A18="","",IF(W18="","",IF($K$4="Media aritmética",(W18&lt;=$B18)*($E$5/$B$4)+(W18&gt;$B18)*0,IF(ROUND(AVERAGE($C18,$E18,$G18,$I18,$K18,$M18,$O18,$Q18,$S18,$U18,$W18,$Y18,$AA18,$AC18,$AE18),2)-$B18/2&lt;=W18,IF(ROUND(AVERAGE($C18,$E18,$G18,$I18,$K18,$M18,$O18,$Q18,$S18,$U18,$W18,$Y18,$AA18,$AC18,$AE18),2)+$B18/2&gt;W18,($E$5/$B$4),0),0))))</f>
        <v/>
      </c>
      <c r="Y18" s="141" t="str">
        <f>IF($Y$8="Habilitado",IF($A18="","",ROUND(VLOOKUP($A18,'Presupuesto Consolidado'!#REF!,6,FALSE),2)),"")</f>
        <v/>
      </c>
      <c r="Z18" s="142" t="str">
        <f t="shared" ref="Z18" si="63">IF($A18="","",IF(Y18="","",IF($K$4="Media aritmética",(Y18&lt;=$B18)*($E$5/$B$4)+(Y18&gt;$B18)*0,IF(ROUND(AVERAGE($C18,$E18,$G18,$I18,$K18,$M18,$O18,$Q18,$S18,$U18,$W18,$Y18,$AA18,$AC18,$AE18),2)-$B18/2&lt;=Y18,IF(ROUND(AVERAGE($C18,$E18,$G18,$I18,$K18,$M18,$O18,$Q18,$S18,$U18,$W18,$Y18,$AA18,$AC18,$AE18),2)+$B18/2&gt;Y18,($E$5/$B$4),0),0))))</f>
        <v/>
      </c>
      <c r="AA18" s="141" t="str">
        <f>IF($AA$8="Habilitado",IF($A18="","",ROUND(VLOOKUP($A18,'Presupuesto Consolidado'!#REF!,6,FALSE),2)),"")</f>
        <v/>
      </c>
      <c r="AB18" s="142" t="str">
        <f t="shared" ref="AB18" si="64">IF($A18="","",IF(AA18="","",IF($K$4="Media aritmética",(AA18&lt;=$B18)*($E$5/$B$4)+(AA18&gt;$B18)*0,IF(ROUND(AVERAGE($C18,$E18,$G18,$I18,$K18,$M18,$O18,$Q18,$S18,$U18,$W18,$Y18,$AA18,$AC18,$AE18),2)-$B18/2&lt;=AA18,IF(ROUND(AVERAGE($C18,$E18,$G18,$I18,$K18,$M18,$O18,$Q18,$S18,$U18,$W18,$Y18,$AA18,$AC18,$AE18),2)+$B18/2&gt;AA18,($E$5/$B$4),0),0))))</f>
        <v/>
      </c>
      <c r="AC18" s="141" t="str">
        <f>IF($AC$8="Habilitado",IF($A18="","",ROUND(VLOOKUP($A18,'Presupuesto Consolidado'!#REF!,6,FALSE),2)),"")</f>
        <v/>
      </c>
      <c r="AD18" s="142" t="str">
        <f t="shared" ref="AD18" si="65">IF($A18="","",IF(AC18="","",IF($K$4="Media aritmética",(AC18&lt;=$B18)*($E$5/$B$4)+(AC18&gt;$B18)*0,IF(ROUND(AVERAGE($C18,$E18,$G18,$I18,$K18,$M18,$O18,$Q18,$S18,$U18,$W18,$Y18,$AA18,$AC18,$AE18),2)-$B18/2&lt;=AC18,IF(ROUND(AVERAGE($C18,$E18,$G18,$I18,$K18,$M18,$O18,$Q18,$S18,$U18,$W18,$Y18,$AA18,$AC18,$AE18),2)+$B18/2&gt;AC18,($E$5/$B$4),0),0))))</f>
        <v/>
      </c>
      <c r="AE18" s="141" t="str">
        <f>IF($AE$8="Habilitado",IF($A18="","",ROUND(VLOOKUP($A18,'Presupuesto Consolidado'!#REF!,6,FALSE),2)),"")</f>
        <v/>
      </c>
      <c r="AF18" s="142" t="str">
        <f t="shared" ref="AF18" si="66">IF($A18="","",IF(AE18="","",IF($K$4="Media aritmética",(AE18&lt;=$B18)*($E$5/$B$4)+(AE18&gt;$B18)*0,IF(ROUND(AVERAGE($C18,$E18,$G18,$I18,$K18,$M18,$O18,$Q18,$S18,$U18,$W18,$Y18,$AA18,$AC18,$AE18),2)-$B18/2&lt;=AE18,IF(ROUND(AVERAGE($C18,$E18,$G18,$I18,$K18,$M18,$O18,$Q18,$S18,$U18,$W18,$Y18,$AA18,$AC18,$AE18),2)+$B18/2&gt;AE18,($E$5/$B$4),0),0))))</f>
        <v/>
      </c>
      <c r="AH18" s="251"/>
      <c r="AI18" s="252"/>
      <c r="AJ18" s="252"/>
    </row>
    <row r="19" spans="1:36" s="135" customFormat="1" ht="21" customHeight="1">
      <c r="A19" s="132" t="str">
        <f>+'Presupuesto Consolidado'!A42</f>
        <v>9.1.1</v>
      </c>
      <c r="B19" s="140">
        <f t="shared" si="13"/>
        <v>25587500</v>
      </c>
      <c r="C19" s="141">
        <f>IF($C$8="Habilitado",IF($A19="","",ROUND(VLOOKUP($A19,'Presupuesto Consolidado'!$A$9:$F$600,6,FALSE),2)),"")</f>
        <v>25587500</v>
      </c>
      <c r="D19" s="142">
        <f t="shared" si="14"/>
        <v>3.870967741935484</v>
      </c>
      <c r="E19" s="141" t="str">
        <f>IF($E$8="Habilitado",IF($A19="","",ROUND(VLOOKUP($A19,'Presupuesto Consolidado'!$I$9:$N$600,6,FALSE),2)),"")</f>
        <v/>
      </c>
      <c r="F19" s="142" t="str">
        <f t="shared" si="14"/>
        <v/>
      </c>
      <c r="G19" s="141" t="str">
        <f>IF($G$8="Habilitado",IF($A19="","",ROUND(VLOOKUP($A19,'Presupuesto Consolidado'!$Q$9:$V$600,6,FALSE),2)),"")</f>
        <v/>
      </c>
      <c r="H19" s="142" t="str">
        <f t="shared" ref="H19" si="67">IF($A19="","",IF(G19="","",IF($K$4="Media aritmética",(G19&lt;=$B19)*($E$5/$B$4)+(G19&gt;$B19)*0,IF(ROUND(AVERAGE($C19,$E19,$G19,$I19,$K19,$M19,$O19,$Q19,$S19,$U19,$W19,$Y19,$AA19,$AC19,$AE19),2)-$B19/2&lt;=G19,IF(ROUND(AVERAGE($C19,$E19,$G19,$I19,$K19,$M19,$O19,$Q19,$S19,$U19,$W19,$Y19,$AA19,$AC19,$AE19),2)+$B19/2&gt;G19,($E$5/$B$4),0),0))))</f>
        <v/>
      </c>
      <c r="I19" s="141" t="str">
        <f>IF($I$8="Habilitado",IF($A19="","",ROUND(VLOOKUP($A19,'Presupuesto Consolidado'!$Y$9:$AD$600,6,FALSE),2)),"")</f>
        <v/>
      </c>
      <c r="J19" s="142" t="str">
        <f t="shared" ref="J19" si="68">IF($A19="","",IF(I19="","",IF($K$4="Media aritmética",(I19&lt;=$B19)*($E$5/$B$4)+(I19&gt;$B19)*0,IF(ROUND(AVERAGE($C19,$E19,$G19,$I19,$K19,$M19,$O19,$Q19,$S19,$U19,$W19,$Y19,$AA19,$AC19,$AE19),2)-$B19/2&lt;=I19,IF(ROUND(AVERAGE($C19,$E19,$G19,$I19,$K19,$M19,$O19,$Q19,$S19,$U19,$W19,$Y19,$AA19,$AC19,$AE19),2)+$B19/2&gt;I19,($E$5/$B$4),0),0))))</f>
        <v/>
      </c>
      <c r="K19" s="141" t="str">
        <f>IF($K$8="Habilitado",IF($A19="","",ROUND(VLOOKUP($A19,'Presupuesto Consolidado'!#REF!,6,FALSE),2)),"")</f>
        <v/>
      </c>
      <c r="L19" s="142" t="str">
        <f t="shared" ref="L19" si="69">IF($A19="","",IF(K19="","",IF($K$4="Media aritmética",(K19&lt;=$B19)*($E$5/$B$4)+(K19&gt;$B19)*0,IF(ROUND(AVERAGE($C19,$E19,$G19,$I19,$K19,$M19,$O19,$Q19,$S19,$U19,$W19,$Y19,$AA19,$AC19,$AE19),2)-$B19/2&lt;=K19,IF(ROUND(AVERAGE($C19,$E19,$G19,$I19,$K19,$M19,$O19,$Q19,$S19,$U19,$W19,$Y19,$AA19,$AC19,$AE19),2)+$B19/2&gt;K19,($E$5/$B$4),0),0))))</f>
        <v/>
      </c>
      <c r="M19" s="141" t="str">
        <f>IF($M$8="Habilitado",IF($A19="","",ROUND(VLOOKUP($A19,'Presupuesto Consolidado'!#REF!,6,FALSE),2)),"")</f>
        <v/>
      </c>
      <c r="N19" s="142" t="str">
        <f t="shared" ref="N19" si="70">IF($A19="","",IF(M19="","",IF($K$4="Media aritmética",(M19&lt;=$B19)*($E$5/$B$4)+(M19&gt;$B19)*0,IF(ROUND(AVERAGE($C19,$E19,$G19,$I19,$K19,$M19,$O19,$Q19,$S19,$U19,$W19,$Y19,$AA19,$AC19,$AE19),2)-$B19/2&lt;=M19,IF(ROUND(AVERAGE($C19,$E19,$G19,$I19,$K19,$M19,$O19,$Q19,$S19,$U19,$W19,$Y19,$AA19,$AC19,$AE19),2)+$B19/2&gt;M19,($E$5/$B$4),0),0))))</f>
        <v/>
      </c>
      <c r="O19" s="141" t="str">
        <f>IF($O$8="Habilitado",IF($A19="","",ROUND(VLOOKUP($A19,'Presupuesto Consolidado'!#REF!,6,FALSE),2)),"")</f>
        <v/>
      </c>
      <c r="P19" s="142" t="str">
        <f t="shared" ref="P19" si="71">IF($A19="","",IF(O19="","",IF($K$4="Media aritmética",(O19&lt;=$B19)*($E$5/$B$4)+(O19&gt;$B19)*0,IF(ROUND(AVERAGE($C19,$E19,$G19,$I19,$K19,$M19,$O19,$Q19,$S19,$U19,$W19,$Y19,$AA19,$AC19,$AE19),2)-$B19/2&lt;=O19,IF(ROUND(AVERAGE($C19,$E19,$G19,$I19,$K19,$M19,$O19,$Q19,$S19,$U19,$W19,$Y19,$AA19,$AC19,$AE19),2)+$B19/2&gt;O19,($E$5/$B$4),0),0))))</f>
        <v/>
      </c>
      <c r="Q19" s="141" t="str">
        <f>IF($Q$8="Habilitado",IF($A19="","",ROUND(VLOOKUP($A19,'Presupuesto Consolidado'!#REF!,6,FALSE),2)),"")</f>
        <v/>
      </c>
      <c r="R19" s="142" t="str">
        <f t="shared" ref="R19" si="72">IF($A19="","",IF(Q19="","",IF($K$4="Media aritmética",(Q19&lt;=$B19)*($E$5/$B$4)+(Q19&gt;$B19)*0,IF(ROUND(AVERAGE($C19,$E19,$G19,$I19,$K19,$M19,$O19,$Q19,$S19,$U19,$W19,$Y19,$AA19,$AC19,$AE19),2)-$B19/2&lt;=Q19,IF(ROUND(AVERAGE($C19,$E19,$G19,$I19,$K19,$M19,$O19,$Q19,$S19,$U19,$W19,$Y19,$AA19,$AC19,$AE19),2)+$B19/2&gt;Q19,($E$5/$B$4),0),0))))</f>
        <v/>
      </c>
      <c r="S19" s="141" t="str">
        <f>IF($S$8="Habilitado",IF($A19="","",ROUND(VLOOKUP($A19,'Presupuesto Consolidado'!#REF!,6,FALSE),2)),"")</f>
        <v/>
      </c>
      <c r="T19" s="142" t="str">
        <f t="shared" ref="T19" si="73">IF($A19="","",IF(S19="","",IF($K$4="Media aritmética",(S19&lt;=$B19)*($E$5/$B$4)+(S19&gt;$B19)*0,IF(ROUND(AVERAGE($C19,$E19,$G19,$I19,$K19,$M19,$O19,$Q19,$S19,$U19,$W19,$Y19,$AA19,$AC19,$AE19),2)-$B19/2&lt;=S19,IF(ROUND(AVERAGE($C19,$E19,$G19,$I19,$K19,$M19,$O19,$Q19,$S19,$U19,$W19,$Y19,$AA19,$AC19,$AE19),2)+$B19/2&gt;S19,($E$5/$B$4),0),0))))</f>
        <v/>
      </c>
      <c r="U19" s="141" t="str">
        <f>IF($U$8="Habilitado",IF($A19="","",ROUND(VLOOKUP($A19,'Presupuesto Consolidado'!#REF!,6,FALSE),2)),"")</f>
        <v/>
      </c>
      <c r="V19" s="142" t="str">
        <f t="shared" ref="V19" si="74">IF($A19="","",IF(U19="","",IF($K$4="Media aritmética",(U19&lt;=$B19)*($E$5/$B$4)+(U19&gt;$B19)*0,IF(ROUND(AVERAGE($C19,$E19,$G19,$I19,$K19,$M19,$O19,$Q19,$S19,$U19,$W19,$Y19,$AA19,$AC19,$AE19),2)-$B19/2&lt;=U19,IF(ROUND(AVERAGE($C19,$E19,$G19,$I19,$K19,$M19,$O19,$Q19,$S19,$U19,$W19,$Y19,$AA19,$AC19,$AE19),2)+$B19/2&gt;U19,($E$5/$B$4),0),0))))</f>
        <v/>
      </c>
      <c r="W19" s="141" t="str">
        <f>IF($W$8="Habilitado",IF($A19="","",ROUND(VLOOKUP($A19,'Presupuesto Consolidado'!#REF!,6,FALSE),2)),"")</f>
        <v/>
      </c>
      <c r="X19" s="142" t="str">
        <f t="shared" ref="X19" si="75">IF($A19="","",IF(W19="","",IF($K$4="Media aritmética",(W19&lt;=$B19)*($E$5/$B$4)+(W19&gt;$B19)*0,IF(ROUND(AVERAGE($C19,$E19,$G19,$I19,$K19,$M19,$O19,$Q19,$S19,$U19,$W19,$Y19,$AA19,$AC19,$AE19),2)-$B19/2&lt;=W19,IF(ROUND(AVERAGE($C19,$E19,$G19,$I19,$K19,$M19,$O19,$Q19,$S19,$U19,$W19,$Y19,$AA19,$AC19,$AE19),2)+$B19/2&gt;W19,($E$5/$B$4),0),0))))</f>
        <v/>
      </c>
      <c r="Y19" s="141" t="str">
        <f>IF($Y$8="Habilitado",IF($A19="","",ROUND(VLOOKUP($A19,'Presupuesto Consolidado'!#REF!,6,FALSE),2)),"")</f>
        <v/>
      </c>
      <c r="Z19" s="142" t="str">
        <f t="shared" ref="Z19" si="76">IF($A19="","",IF(Y19="","",IF($K$4="Media aritmética",(Y19&lt;=$B19)*($E$5/$B$4)+(Y19&gt;$B19)*0,IF(ROUND(AVERAGE($C19,$E19,$G19,$I19,$K19,$M19,$O19,$Q19,$S19,$U19,$W19,$Y19,$AA19,$AC19,$AE19),2)-$B19/2&lt;=Y19,IF(ROUND(AVERAGE($C19,$E19,$G19,$I19,$K19,$M19,$O19,$Q19,$S19,$U19,$W19,$Y19,$AA19,$AC19,$AE19),2)+$B19/2&gt;Y19,($E$5/$B$4),0),0))))</f>
        <v/>
      </c>
      <c r="AA19" s="141" t="str">
        <f>IF($AA$8="Habilitado",IF($A19="","",ROUND(VLOOKUP($A19,'Presupuesto Consolidado'!#REF!,6,FALSE),2)),"")</f>
        <v/>
      </c>
      <c r="AB19" s="142" t="str">
        <f t="shared" ref="AB19" si="77">IF($A19="","",IF(AA19="","",IF($K$4="Media aritmética",(AA19&lt;=$B19)*($E$5/$B$4)+(AA19&gt;$B19)*0,IF(ROUND(AVERAGE($C19,$E19,$G19,$I19,$K19,$M19,$O19,$Q19,$S19,$U19,$W19,$Y19,$AA19,$AC19,$AE19),2)-$B19/2&lt;=AA19,IF(ROUND(AVERAGE($C19,$E19,$G19,$I19,$K19,$M19,$O19,$Q19,$S19,$U19,$W19,$Y19,$AA19,$AC19,$AE19),2)+$B19/2&gt;AA19,($E$5/$B$4),0),0))))</f>
        <v/>
      </c>
      <c r="AC19" s="141" t="str">
        <f>IF($AC$8="Habilitado",IF($A19="","",ROUND(VLOOKUP($A19,'Presupuesto Consolidado'!#REF!,6,FALSE),2)),"")</f>
        <v/>
      </c>
      <c r="AD19" s="142" t="str">
        <f t="shared" ref="AD19" si="78">IF($A19="","",IF(AC19="","",IF($K$4="Media aritmética",(AC19&lt;=$B19)*($E$5/$B$4)+(AC19&gt;$B19)*0,IF(ROUND(AVERAGE($C19,$E19,$G19,$I19,$K19,$M19,$O19,$Q19,$S19,$U19,$W19,$Y19,$AA19,$AC19,$AE19),2)-$B19/2&lt;=AC19,IF(ROUND(AVERAGE($C19,$E19,$G19,$I19,$K19,$M19,$O19,$Q19,$S19,$U19,$W19,$Y19,$AA19,$AC19,$AE19),2)+$B19/2&gt;AC19,($E$5/$B$4),0),0))))</f>
        <v/>
      </c>
      <c r="AE19" s="141" t="str">
        <f>IF($AE$8="Habilitado",IF($A19="","",ROUND(VLOOKUP($A19,'Presupuesto Consolidado'!#REF!,6,FALSE),2)),"")</f>
        <v/>
      </c>
      <c r="AF19" s="142" t="str">
        <f t="shared" ref="AF19" si="79">IF($A19="","",IF(AE19="","",IF($K$4="Media aritmética",(AE19&lt;=$B19)*($E$5/$B$4)+(AE19&gt;$B19)*0,IF(ROUND(AVERAGE($C19,$E19,$G19,$I19,$K19,$M19,$O19,$Q19,$S19,$U19,$W19,$Y19,$AA19,$AC19,$AE19),2)-$B19/2&lt;=AE19,IF(ROUND(AVERAGE($C19,$E19,$G19,$I19,$K19,$M19,$O19,$Q19,$S19,$U19,$W19,$Y19,$AA19,$AC19,$AE19),2)+$B19/2&gt;AE19,($E$5/$B$4),0),0))))</f>
        <v/>
      </c>
      <c r="AH19" s="251"/>
      <c r="AI19" s="252"/>
      <c r="AJ19" s="252"/>
    </row>
    <row r="20" spans="1:36" s="135" customFormat="1" ht="21" customHeight="1">
      <c r="A20" s="132" t="str">
        <f>+'Presupuesto Consolidado'!A45</f>
        <v>9.1.4</v>
      </c>
      <c r="B20" s="140">
        <f t="shared" si="13"/>
        <v>17399500</v>
      </c>
      <c r="C20" s="141">
        <f>IF($C$8="Habilitado",IF($A20="","",ROUND(VLOOKUP($A20,'Presupuesto Consolidado'!$A$9:$F$600,6,FALSE),2)),"")</f>
        <v>17399500</v>
      </c>
      <c r="D20" s="142">
        <f t="shared" si="14"/>
        <v>3.870967741935484</v>
      </c>
      <c r="E20" s="141" t="str">
        <f>IF($E$8="Habilitado",IF($A20="","",ROUND(VLOOKUP($A20,'Presupuesto Consolidado'!$I$9:$N$600,6,FALSE),2)),"")</f>
        <v/>
      </c>
      <c r="F20" s="142" t="str">
        <f t="shared" si="14"/>
        <v/>
      </c>
      <c r="G20" s="141" t="str">
        <f>IF($G$8="Habilitado",IF($A20="","",ROUND(VLOOKUP($A20,'Presupuesto Consolidado'!$Q$9:$V$600,6,FALSE),2)),"")</f>
        <v/>
      </c>
      <c r="H20" s="142" t="str">
        <f t="shared" ref="H20" si="80">IF($A20="","",IF(G20="","",IF($K$4="Media aritmética",(G20&lt;=$B20)*($E$5/$B$4)+(G20&gt;$B20)*0,IF(ROUND(AVERAGE($C20,$E20,$G20,$I20,$K20,$M20,$O20,$Q20,$S20,$U20,$W20,$Y20,$AA20,$AC20,$AE20),2)-$B20/2&lt;=G20,IF(ROUND(AVERAGE($C20,$E20,$G20,$I20,$K20,$M20,$O20,$Q20,$S20,$U20,$W20,$Y20,$AA20,$AC20,$AE20),2)+$B20/2&gt;G20,($E$5/$B$4),0),0))))</f>
        <v/>
      </c>
      <c r="I20" s="141" t="str">
        <f>IF($I$8="Habilitado",IF($A20="","",ROUND(VLOOKUP($A20,'Presupuesto Consolidado'!$Y$9:$AD$600,6,FALSE),2)),"")</f>
        <v/>
      </c>
      <c r="J20" s="142" t="str">
        <f t="shared" ref="J20" si="81">IF($A20="","",IF(I20="","",IF($K$4="Media aritmética",(I20&lt;=$B20)*($E$5/$B$4)+(I20&gt;$B20)*0,IF(ROUND(AVERAGE($C20,$E20,$G20,$I20,$K20,$M20,$O20,$Q20,$S20,$U20,$W20,$Y20,$AA20,$AC20,$AE20),2)-$B20/2&lt;=I20,IF(ROUND(AVERAGE($C20,$E20,$G20,$I20,$K20,$M20,$O20,$Q20,$S20,$U20,$W20,$Y20,$AA20,$AC20,$AE20),2)+$B20/2&gt;I20,($E$5/$B$4),0),0))))</f>
        <v/>
      </c>
      <c r="K20" s="141" t="str">
        <f>IF($K$8="Habilitado",IF($A20="","",ROUND(VLOOKUP($A20,'Presupuesto Consolidado'!#REF!,6,FALSE),2)),"")</f>
        <v/>
      </c>
      <c r="L20" s="142" t="str">
        <f t="shared" ref="L20" si="82">IF($A20="","",IF(K20="","",IF($K$4="Media aritmética",(K20&lt;=$B20)*($E$5/$B$4)+(K20&gt;$B20)*0,IF(ROUND(AVERAGE($C20,$E20,$G20,$I20,$K20,$M20,$O20,$Q20,$S20,$U20,$W20,$Y20,$AA20,$AC20,$AE20),2)-$B20/2&lt;=K20,IF(ROUND(AVERAGE($C20,$E20,$G20,$I20,$K20,$M20,$O20,$Q20,$S20,$U20,$W20,$Y20,$AA20,$AC20,$AE20),2)+$B20/2&gt;K20,($E$5/$B$4),0),0))))</f>
        <v/>
      </c>
      <c r="M20" s="141" t="str">
        <f>IF($M$8="Habilitado",IF($A20="","",ROUND(VLOOKUP($A20,'Presupuesto Consolidado'!#REF!,6,FALSE),2)),"")</f>
        <v/>
      </c>
      <c r="N20" s="142" t="str">
        <f t="shared" ref="N20" si="83">IF($A20="","",IF(M20="","",IF($K$4="Media aritmética",(M20&lt;=$B20)*($E$5/$B$4)+(M20&gt;$B20)*0,IF(ROUND(AVERAGE($C20,$E20,$G20,$I20,$K20,$M20,$O20,$Q20,$S20,$U20,$W20,$Y20,$AA20,$AC20,$AE20),2)-$B20/2&lt;=M20,IF(ROUND(AVERAGE($C20,$E20,$G20,$I20,$K20,$M20,$O20,$Q20,$S20,$U20,$W20,$Y20,$AA20,$AC20,$AE20),2)+$B20/2&gt;M20,($E$5/$B$4),0),0))))</f>
        <v/>
      </c>
      <c r="O20" s="141" t="str">
        <f>IF($O$8="Habilitado",IF($A20="","",ROUND(VLOOKUP($A20,'Presupuesto Consolidado'!#REF!,6,FALSE),2)),"")</f>
        <v/>
      </c>
      <c r="P20" s="142" t="str">
        <f t="shared" ref="P20" si="84">IF($A20="","",IF(O20="","",IF($K$4="Media aritmética",(O20&lt;=$B20)*($E$5/$B$4)+(O20&gt;$B20)*0,IF(ROUND(AVERAGE($C20,$E20,$G20,$I20,$K20,$M20,$O20,$Q20,$S20,$U20,$W20,$Y20,$AA20,$AC20,$AE20),2)-$B20/2&lt;=O20,IF(ROUND(AVERAGE($C20,$E20,$G20,$I20,$K20,$M20,$O20,$Q20,$S20,$U20,$W20,$Y20,$AA20,$AC20,$AE20),2)+$B20/2&gt;O20,($E$5/$B$4),0),0))))</f>
        <v/>
      </c>
      <c r="Q20" s="141" t="str">
        <f>IF($Q$8="Habilitado",IF($A20="","",ROUND(VLOOKUP($A20,'Presupuesto Consolidado'!#REF!,6,FALSE),2)),"")</f>
        <v/>
      </c>
      <c r="R20" s="142" t="str">
        <f t="shared" ref="R20" si="85">IF($A20="","",IF(Q20="","",IF($K$4="Media aritmética",(Q20&lt;=$B20)*($E$5/$B$4)+(Q20&gt;$B20)*0,IF(ROUND(AVERAGE($C20,$E20,$G20,$I20,$K20,$M20,$O20,$Q20,$S20,$U20,$W20,$Y20,$AA20,$AC20,$AE20),2)-$B20/2&lt;=Q20,IF(ROUND(AVERAGE($C20,$E20,$G20,$I20,$K20,$M20,$O20,$Q20,$S20,$U20,$W20,$Y20,$AA20,$AC20,$AE20),2)+$B20/2&gt;Q20,($E$5/$B$4),0),0))))</f>
        <v/>
      </c>
      <c r="S20" s="141" t="str">
        <f>IF($S$8="Habilitado",IF($A20="","",ROUND(VLOOKUP($A20,'Presupuesto Consolidado'!#REF!,6,FALSE),2)),"")</f>
        <v/>
      </c>
      <c r="T20" s="142" t="str">
        <f t="shared" ref="T20" si="86">IF($A20="","",IF(S20="","",IF($K$4="Media aritmética",(S20&lt;=$B20)*($E$5/$B$4)+(S20&gt;$B20)*0,IF(ROUND(AVERAGE($C20,$E20,$G20,$I20,$K20,$M20,$O20,$Q20,$S20,$U20,$W20,$Y20,$AA20,$AC20,$AE20),2)-$B20/2&lt;=S20,IF(ROUND(AVERAGE($C20,$E20,$G20,$I20,$K20,$M20,$O20,$Q20,$S20,$U20,$W20,$Y20,$AA20,$AC20,$AE20),2)+$B20/2&gt;S20,($E$5/$B$4),0),0))))</f>
        <v/>
      </c>
      <c r="U20" s="141" t="str">
        <f>IF($U$8="Habilitado",IF($A20="","",ROUND(VLOOKUP($A20,'Presupuesto Consolidado'!#REF!,6,FALSE),2)),"")</f>
        <v/>
      </c>
      <c r="V20" s="142" t="str">
        <f t="shared" ref="V20" si="87">IF($A20="","",IF(U20="","",IF($K$4="Media aritmética",(U20&lt;=$B20)*($E$5/$B$4)+(U20&gt;$B20)*0,IF(ROUND(AVERAGE($C20,$E20,$G20,$I20,$K20,$M20,$O20,$Q20,$S20,$U20,$W20,$Y20,$AA20,$AC20,$AE20),2)-$B20/2&lt;=U20,IF(ROUND(AVERAGE($C20,$E20,$G20,$I20,$K20,$M20,$O20,$Q20,$S20,$U20,$W20,$Y20,$AA20,$AC20,$AE20),2)+$B20/2&gt;U20,($E$5/$B$4),0),0))))</f>
        <v/>
      </c>
      <c r="W20" s="141" t="str">
        <f>IF($W$8="Habilitado",IF($A20="","",ROUND(VLOOKUP($A20,'Presupuesto Consolidado'!#REF!,6,FALSE),2)),"")</f>
        <v/>
      </c>
      <c r="X20" s="142" t="str">
        <f t="shared" ref="X20" si="88">IF($A20="","",IF(W20="","",IF($K$4="Media aritmética",(W20&lt;=$B20)*($E$5/$B$4)+(W20&gt;$B20)*0,IF(ROUND(AVERAGE($C20,$E20,$G20,$I20,$K20,$M20,$O20,$Q20,$S20,$U20,$W20,$Y20,$AA20,$AC20,$AE20),2)-$B20/2&lt;=W20,IF(ROUND(AVERAGE($C20,$E20,$G20,$I20,$K20,$M20,$O20,$Q20,$S20,$U20,$W20,$Y20,$AA20,$AC20,$AE20),2)+$B20/2&gt;W20,($E$5/$B$4),0),0))))</f>
        <v/>
      </c>
      <c r="Y20" s="141" t="str">
        <f>IF($Y$8="Habilitado",IF($A20="","",ROUND(VLOOKUP($A20,'Presupuesto Consolidado'!#REF!,6,FALSE),2)),"")</f>
        <v/>
      </c>
      <c r="Z20" s="142" t="str">
        <f t="shared" ref="Z20" si="89">IF($A20="","",IF(Y20="","",IF($K$4="Media aritmética",(Y20&lt;=$B20)*($E$5/$B$4)+(Y20&gt;$B20)*0,IF(ROUND(AVERAGE($C20,$E20,$G20,$I20,$K20,$M20,$O20,$Q20,$S20,$U20,$W20,$Y20,$AA20,$AC20,$AE20),2)-$B20/2&lt;=Y20,IF(ROUND(AVERAGE($C20,$E20,$G20,$I20,$K20,$M20,$O20,$Q20,$S20,$U20,$W20,$Y20,$AA20,$AC20,$AE20),2)+$B20/2&gt;Y20,($E$5/$B$4),0),0))))</f>
        <v/>
      </c>
      <c r="AA20" s="141" t="str">
        <f>IF($AA$8="Habilitado",IF($A20="","",ROUND(VLOOKUP($A20,'Presupuesto Consolidado'!#REF!,6,FALSE),2)),"")</f>
        <v/>
      </c>
      <c r="AB20" s="142" t="str">
        <f t="shared" ref="AB20" si="90">IF($A20="","",IF(AA20="","",IF($K$4="Media aritmética",(AA20&lt;=$B20)*($E$5/$B$4)+(AA20&gt;$B20)*0,IF(ROUND(AVERAGE($C20,$E20,$G20,$I20,$K20,$M20,$O20,$Q20,$S20,$U20,$W20,$Y20,$AA20,$AC20,$AE20),2)-$B20/2&lt;=AA20,IF(ROUND(AVERAGE($C20,$E20,$G20,$I20,$K20,$M20,$O20,$Q20,$S20,$U20,$W20,$Y20,$AA20,$AC20,$AE20),2)+$B20/2&gt;AA20,($E$5/$B$4),0),0))))</f>
        <v/>
      </c>
      <c r="AC20" s="141" t="str">
        <f>IF($AC$8="Habilitado",IF($A20="","",ROUND(VLOOKUP($A20,'Presupuesto Consolidado'!#REF!,6,FALSE),2)),"")</f>
        <v/>
      </c>
      <c r="AD20" s="142" t="str">
        <f t="shared" ref="AD20" si="91">IF($A20="","",IF(AC20="","",IF($K$4="Media aritmética",(AC20&lt;=$B20)*($E$5/$B$4)+(AC20&gt;$B20)*0,IF(ROUND(AVERAGE($C20,$E20,$G20,$I20,$K20,$M20,$O20,$Q20,$S20,$U20,$W20,$Y20,$AA20,$AC20,$AE20),2)-$B20/2&lt;=AC20,IF(ROUND(AVERAGE($C20,$E20,$G20,$I20,$K20,$M20,$O20,$Q20,$S20,$U20,$W20,$Y20,$AA20,$AC20,$AE20),2)+$B20/2&gt;AC20,($E$5/$B$4),0),0))))</f>
        <v/>
      </c>
      <c r="AE20" s="141" t="str">
        <f>IF($AE$8="Habilitado",IF($A20="","",ROUND(VLOOKUP($A20,'Presupuesto Consolidado'!#REF!,6,FALSE),2)),"")</f>
        <v/>
      </c>
      <c r="AF20" s="142" t="str">
        <f t="shared" ref="AF20" si="92">IF($A20="","",IF(AE20="","",IF($K$4="Media aritmética",(AE20&lt;=$B20)*($E$5/$B$4)+(AE20&gt;$B20)*0,IF(ROUND(AVERAGE($C20,$E20,$G20,$I20,$K20,$M20,$O20,$Q20,$S20,$U20,$W20,$Y20,$AA20,$AC20,$AE20),2)-$B20/2&lt;=AE20,IF(ROUND(AVERAGE($C20,$E20,$G20,$I20,$K20,$M20,$O20,$Q20,$S20,$U20,$W20,$Y20,$AA20,$AC20,$AE20),2)+$B20/2&gt;AE20,($E$5/$B$4),0),0))))</f>
        <v/>
      </c>
      <c r="AH20" s="251"/>
      <c r="AI20" s="252"/>
      <c r="AJ20" s="252"/>
    </row>
    <row r="21" spans="1:36" s="135" customFormat="1" ht="21" customHeight="1">
      <c r="A21" s="132" t="str">
        <f>+'Presupuesto Consolidado'!A49</f>
        <v>9.1.8</v>
      </c>
      <c r="B21" s="140">
        <f t="shared" si="13"/>
        <v>6141000</v>
      </c>
      <c r="C21" s="141">
        <f>IF($C$8="Habilitado",IF($A21="","",ROUND(VLOOKUP($A21,'Presupuesto Consolidado'!$A$9:$F$600,6,FALSE),2)),"")</f>
        <v>6141000</v>
      </c>
      <c r="D21" s="142">
        <f t="shared" si="14"/>
        <v>3.870967741935484</v>
      </c>
      <c r="E21" s="141" t="str">
        <f>IF($E$8="Habilitado",IF($A21="","",ROUND(VLOOKUP($A21,'Presupuesto Consolidado'!$I$9:$N$600,6,FALSE),2)),"")</f>
        <v/>
      </c>
      <c r="F21" s="142" t="str">
        <f t="shared" si="14"/>
        <v/>
      </c>
      <c r="G21" s="141" t="str">
        <f>IF($G$8="Habilitado",IF($A21="","",ROUND(VLOOKUP($A21,'Presupuesto Consolidado'!$Q$9:$V$600,6,FALSE),2)),"")</f>
        <v/>
      </c>
      <c r="H21" s="142" t="str">
        <f t="shared" ref="H21:H36" si="93">IF($A21="","",IF(G21="","",IF($K$4="Media aritmética",(G21&lt;=$B21)*($E$5/$B$4)+(G21&gt;$B21)*0,IF(ROUND(AVERAGE($C21,$E21,$G21,$I21,$K21,$M21,$O21,$Q21,$S21,$U21,$W21,$Y21,$AA21,$AC21,$AE21),2)-$B21/2&lt;=G21,IF(ROUND(AVERAGE($C21,$E21,$G21,$I21,$K21,$M21,$O21,$Q21,$S21,$U21,$W21,$Y21,$AA21,$AC21,$AE21),2)+$B21/2&gt;G21,($E$5/$B$4),0),0))))</f>
        <v/>
      </c>
      <c r="I21" s="141" t="str">
        <f>IF($I$8="Habilitado",IF($A21="","",ROUND(VLOOKUP($A21,'Presupuesto Consolidado'!$Y$9:$AD$600,6,FALSE),2)),"")</f>
        <v/>
      </c>
      <c r="J21" s="142" t="str">
        <f t="shared" ref="J21:J36" si="94">IF($A21="","",IF(I21="","",IF($K$4="Media aritmética",(I21&lt;=$B21)*($E$5/$B$4)+(I21&gt;$B21)*0,IF(ROUND(AVERAGE($C21,$E21,$G21,$I21,$K21,$M21,$O21,$Q21,$S21,$U21,$W21,$Y21,$AA21,$AC21,$AE21),2)-$B21/2&lt;=I21,IF(ROUND(AVERAGE($C21,$E21,$G21,$I21,$K21,$M21,$O21,$Q21,$S21,$U21,$W21,$Y21,$AA21,$AC21,$AE21),2)+$B21/2&gt;I21,($E$5/$B$4),0),0))))</f>
        <v/>
      </c>
      <c r="K21" s="141" t="str">
        <f>IF($K$8="Habilitado",IF($A21="","",ROUND(VLOOKUP($A21,'Presupuesto Consolidado'!#REF!,6,FALSE),2)),"")</f>
        <v/>
      </c>
      <c r="L21" s="142" t="str">
        <f t="shared" ref="L21:L36" si="95">IF($A21="","",IF(K21="","",IF($K$4="Media aritmética",(K21&lt;=$B21)*($E$5/$B$4)+(K21&gt;$B21)*0,IF(ROUND(AVERAGE($C21,$E21,$G21,$I21,$K21,$M21,$O21,$Q21,$S21,$U21,$W21,$Y21,$AA21,$AC21,$AE21),2)-$B21/2&lt;=K21,IF(ROUND(AVERAGE($C21,$E21,$G21,$I21,$K21,$M21,$O21,$Q21,$S21,$U21,$W21,$Y21,$AA21,$AC21,$AE21),2)+$B21/2&gt;K21,($E$5/$B$4),0),0))))</f>
        <v/>
      </c>
      <c r="M21" s="141" t="str">
        <f>IF($M$8="Habilitado",IF($A21="","",ROUND(VLOOKUP($A21,'Presupuesto Consolidado'!#REF!,6,FALSE),2)),"")</f>
        <v/>
      </c>
      <c r="N21" s="142" t="str">
        <f t="shared" ref="N21:N36" si="96">IF($A21="","",IF(M21="","",IF($K$4="Media aritmética",(M21&lt;=$B21)*($E$5/$B$4)+(M21&gt;$B21)*0,IF(ROUND(AVERAGE($C21,$E21,$G21,$I21,$K21,$M21,$O21,$Q21,$S21,$U21,$W21,$Y21,$AA21,$AC21,$AE21),2)-$B21/2&lt;=M21,IF(ROUND(AVERAGE($C21,$E21,$G21,$I21,$K21,$M21,$O21,$Q21,$S21,$U21,$W21,$Y21,$AA21,$AC21,$AE21),2)+$B21/2&gt;M21,($E$5/$B$4),0),0))))</f>
        <v/>
      </c>
      <c r="O21" s="141" t="str">
        <f>IF($O$8="Habilitado",IF($A21="","",ROUND(VLOOKUP($A21,'Presupuesto Consolidado'!#REF!,6,FALSE),2)),"")</f>
        <v/>
      </c>
      <c r="P21" s="142" t="str">
        <f t="shared" ref="P21:P36" si="97">IF($A21="","",IF(O21="","",IF($K$4="Media aritmética",(O21&lt;=$B21)*($E$5/$B$4)+(O21&gt;$B21)*0,IF(ROUND(AVERAGE($C21,$E21,$G21,$I21,$K21,$M21,$O21,$Q21,$S21,$U21,$W21,$Y21,$AA21,$AC21,$AE21),2)-$B21/2&lt;=O21,IF(ROUND(AVERAGE($C21,$E21,$G21,$I21,$K21,$M21,$O21,$Q21,$S21,$U21,$W21,$Y21,$AA21,$AC21,$AE21),2)+$B21/2&gt;O21,($E$5/$B$4),0),0))))</f>
        <v/>
      </c>
      <c r="Q21" s="141" t="str">
        <f>IF($Q$8="Habilitado",IF($A21="","",ROUND(VLOOKUP($A21,'Presupuesto Consolidado'!#REF!,6,FALSE),2)),"")</f>
        <v/>
      </c>
      <c r="R21" s="142" t="str">
        <f t="shared" ref="R21:R36" si="98">IF($A21="","",IF(Q21="","",IF($K$4="Media aritmética",(Q21&lt;=$B21)*($E$5/$B$4)+(Q21&gt;$B21)*0,IF(ROUND(AVERAGE($C21,$E21,$G21,$I21,$K21,$M21,$O21,$Q21,$S21,$U21,$W21,$Y21,$AA21,$AC21,$AE21),2)-$B21/2&lt;=Q21,IF(ROUND(AVERAGE($C21,$E21,$G21,$I21,$K21,$M21,$O21,$Q21,$S21,$U21,$W21,$Y21,$AA21,$AC21,$AE21),2)+$B21/2&gt;Q21,($E$5/$B$4),0),0))))</f>
        <v/>
      </c>
      <c r="S21" s="141" t="str">
        <f>IF($S$8="Habilitado",IF($A21="","",ROUND(VLOOKUP($A21,'Presupuesto Consolidado'!#REF!,6,FALSE),2)),"")</f>
        <v/>
      </c>
      <c r="T21" s="142" t="str">
        <f t="shared" ref="T21:T36" si="99">IF($A21="","",IF(S21="","",IF($K$4="Media aritmética",(S21&lt;=$B21)*($E$5/$B$4)+(S21&gt;$B21)*0,IF(ROUND(AVERAGE($C21,$E21,$G21,$I21,$K21,$M21,$O21,$Q21,$S21,$U21,$W21,$Y21,$AA21,$AC21,$AE21),2)-$B21/2&lt;=S21,IF(ROUND(AVERAGE($C21,$E21,$G21,$I21,$K21,$M21,$O21,$Q21,$S21,$U21,$W21,$Y21,$AA21,$AC21,$AE21),2)+$B21/2&gt;S21,($E$5/$B$4),0),0))))</f>
        <v/>
      </c>
      <c r="U21" s="141" t="str">
        <f>IF($U$8="Habilitado",IF($A21="","",ROUND(VLOOKUP($A21,'Presupuesto Consolidado'!#REF!,6,FALSE),2)),"")</f>
        <v/>
      </c>
      <c r="V21" s="142" t="str">
        <f t="shared" ref="V21:V36" si="100">IF($A21="","",IF(U21="","",IF($K$4="Media aritmética",(U21&lt;=$B21)*($E$5/$B$4)+(U21&gt;$B21)*0,IF(ROUND(AVERAGE($C21,$E21,$G21,$I21,$K21,$M21,$O21,$Q21,$S21,$U21,$W21,$Y21,$AA21,$AC21,$AE21),2)-$B21/2&lt;=U21,IF(ROUND(AVERAGE($C21,$E21,$G21,$I21,$K21,$M21,$O21,$Q21,$S21,$U21,$W21,$Y21,$AA21,$AC21,$AE21),2)+$B21/2&gt;U21,($E$5/$B$4),0),0))))</f>
        <v/>
      </c>
      <c r="W21" s="141" t="str">
        <f>IF($W$8="Habilitado",IF($A21="","",ROUND(VLOOKUP($A21,'Presupuesto Consolidado'!#REF!,6,FALSE),2)),"")</f>
        <v/>
      </c>
      <c r="X21" s="142" t="str">
        <f t="shared" ref="X21:X36" si="101">IF($A21="","",IF(W21="","",IF($K$4="Media aritmética",(W21&lt;=$B21)*($E$5/$B$4)+(W21&gt;$B21)*0,IF(ROUND(AVERAGE($C21,$E21,$G21,$I21,$K21,$M21,$O21,$Q21,$S21,$U21,$W21,$Y21,$AA21,$AC21,$AE21),2)-$B21/2&lt;=W21,IF(ROUND(AVERAGE($C21,$E21,$G21,$I21,$K21,$M21,$O21,$Q21,$S21,$U21,$W21,$Y21,$AA21,$AC21,$AE21),2)+$B21/2&gt;W21,($E$5/$B$4),0),0))))</f>
        <v/>
      </c>
      <c r="Y21" s="141" t="str">
        <f>IF($Y$8="Habilitado",IF($A21="","",ROUND(VLOOKUP($A21,'Presupuesto Consolidado'!#REF!,6,FALSE),2)),"")</f>
        <v/>
      </c>
      <c r="Z21" s="142" t="str">
        <f t="shared" ref="Z21:Z36" si="102">IF($A21="","",IF(Y21="","",IF($K$4="Media aritmética",(Y21&lt;=$B21)*($E$5/$B$4)+(Y21&gt;$B21)*0,IF(ROUND(AVERAGE($C21,$E21,$G21,$I21,$K21,$M21,$O21,$Q21,$S21,$U21,$W21,$Y21,$AA21,$AC21,$AE21),2)-$B21/2&lt;=Y21,IF(ROUND(AVERAGE($C21,$E21,$G21,$I21,$K21,$M21,$O21,$Q21,$S21,$U21,$W21,$Y21,$AA21,$AC21,$AE21),2)+$B21/2&gt;Y21,($E$5/$B$4),0),0))))</f>
        <v/>
      </c>
      <c r="AA21" s="141" t="str">
        <f>IF($AA$8="Habilitado",IF($A21="","",ROUND(VLOOKUP($A21,'Presupuesto Consolidado'!#REF!,6,FALSE),2)),"")</f>
        <v/>
      </c>
      <c r="AB21" s="142" t="str">
        <f t="shared" ref="AB21:AB36" si="103">IF($A21="","",IF(AA21="","",IF($K$4="Media aritmética",(AA21&lt;=$B21)*($E$5/$B$4)+(AA21&gt;$B21)*0,IF(ROUND(AVERAGE($C21,$E21,$G21,$I21,$K21,$M21,$O21,$Q21,$S21,$U21,$W21,$Y21,$AA21,$AC21,$AE21),2)-$B21/2&lt;=AA21,IF(ROUND(AVERAGE($C21,$E21,$G21,$I21,$K21,$M21,$O21,$Q21,$S21,$U21,$W21,$Y21,$AA21,$AC21,$AE21),2)+$B21/2&gt;AA21,($E$5/$B$4),0),0))))</f>
        <v/>
      </c>
      <c r="AC21" s="141" t="str">
        <f>IF($AC$8="Habilitado",IF($A21="","",ROUND(VLOOKUP($A21,'Presupuesto Consolidado'!#REF!,6,FALSE),2)),"")</f>
        <v/>
      </c>
      <c r="AD21" s="142" t="str">
        <f t="shared" ref="AD21:AD36" si="104">IF($A21="","",IF(AC21="","",IF($K$4="Media aritmética",(AC21&lt;=$B21)*($E$5/$B$4)+(AC21&gt;$B21)*0,IF(ROUND(AVERAGE($C21,$E21,$G21,$I21,$K21,$M21,$O21,$Q21,$S21,$U21,$W21,$Y21,$AA21,$AC21,$AE21),2)-$B21/2&lt;=AC21,IF(ROUND(AVERAGE($C21,$E21,$G21,$I21,$K21,$M21,$O21,$Q21,$S21,$U21,$W21,$Y21,$AA21,$AC21,$AE21),2)+$B21/2&gt;AC21,($E$5/$B$4),0),0))))</f>
        <v/>
      </c>
      <c r="AE21" s="141" t="str">
        <f>IF($AE$8="Habilitado",IF($A21="","",ROUND(VLOOKUP($A21,'Presupuesto Consolidado'!#REF!,6,FALSE),2)),"")</f>
        <v/>
      </c>
      <c r="AF21" s="142" t="str">
        <f t="shared" ref="AF21:AF36" si="105">IF($A21="","",IF(AE21="","",IF($K$4="Media aritmética",(AE21&lt;=$B21)*($E$5/$B$4)+(AE21&gt;$B21)*0,IF(ROUND(AVERAGE($C21,$E21,$G21,$I21,$K21,$M21,$O21,$Q21,$S21,$U21,$W21,$Y21,$AA21,$AC21,$AE21),2)-$B21/2&lt;=AE21,IF(ROUND(AVERAGE($C21,$E21,$G21,$I21,$K21,$M21,$O21,$Q21,$S21,$U21,$W21,$Y21,$AA21,$AC21,$AE21),2)+$B21/2&gt;AE21,($E$5/$B$4),0),0))))</f>
        <v/>
      </c>
      <c r="AH21" s="251"/>
      <c r="AI21" s="252"/>
      <c r="AJ21" s="252"/>
    </row>
    <row r="22" spans="1:36" s="135" customFormat="1" ht="21" customHeight="1">
      <c r="A22" s="132" t="str">
        <f>+'Presupuesto Consolidado'!A50</f>
        <v>9.1.9</v>
      </c>
      <c r="B22" s="140">
        <f t="shared" ref="B22:B36" si="106">IF(A22="","",IF($K$4="Media aritmética",ROUND(AVERAGE(C22,E22,G22,I22,K22,M22,O22,Q22,S22,U22,W22,Y22,AA22,AC22,AE22),2),ROUND(_xlfn.STDEV.P(C22,E22,G22,I22,K22,M22,O22,Q22,S22,U22,W22,Y22,AA22,AC22,AE22),2)))</f>
        <v>7164500</v>
      </c>
      <c r="C22" s="141">
        <f>IF($C$8="Habilitado",IF($A22="","",ROUND(VLOOKUP($A22,'Presupuesto Consolidado'!$A$9:$F$600,6,FALSE),2)),"")</f>
        <v>7164500</v>
      </c>
      <c r="D22" s="142">
        <f t="shared" ref="D22:D36" si="107">IF($A22="","",IF(C22="","",IF($K$4="Media aritmética",(C22&lt;=$B22)*($E$5/$B$4)+(C22&gt;$B22)*0,IF(ROUND(AVERAGE($C22,$E22,$G22,$I22,$K22,$M22,$O22,$Q22,$S22,$U22,$W22,$Y22,$AA22,$AC22,$AE22),2)-$B22/2&lt;=C22,IF(ROUND(AVERAGE($C22,$E22,$G22,$I22,$K22,$M22,$O22,$Q22,$S22,$U22,$W22,$Y22,$AA22,$AC22,$AE22),2)+$B22/2&gt;C22,($E$5/$B$4),0),0))))</f>
        <v>3.870967741935484</v>
      </c>
      <c r="E22" s="141" t="str">
        <f>IF($E$8="Habilitado",IF($A22="","",ROUND(VLOOKUP($A22,'Presupuesto Consolidado'!$I$9:$N$600,6,FALSE),2)),"")</f>
        <v/>
      </c>
      <c r="F22" s="142" t="str">
        <f t="shared" ref="F22:F36" si="108">IF($A22="","",IF(E22="","",IF($K$4="Media aritmética",(E22&lt;=$B22)*($E$5/$B$4)+(E22&gt;$B22)*0,IF(ROUND(AVERAGE($C22,$E22,$G22,$I22,$K22,$M22,$O22,$Q22,$S22,$U22,$W22,$Y22,$AA22,$AC22,$AE22),2)-$B22/2&lt;=E22,IF(ROUND(AVERAGE($C22,$E22,$G22,$I22,$K22,$M22,$O22,$Q22,$S22,$U22,$W22,$Y22,$AA22,$AC22,$AE22),2)+$B22/2&gt;E22,($E$5/$B$4),0),0))))</f>
        <v/>
      </c>
      <c r="G22" s="141" t="str">
        <f>IF($G$8="Habilitado",IF($A22="","",ROUND(VLOOKUP($A22,'Presupuesto Consolidado'!$Q$9:$V$600,6,FALSE),2)),"")</f>
        <v/>
      </c>
      <c r="H22" s="142" t="str">
        <f t="shared" si="93"/>
        <v/>
      </c>
      <c r="I22" s="141" t="str">
        <f>IF($I$8="Habilitado",IF($A22="","",ROUND(VLOOKUP($A22,'Presupuesto Consolidado'!$Y$9:$AD$600,6,FALSE),2)),"")</f>
        <v/>
      </c>
      <c r="J22" s="142" t="str">
        <f t="shared" si="94"/>
        <v/>
      </c>
      <c r="K22" s="141" t="str">
        <f>IF($K$8="Habilitado",IF($A22="","",ROUND(VLOOKUP($A22,'Presupuesto Consolidado'!#REF!,6,FALSE),2)),"")</f>
        <v/>
      </c>
      <c r="L22" s="142" t="str">
        <f t="shared" si="95"/>
        <v/>
      </c>
      <c r="M22" s="141" t="str">
        <f>IF($M$8="Habilitado",IF($A22="","",ROUND(VLOOKUP($A22,'Presupuesto Consolidado'!#REF!,6,FALSE),2)),"")</f>
        <v/>
      </c>
      <c r="N22" s="142" t="str">
        <f t="shared" si="96"/>
        <v/>
      </c>
      <c r="O22" s="141" t="str">
        <f>IF($O$8="Habilitado",IF($A22="","",ROUND(VLOOKUP($A22,'Presupuesto Consolidado'!#REF!,6,FALSE),2)),"")</f>
        <v/>
      </c>
      <c r="P22" s="142" t="str">
        <f t="shared" si="97"/>
        <v/>
      </c>
      <c r="Q22" s="141" t="str">
        <f>IF($Q$8="Habilitado",IF($A22="","",ROUND(VLOOKUP($A22,'Presupuesto Consolidado'!#REF!,6,FALSE),2)),"")</f>
        <v/>
      </c>
      <c r="R22" s="142" t="str">
        <f t="shared" si="98"/>
        <v/>
      </c>
      <c r="S22" s="141" t="str">
        <f>IF($S$8="Habilitado",IF($A22="","",ROUND(VLOOKUP($A22,'Presupuesto Consolidado'!#REF!,6,FALSE),2)),"")</f>
        <v/>
      </c>
      <c r="T22" s="142" t="str">
        <f t="shared" si="99"/>
        <v/>
      </c>
      <c r="U22" s="141" t="str">
        <f>IF($U$8="Habilitado",IF($A22="","",ROUND(VLOOKUP($A22,'Presupuesto Consolidado'!#REF!,6,FALSE),2)),"")</f>
        <v/>
      </c>
      <c r="V22" s="142" t="str">
        <f t="shared" si="100"/>
        <v/>
      </c>
      <c r="W22" s="141" t="str">
        <f>IF($W$8="Habilitado",IF($A22="","",ROUND(VLOOKUP($A22,'Presupuesto Consolidado'!#REF!,6,FALSE),2)),"")</f>
        <v/>
      </c>
      <c r="X22" s="142" t="str">
        <f t="shared" si="101"/>
        <v/>
      </c>
      <c r="Y22" s="141" t="str">
        <f>IF($Y$8="Habilitado",IF($A22="","",ROUND(VLOOKUP($A22,'Presupuesto Consolidado'!#REF!,6,FALSE),2)),"")</f>
        <v/>
      </c>
      <c r="Z22" s="142" t="str">
        <f t="shared" si="102"/>
        <v/>
      </c>
      <c r="AA22" s="141" t="str">
        <f>IF($AA$8="Habilitado",IF($A22="","",ROUND(VLOOKUP($A22,'Presupuesto Consolidado'!#REF!,6,FALSE),2)),"")</f>
        <v/>
      </c>
      <c r="AB22" s="142" t="str">
        <f t="shared" si="103"/>
        <v/>
      </c>
      <c r="AC22" s="141" t="str">
        <f>IF($AC$8="Habilitado",IF($A22="","",ROUND(VLOOKUP($A22,'Presupuesto Consolidado'!#REF!,6,FALSE),2)),"")</f>
        <v/>
      </c>
      <c r="AD22" s="142" t="str">
        <f t="shared" si="104"/>
        <v/>
      </c>
      <c r="AE22" s="141" t="str">
        <f>IF($AE$8="Habilitado",IF($A22="","",ROUND(VLOOKUP($A22,'Presupuesto Consolidado'!#REF!,6,FALSE),2)),"")</f>
        <v/>
      </c>
      <c r="AF22" s="142" t="str">
        <f t="shared" si="105"/>
        <v/>
      </c>
      <c r="AH22" s="251"/>
      <c r="AI22" s="252"/>
      <c r="AJ22" s="252"/>
    </row>
    <row r="23" spans="1:36" s="135" customFormat="1" ht="21" customHeight="1">
      <c r="A23" s="132" t="str">
        <f>+'Presupuesto Consolidado'!A53</f>
        <v>10.1</v>
      </c>
      <c r="B23" s="140">
        <f t="shared" si="106"/>
        <v>877651</v>
      </c>
      <c r="C23" s="141">
        <f>IF($C$8="Habilitado",IF($A23="","",ROUND(VLOOKUP($A23,'Presupuesto Consolidado'!$A$9:$F$600,6,FALSE),2)),"")</f>
        <v>877651</v>
      </c>
      <c r="D23" s="142">
        <f t="shared" si="107"/>
        <v>3.870967741935484</v>
      </c>
      <c r="E23" s="141" t="str">
        <f>IF($E$8="Habilitado",IF($A23="","",ROUND(VLOOKUP($A23,'Presupuesto Consolidado'!$I$9:$N$600,6,FALSE),2)),"")</f>
        <v/>
      </c>
      <c r="F23" s="142" t="str">
        <f t="shared" si="108"/>
        <v/>
      </c>
      <c r="G23" s="141" t="str">
        <f>IF($G$8="Habilitado",IF($A23="","",ROUND(VLOOKUP($A23,'Presupuesto Consolidado'!$Q$9:$V$600,6,FALSE),2)),"")</f>
        <v/>
      </c>
      <c r="H23" s="142" t="str">
        <f t="shared" si="93"/>
        <v/>
      </c>
      <c r="I23" s="141" t="str">
        <f>IF($I$8="Habilitado",IF($A23="","",ROUND(VLOOKUP($A23,'Presupuesto Consolidado'!$Y$9:$AD$600,6,FALSE),2)),"")</f>
        <v/>
      </c>
      <c r="J23" s="142" t="str">
        <f t="shared" si="94"/>
        <v/>
      </c>
      <c r="K23" s="141" t="str">
        <f>IF($K$8="Habilitado",IF($A23="","",ROUND(VLOOKUP($A23,'Presupuesto Consolidado'!#REF!,6,FALSE),2)),"")</f>
        <v/>
      </c>
      <c r="L23" s="142" t="str">
        <f t="shared" si="95"/>
        <v/>
      </c>
      <c r="M23" s="141" t="str">
        <f>IF($M$8="Habilitado",IF($A23="","",ROUND(VLOOKUP($A23,'Presupuesto Consolidado'!#REF!,6,FALSE),2)),"")</f>
        <v/>
      </c>
      <c r="N23" s="142" t="str">
        <f t="shared" si="96"/>
        <v/>
      </c>
      <c r="O23" s="141" t="str">
        <f>IF($O$8="Habilitado",IF($A23="","",ROUND(VLOOKUP($A23,'Presupuesto Consolidado'!#REF!,6,FALSE),2)),"")</f>
        <v/>
      </c>
      <c r="P23" s="142" t="str">
        <f t="shared" si="97"/>
        <v/>
      </c>
      <c r="Q23" s="141" t="str">
        <f>IF($Q$8="Habilitado",IF($A23="","",ROUND(VLOOKUP($A23,'Presupuesto Consolidado'!#REF!,6,FALSE),2)),"")</f>
        <v/>
      </c>
      <c r="R23" s="142" t="str">
        <f t="shared" si="98"/>
        <v/>
      </c>
      <c r="S23" s="141" t="str">
        <f>IF($S$8="Habilitado",IF($A23="","",ROUND(VLOOKUP($A23,'Presupuesto Consolidado'!#REF!,6,FALSE),2)),"")</f>
        <v/>
      </c>
      <c r="T23" s="142" t="str">
        <f t="shared" si="99"/>
        <v/>
      </c>
      <c r="U23" s="141" t="str">
        <f>IF($U$8="Habilitado",IF($A23="","",ROUND(VLOOKUP($A23,'Presupuesto Consolidado'!#REF!,6,FALSE),2)),"")</f>
        <v/>
      </c>
      <c r="V23" s="142" t="str">
        <f t="shared" si="100"/>
        <v/>
      </c>
      <c r="W23" s="141" t="str">
        <f>IF($W$8="Habilitado",IF($A23="","",ROUND(VLOOKUP($A23,'Presupuesto Consolidado'!#REF!,6,FALSE),2)),"")</f>
        <v/>
      </c>
      <c r="X23" s="142" t="str">
        <f t="shared" si="101"/>
        <v/>
      </c>
      <c r="Y23" s="141" t="str">
        <f>IF($Y$8="Habilitado",IF($A23="","",ROUND(VLOOKUP($A23,'Presupuesto Consolidado'!#REF!,6,FALSE),2)),"")</f>
        <v/>
      </c>
      <c r="Z23" s="142" t="str">
        <f t="shared" si="102"/>
        <v/>
      </c>
      <c r="AA23" s="141" t="str">
        <f>IF($AA$8="Habilitado",IF($A23="","",ROUND(VLOOKUP($A23,'Presupuesto Consolidado'!#REF!,6,FALSE),2)),"")</f>
        <v/>
      </c>
      <c r="AB23" s="142" t="str">
        <f t="shared" si="103"/>
        <v/>
      </c>
      <c r="AC23" s="141" t="str">
        <f>IF($AC$8="Habilitado",IF($A23="","",ROUND(VLOOKUP($A23,'Presupuesto Consolidado'!#REF!,6,FALSE),2)),"")</f>
        <v/>
      </c>
      <c r="AD23" s="142" t="str">
        <f t="shared" si="104"/>
        <v/>
      </c>
      <c r="AE23" s="141" t="str">
        <f>IF($AE$8="Habilitado",IF($A23="","",ROUND(VLOOKUP($A23,'Presupuesto Consolidado'!#REF!,6,FALSE),2)),"")</f>
        <v/>
      </c>
      <c r="AF23" s="142" t="str">
        <f t="shared" si="105"/>
        <v/>
      </c>
      <c r="AH23" s="251"/>
      <c r="AI23" s="252"/>
      <c r="AJ23" s="252"/>
    </row>
    <row r="24" spans="1:36" s="135" customFormat="1" ht="21" customHeight="1">
      <c r="A24" s="132" t="str">
        <f>+'Presupuesto Consolidado'!A54</f>
        <v>10.2</v>
      </c>
      <c r="B24" s="140">
        <f t="shared" si="106"/>
        <v>18930656</v>
      </c>
      <c r="C24" s="141">
        <f>IF($C$8="Habilitado",IF($A24="","",ROUND(VLOOKUP($A24,'Presupuesto Consolidado'!$A$9:$F$600,6,FALSE),2)),"")</f>
        <v>18930656</v>
      </c>
      <c r="D24" s="142">
        <f t="shared" si="107"/>
        <v>3.870967741935484</v>
      </c>
      <c r="E24" s="141" t="str">
        <f>IF($E$8="Habilitado",IF($A24="","",ROUND(VLOOKUP($A24,'Presupuesto Consolidado'!$I$9:$N$600,6,FALSE),2)),"")</f>
        <v/>
      </c>
      <c r="F24" s="142" t="str">
        <f t="shared" si="108"/>
        <v/>
      </c>
      <c r="G24" s="141" t="str">
        <f>IF($G$8="Habilitado",IF($A24="","",ROUND(VLOOKUP($A24,'Presupuesto Consolidado'!$Q$9:$V$600,6,FALSE),2)),"")</f>
        <v/>
      </c>
      <c r="H24" s="142" t="str">
        <f t="shared" si="93"/>
        <v/>
      </c>
      <c r="I24" s="141" t="str">
        <f>IF($I$8="Habilitado",IF($A24="","",ROUND(VLOOKUP($A24,'Presupuesto Consolidado'!$Y$9:$AD$600,6,FALSE),2)),"")</f>
        <v/>
      </c>
      <c r="J24" s="142" t="str">
        <f t="shared" si="94"/>
        <v/>
      </c>
      <c r="K24" s="141" t="str">
        <f>IF($K$8="Habilitado",IF($A24="","",ROUND(VLOOKUP($A24,'Presupuesto Consolidado'!#REF!,6,FALSE),2)),"")</f>
        <v/>
      </c>
      <c r="L24" s="142" t="str">
        <f t="shared" si="95"/>
        <v/>
      </c>
      <c r="M24" s="141" t="str">
        <f>IF($M$8="Habilitado",IF($A24="","",ROUND(VLOOKUP($A24,'Presupuesto Consolidado'!#REF!,6,FALSE),2)),"")</f>
        <v/>
      </c>
      <c r="N24" s="142" t="str">
        <f t="shared" si="96"/>
        <v/>
      </c>
      <c r="O24" s="141" t="str">
        <f>IF($O$8="Habilitado",IF($A24="","",ROUND(VLOOKUP($A24,'Presupuesto Consolidado'!#REF!,6,FALSE),2)),"")</f>
        <v/>
      </c>
      <c r="P24" s="142" t="str">
        <f t="shared" si="97"/>
        <v/>
      </c>
      <c r="Q24" s="141" t="str">
        <f>IF($Q$8="Habilitado",IF($A24="","",ROUND(VLOOKUP($A24,'Presupuesto Consolidado'!#REF!,6,FALSE),2)),"")</f>
        <v/>
      </c>
      <c r="R24" s="142" t="str">
        <f t="shared" si="98"/>
        <v/>
      </c>
      <c r="S24" s="141" t="str">
        <f>IF($S$8="Habilitado",IF($A24="","",ROUND(VLOOKUP($A24,'Presupuesto Consolidado'!#REF!,6,FALSE),2)),"")</f>
        <v/>
      </c>
      <c r="T24" s="142" t="str">
        <f t="shared" si="99"/>
        <v/>
      </c>
      <c r="U24" s="141" t="str">
        <f>IF($U$8="Habilitado",IF($A24="","",ROUND(VLOOKUP($A24,'Presupuesto Consolidado'!#REF!,6,FALSE),2)),"")</f>
        <v/>
      </c>
      <c r="V24" s="142" t="str">
        <f t="shared" si="100"/>
        <v/>
      </c>
      <c r="W24" s="141" t="str">
        <f>IF($W$8="Habilitado",IF($A24="","",ROUND(VLOOKUP($A24,'Presupuesto Consolidado'!#REF!,6,FALSE),2)),"")</f>
        <v/>
      </c>
      <c r="X24" s="142" t="str">
        <f t="shared" si="101"/>
        <v/>
      </c>
      <c r="Y24" s="141" t="str">
        <f>IF($Y$8="Habilitado",IF($A24="","",ROUND(VLOOKUP($A24,'Presupuesto Consolidado'!#REF!,6,FALSE),2)),"")</f>
        <v/>
      </c>
      <c r="Z24" s="142" t="str">
        <f t="shared" si="102"/>
        <v/>
      </c>
      <c r="AA24" s="141" t="str">
        <f>IF($AA$8="Habilitado",IF($A24="","",ROUND(VLOOKUP($A24,'Presupuesto Consolidado'!#REF!,6,FALSE),2)),"")</f>
        <v/>
      </c>
      <c r="AB24" s="142" t="str">
        <f t="shared" si="103"/>
        <v/>
      </c>
      <c r="AC24" s="141" t="str">
        <f>IF($AC$8="Habilitado",IF($A24="","",ROUND(VLOOKUP($A24,'Presupuesto Consolidado'!#REF!,6,FALSE),2)),"")</f>
        <v/>
      </c>
      <c r="AD24" s="142" t="str">
        <f t="shared" si="104"/>
        <v/>
      </c>
      <c r="AE24" s="141" t="str">
        <f>IF($AE$8="Habilitado",IF($A24="","",ROUND(VLOOKUP($A24,'Presupuesto Consolidado'!#REF!,6,FALSE),2)),"")</f>
        <v/>
      </c>
      <c r="AF24" s="142" t="str">
        <f t="shared" si="105"/>
        <v/>
      </c>
      <c r="AH24" s="251"/>
      <c r="AI24" s="252"/>
      <c r="AJ24" s="252"/>
    </row>
    <row r="25" spans="1:36" s="135" customFormat="1" ht="21" customHeight="1">
      <c r="A25" s="132" t="str">
        <f>+'Presupuesto Consolidado'!A61</f>
        <v>11.2.1</v>
      </c>
      <c r="B25" s="140">
        <f t="shared" si="106"/>
        <v>6255510</v>
      </c>
      <c r="C25" s="141">
        <f>IF($C$8="Habilitado",IF($A25="","",ROUND(VLOOKUP($A25,'Presupuesto Consolidado'!$A$9:$F$600,6,FALSE),2)),"")</f>
        <v>6255510</v>
      </c>
      <c r="D25" s="142">
        <f t="shared" si="107"/>
        <v>3.870967741935484</v>
      </c>
      <c r="E25" s="141" t="str">
        <f>IF($E$8="Habilitado",IF($A25="","",ROUND(VLOOKUP($A25,'Presupuesto Consolidado'!$I$9:$N$600,6,FALSE),2)),"")</f>
        <v/>
      </c>
      <c r="F25" s="142" t="str">
        <f t="shared" si="108"/>
        <v/>
      </c>
      <c r="G25" s="141" t="str">
        <f>IF($G$8="Habilitado",IF($A25="","",ROUND(VLOOKUP($A25,'Presupuesto Consolidado'!$Q$9:$V$600,6,FALSE),2)),"")</f>
        <v/>
      </c>
      <c r="H25" s="142" t="str">
        <f t="shared" si="93"/>
        <v/>
      </c>
      <c r="I25" s="141" t="str">
        <f>IF($I$8="Habilitado",IF($A25="","",ROUND(VLOOKUP($A25,'Presupuesto Consolidado'!$Y$9:$AD$600,6,FALSE),2)),"")</f>
        <v/>
      </c>
      <c r="J25" s="142" t="str">
        <f t="shared" si="94"/>
        <v/>
      </c>
      <c r="K25" s="141" t="str">
        <f>IF($K$8="Habilitado",IF($A25="","",ROUND(VLOOKUP($A25,'Presupuesto Consolidado'!#REF!,6,FALSE),2)),"")</f>
        <v/>
      </c>
      <c r="L25" s="142" t="str">
        <f t="shared" si="95"/>
        <v/>
      </c>
      <c r="M25" s="141" t="str">
        <f>IF($M$8="Habilitado",IF($A25="","",ROUND(VLOOKUP($A25,'Presupuesto Consolidado'!#REF!,6,FALSE),2)),"")</f>
        <v/>
      </c>
      <c r="N25" s="142" t="str">
        <f t="shared" si="96"/>
        <v/>
      </c>
      <c r="O25" s="141" t="str">
        <f>IF($O$8="Habilitado",IF($A25="","",ROUND(VLOOKUP($A25,'Presupuesto Consolidado'!#REF!,6,FALSE),2)),"")</f>
        <v/>
      </c>
      <c r="P25" s="142" t="str">
        <f t="shared" si="97"/>
        <v/>
      </c>
      <c r="Q25" s="141" t="str">
        <f>IF($Q$8="Habilitado",IF($A25="","",ROUND(VLOOKUP($A25,'Presupuesto Consolidado'!#REF!,6,FALSE),2)),"")</f>
        <v/>
      </c>
      <c r="R25" s="142" t="str">
        <f t="shared" si="98"/>
        <v/>
      </c>
      <c r="S25" s="141" t="str">
        <f>IF($S$8="Habilitado",IF($A25="","",ROUND(VLOOKUP($A25,'Presupuesto Consolidado'!#REF!,6,FALSE),2)),"")</f>
        <v/>
      </c>
      <c r="T25" s="142" t="str">
        <f t="shared" si="99"/>
        <v/>
      </c>
      <c r="U25" s="141" t="str">
        <f>IF($U$8="Habilitado",IF($A25="","",ROUND(VLOOKUP($A25,'Presupuesto Consolidado'!#REF!,6,FALSE),2)),"")</f>
        <v/>
      </c>
      <c r="V25" s="142" t="str">
        <f t="shared" si="100"/>
        <v/>
      </c>
      <c r="W25" s="141" t="str">
        <f>IF($W$8="Habilitado",IF($A25="","",ROUND(VLOOKUP($A25,'Presupuesto Consolidado'!#REF!,6,FALSE),2)),"")</f>
        <v/>
      </c>
      <c r="X25" s="142" t="str">
        <f t="shared" si="101"/>
        <v/>
      </c>
      <c r="Y25" s="141" t="str">
        <f>IF($Y$8="Habilitado",IF($A25="","",ROUND(VLOOKUP($A25,'Presupuesto Consolidado'!#REF!,6,FALSE),2)),"")</f>
        <v/>
      </c>
      <c r="Z25" s="142" t="str">
        <f t="shared" si="102"/>
        <v/>
      </c>
      <c r="AA25" s="141" t="str">
        <f>IF($AA$8="Habilitado",IF($A25="","",ROUND(VLOOKUP($A25,'Presupuesto Consolidado'!#REF!,6,FALSE),2)),"")</f>
        <v/>
      </c>
      <c r="AB25" s="142" t="str">
        <f t="shared" si="103"/>
        <v/>
      </c>
      <c r="AC25" s="141" t="str">
        <f>IF($AC$8="Habilitado",IF($A25="","",ROUND(VLOOKUP($A25,'Presupuesto Consolidado'!#REF!,6,FALSE),2)),"")</f>
        <v/>
      </c>
      <c r="AD25" s="142" t="str">
        <f t="shared" si="104"/>
        <v/>
      </c>
      <c r="AE25" s="141" t="str">
        <f>IF($AE$8="Habilitado",IF($A25="","",ROUND(VLOOKUP($A25,'Presupuesto Consolidado'!#REF!,6,FALSE),2)),"")</f>
        <v/>
      </c>
      <c r="AF25" s="142" t="str">
        <f t="shared" si="105"/>
        <v/>
      </c>
      <c r="AH25" s="251"/>
      <c r="AI25" s="252"/>
      <c r="AJ25" s="252"/>
    </row>
    <row r="26" spans="1:36" s="135" customFormat="1" ht="21" customHeight="1">
      <c r="A26" s="132" t="str">
        <f>+'Presupuesto Consolidado'!A62</f>
        <v>11.2.2</v>
      </c>
      <c r="B26" s="140">
        <f t="shared" si="106"/>
        <v>33518851</v>
      </c>
      <c r="C26" s="141">
        <f>IF($C$8="Habilitado",IF($A26="","",ROUND(VLOOKUP($A26,'Presupuesto Consolidado'!$A$9:$F$600,6,FALSE),2)),"")</f>
        <v>33518851</v>
      </c>
      <c r="D26" s="142">
        <f t="shared" si="107"/>
        <v>3.870967741935484</v>
      </c>
      <c r="E26" s="141" t="str">
        <f>IF($E$8="Habilitado",IF($A26="","",ROUND(VLOOKUP($A26,'Presupuesto Consolidado'!$I$9:$N$600,6,FALSE),2)),"")</f>
        <v/>
      </c>
      <c r="F26" s="142" t="str">
        <f t="shared" si="108"/>
        <v/>
      </c>
      <c r="G26" s="141" t="str">
        <f>IF($G$8="Habilitado",IF($A26="","",ROUND(VLOOKUP($A26,'Presupuesto Consolidado'!$Q$9:$V$600,6,FALSE),2)),"")</f>
        <v/>
      </c>
      <c r="H26" s="142" t="str">
        <f t="shared" si="93"/>
        <v/>
      </c>
      <c r="I26" s="141" t="str">
        <f>IF($I$8="Habilitado",IF($A26="","",ROUND(VLOOKUP($A26,'Presupuesto Consolidado'!$Y$9:$AD$600,6,FALSE),2)),"")</f>
        <v/>
      </c>
      <c r="J26" s="142" t="str">
        <f t="shared" si="94"/>
        <v/>
      </c>
      <c r="K26" s="141" t="str">
        <f>IF($K$8="Habilitado",IF($A26="","",ROUND(VLOOKUP($A26,'Presupuesto Consolidado'!#REF!,6,FALSE),2)),"")</f>
        <v/>
      </c>
      <c r="L26" s="142" t="str">
        <f t="shared" si="95"/>
        <v/>
      </c>
      <c r="M26" s="141" t="str">
        <f>IF($M$8="Habilitado",IF($A26="","",ROUND(VLOOKUP($A26,'Presupuesto Consolidado'!#REF!,6,FALSE),2)),"")</f>
        <v/>
      </c>
      <c r="N26" s="142" t="str">
        <f t="shared" si="96"/>
        <v/>
      </c>
      <c r="O26" s="141" t="str">
        <f>IF($O$8="Habilitado",IF($A26="","",ROUND(VLOOKUP($A26,'Presupuesto Consolidado'!#REF!,6,FALSE),2)),"")</f>
        <v/>
      </c>
      <c r="P26" s="142" t="str">
        <f t="shared" si="97"/>
        <v/>
      </c>
      <c r="Q26" s="141" t="str">
        <f>IF($Q$8="Habilitado",IF($A26="","",ROUND(VLOOKUP($A26,'Presupuesto Consolidado'!#REF!,6,FALSE),2)),"")</f>
        <v/>
      </c>
      <c r="R26" s="142" t="str">
        <f t="shared" si="98"/>
        <v/>
      </c>
      <c r="S26" s="141" t="str">
        <f>IF($S$8="Habilitado",IF($A26="","",ROUND(VLOOKUP($A26,'Presupuesto Consolidado'!#REF!,6,FALSE),2)),"")</f>
        <v/>
      </c>
      <c r="T26" s="142" t="str">
        <f t="shared" si="99"/>
        <v/>
      </c>
      <c r="U26" s="141" t="str">
        <f>IF($U$8="Habilitado",IF($A26="","",ROUND(VLOOKUP($A26,'Presupuesto Consolidado'!#REF!,6,FALSE),2)),"")</f>
        <v/>
      </c>
      <c r="V26" s="142" t="str">
        <f t="shared" si="100"/>
        <v/>
      </c>
      <c r="W26" s="141" t="str">
        <f>IF($W$8="Habilitado",IF($A26="","",ROUND(VLOOKUP($A26,'Presupuesto Consolidado'!#REF!,6,FALSE),2)),"")</f>
        <v/>
      </c>
      <c r="X26" s="142" t="str">
        <f t="shared" si="101"/>
        <v/>
      </c>
      <c r="Y26" s="141" t="str">
        <f>IF($Y$8="Habilitado",IF($A26="","",ROUND(VLOOKUP($A26,'Presupuesto Consolidado'!#REF!,6,FALSE),2)),"")</f>
        <v/>
      </c>
      <c r="Z26" s="142" t="str">
        <f t="shared" si="102"/>
        <v/>
      </c>
      <c r="AA26" s="141" t="str">
        <f>IF($AA$8="Habilitado",IF($A26="","",ROUND(VLOOKUP($A26,'Presupuesto Consolidado'!#REF!,6,FALSE),2)),"")</f>
        <v/>
      </c>
      <c r="AB26" s="142" t="str">
        <f t="shared" si="103"/>
        <v/>
      </c>
      <c r="AC26" s="141" t="str">
        <f>IF($AC$8="Habilitado",IF($A26="","",ROUND(VLOOKUP($A26,'Presupuesto Consolidado'!#REF!,6,FALSE),2)),"")</f>
        <v/>
      </c>
      <c r="AD26" s="142" t="str">
        <f t="shared" si="104"/>
        <v/>
      </c>
      <c r="AE26" s="141" t="str">
        <f>IF($AE$8="Habilitado",IF($A26="","",ROUND(VLOOKUP($A26,'Presupuesto Consolidado'!#REF!,6,FALSE),2)),"")</f>
        <v/>
      </c>
      <c r="AF26" s="142" t="str">
        <f t="shared" si="105"/>
        <v/>
      </c>
      <c r="AH26" s="251"/>
      <c r="AI26" s="252"/>
      <c r="AJ26" s="252"/>
    </row>
    <row r="27" spans="1:36" s="135" customFormat="1" ht="21" customHeight="1">
      <c r="A27" s="132" t="str">
        <f>+'Presupuesto Consolidado'!A63</f>
        <v>11.2.3</v>
      </c>
      <c r="B27" s="140">
        <f t="shared" ref="B27:B34" si="109">IF(A27="","",IF($K$4="Media aritmética",ROUND(AVERAGE(C27,E27,G27,I27,K27,M27,O27,Q27,S27,U27,W27,Y27,AA27,AC27,AE27),2),ROUND(_xlfn.STDEV.P(C27,E27,G27,I27,K27,M27,O27,Q27,S27,U27,W27,Y27,AA27,AC27,AE27),2)))</f>
        <v>16696400</v>
      </c>
      <c r="C27" s="141">
        <f>IF($C$8="Habilitado",IF($A27="","",ROUND(VLOOKUP($A27,'Presupuesto Consolidado'!$A$9:$F$600,6,FALSE),2)),"")</f>
        <v>16696400</v>
      </c>
      <c r="D27" s="142">
        <f t="shared" ref="D27:D34" si="110">IF($A27="","",IF(C27="","",IF($K$4="Media aritmética",(C27&lt;=$B27)*($E$5/$B$4)+(C27&gt;$B27)*0,IF(ROUND(AVERAGE($C27,$E27,$G27,$I27,$K27,$M27,$O27,$Q27,$S27,$U27,$W27,$Y27,$AA27,$AC27,$AE27),2)-$B27/2&lt;=C27,IF(ROUND(AVERAGE($C27,$E27,$G27,$I27,$K27,$M27,$O27,$Q27,$S27,$U27,$W27,$Y27,$AA27,$AC27,$AE27),2)+$B27/2&gt;C27,($E$5/$B$4),0),0))))</f>
        <v>3.870967741935484</v>
      </c>
      <c r="E27" s="141" t="str">
        <f>IF($E$8="Habilitado",IF($A27="","",ROUND(VLOOKUP($A27,'Presupuesto Consolidado'!$I$9:$N$600,6,FALSE),2)),"")</f>
        <v/>
      </c>
      <c r="F27" s="142" t="str">
        <f t="shared" ref="F27:F34" si="111">IF($A27="","",IF(E27="","",IF($K$4="Media aritmética",(E27&lt;=$B27)*($E$5/$B$4)+(E27&gt;$B27)*0,IF(ROUND(AVERAGE($C27,$E27,$G27,$I27,$K27,$M27,$O27,$Q27,$S27,$U27,$W27,$Y27,$AA27,$AC27,$AE27),2)-$B27/2&lt;=E27,IF(ROUND(AVERAGE($C27,$E27,$G27,$I27,$K27,$M27,$O27,$Q27,$S27,$U27,$W27,$Y27,$AA27,$AC27,$AE27),2)+$B27/2&gt;E27,($E$5/$B$4),0),0))))</f>
        <v/>
      </c>
      <c r="G27" s="141" t="str">
        <f>IF($G$8="Habilitado",IF($A27="","",ROUND(VLOOKUP($A27,'Presupuesto Consolidado'!$Q$9:$V$600,6,FALSE),2)),"")</f>
        <v/>
      </c>
      <c r="H27" s="142" t="str">
        <f t="shared" ref="H27:H34" si="112">IF($A27="","",IF(G27="","",IF($K$4="Media aritmética",(G27&lt;=$B27)*($E$5/$B$4)+(G27&gt;$B27)*0,IF(ROUND(AVERAGE($C27,$E27,$G27,$I27,$K27,$M27,$O27,$Q27,$S27,$U27,$W27,$Y27,$AA27,$AC27,$AE27),2)-$B27/2&lt;=G27,IF(ROUND(AVERAGE($C27,$E27,$G27,$I27,$K27,$M27,$O27,$Q27,$S27,$U27,$W27,$Y27,$AA27,$AC27,$AE27),2)+$B27/2&gt;G27,($E$5/$B$4),0),0))))</f>
        <v/>
      </c>
      <c r="I27" s="141" t="str">
        <f>IF($I$8="Habilitado",IF($A27="","",ROUND(VLOOKUP($A27,'Presupuesto Consolidado'!$Y$9:$AD$600,6,FALSE),2)),"")</f>
        <v/>
      </c>
      <c r="J27" s="142" t="str">
        <f t="shared" ref="J27:J34" si="113">IF($A27="","",IF(I27="","",IF($K$4="Media aritmética",(I27&lt;=$B27)*($E$5/$B$4)+(I27&gt;$B27)*0,IF(ROUND(AVERAGE($C27,$E27,$G27,$I27,$K27,$M27,$O27,$Q27,$S27,$U27,$W27,$Y27,$AA27,$AC27,$AE27),2)-$B27/2&lt;=I27,IF(ROUND(AVERAGE($C27,$E27,$G27,$I27,$K27,$M27,$O27,$Q27,$S27,$U27,$W27,$Y27,$AA27,$AC27,$AE27),2)+$B27/2&gt;I27,($E$5/$B$4),0),0))))</f>
        <v/>
      </c>
      <c r="K27" s="141" t="str">
        <f>IF($K$8="Habilitado",IF($A27="","",ROUND(VLOOKUP($A27,'Presupuesto Consolidado'!#REF!,6,FALSE),2)),"")</f>
        <v/>
      </c>
      <c r="L27" s="142" t="str">
        <f t="shared" ref="L27:L34" si="114">IF($A27="","",IF(K27="","",IF($K$4="Media aritmética",(K27&lt;=$B27)*($E$5/$B$4)+(K27&gt;$B27)*0,IF(ROUND(AVERAGE($C27,$E27,$G27,$I27,$K27,$M27,$O27,$Q27,$S27,$U27,$W27,$Y27,$AA27,$AC27,$AE27),2)-$B27/2&lt;=K27,IF(ROUND(AVERAGE($C27,$E27,$G27,$I27,$K27,$M27,$O27,$Q27,$S27,$U27,$W27,$Y27,$AA27,$AC27,$AE27),2)+$B27/2&gt;K27,($E$5/$B$4),0),0))))</f>
        <v/>
      </c>
      <c r="M27" s="141" t="str">
        <f>IF($M$8="Habilitado",IF($A27="","",ROUND(VLOOKUP($A27,'Presupuesto Consolidado'!#REF!,6,FALSE),2)),"")</f>
        <v/>
      </c>
      <c r="N27" s="142" t="str">
        <f t="shared" ref="N27:N34" si="115">IF($A27="","",IF(M27="","",IF($K$4="Media aritmética",(M27&lt;=$B27)*($E$5/$B$4)+(M27&gt;$B27)*0,IF(ROUND(AVERAGE($C27,$E27,$G27,$I27,$K27,$M27,$O27,$Q27,$S27,$U27,$W27,$Y27,$AA27,$AC27,$AE27),2)-$B27/2&lt;=M27,IF(ROUND(AVERAGE($C27,$E27,$G27,$I27,$K27,$M27,$O27,$Q27,$S27,$U27,$W27,$Y27,$AA27,$AC27,$AE27),2)+$B27/2&gt;M27,($E$5/$B$4),0),0))))</f>
        <v/>
      </c>
      <c r="O27" s="141" t="str">
        <f>IF($O$8="Habilitado",IF($A27="","",ROUND(VLOOKUP($A27,'Presupuesto Consolidado'!#REF!,6,FALSE),2)),"")</f>
        <v/>
      </c>
      <c r="P27" s="142" t="str">
        <f t="shared" ref="P27:P34" si="116">IF($A27="","",IF(O27="","",IF($K$4="Media aritmética",(O27&lt;=$B27)*($E$5/$B$4)+(O27&gt;$B27)*0,IF(ROUND(AVERAGE($C27,$E27,$G27,$I27,$K27,$M27,$O27,$Q27,$S27,$U27,$W27,$Y27,$AA27,$AC27,$AE27),2)-$B27/2&lt;=O27,IF(ROUND(AVERAGE($C27,$E27,$G27,$I27,$K27,$M27,$O27,$Q27,$S27,$U27,$W27,$Y27,$AA27,$AC27,$AE27),2)+$B27/2&gt;O27,($E$5/$B$4),0),0))))</f>
        <v/>
      </c>
      <c r="Q27" s="141" t="str">
        <f>IF($Q$8="Habilitado",IF($A27="","",ROUND(VLOOKUP($A27,'Presupuesto Consolidado'!#REF!,6,FALSE),2)),"")</f>
        <v/>
      </c>
      <c r="R27" s="142" t="str">
        <f t="shared" ref="R27:R34" si="117">IF($A27="","",IF(Q27="","",IF($K$4="Media aritmética",(Q27&lt;=$B27)*($E$5/$B$4)+(Q27&gt;$B27)*0,IF(ROUND(AVERAGE($C27,$E27,$G27,$I27,$K27,$M27,$O27,$Q27,$S27,$U27,$W27,$Y27,$AA27,$AC27,$AE27),2)-$B27/2&lt;=Q27,IF(ROUND(AVERAGE($C27,$E27,$G27,$I27,$K27,$M27,$O27,$Q27,$S27,$U27,$W27,$Y27,$AA27,$AC27,$AE27),2)+$B27/2&gt;Q27,($E$5/$B$4),0),0))))</f>
        <v/>
      </c>
      <c r="S27" s="141" t="str">
        <f>IF($S$8="Habilitado",IF($A27="","",ROUND(VLOOKUP($A27,'Presupuesto Consolidado'!#REF!,6,FALSE),2)),"")</f>
        <v/>
      </c>
      <c r="T27" s="142" t="str">
        <f t="shared" ref="T27:T34" si="118">IF($A27="","",IF(S27="","",IF($K$4="Media aritmética",(S27&lt;=$B27)*($E$5/$B$4)+(S27&gt;$B27)*0,IF(ROUND(AVERAGE($C27,$E27,$G27,$I27,$K27,$M27,$O27,$Q27,$S27,$U27,$W27,$Y27,$AA27,$AC27,$AE27),2)-$B27/2&lt;=S27,IF(ROUND(AVERAGE($C27,$E27,$G27,$I27,$K27,$M27,$O27,$Q27,$S27,$U27,$W27,$Y27,$AA27,$AC27,$AE27),2)+$B27/2&gt;S27,($E$5/$B$4),0),0))))</f>
        <v/>
      </c>
      <c r="U27" s="141" t="str">
        <f>IF($U$8="Habilitado",IF($A27="","",ROUND(VLOOKUP($A27,'Presupuesto Consolidado'!#REF!,6,FALSE),2)),"")</f>
        <v/>
      </c>
      <c r="V27" s="142" t="str">
        <f t="shared" ref="V27:V34" si="119">IF($A27="","",IF(U27="","",IF($K$4="Media aritmética",(U27&lt;=$B27)*($E$5/$B$4)+(U27&gt;$B27)*0,IF(ROUND(AVERAGE($C27,$E27,$G27,$I27,$K27,$M27,$O27,$Q27,$S27,$U27,$W27,$Y27,$AA27,$AC27,$AE27),2)-$B27/2&lt;=U27,IF(ROUND(AVERAGE($C27,$E27,$G27,$I27,$K27,$M27,$O27,$Q27,$S27,$U27,$W27,$Y27,$AA27,$AC27,$AE27),2)+$B27/2&gt;U27,($E$5/$B$4),0),0))))</f>
        <v/>
      </c>
      <c r="W27" s="141" t="str">
        <f>IF($W$8="Habilitado",IF($A27="","",ROUND(VLOOKUP($A27,'Presupuesto Consolidado'!#REF!,6,FALSE),2)),"")</f>
        <v/>
      </c>
      <c r="X27" s="142" t="str">
        <f t="shared" ref="X27:X34" si="120">IF($A27="","",IF(W27="","",IF($K$4="Media aritmética",(W27&lt;=$B27)*($E$5/$B$4)+(W27&gt;$B27)*0,IF(ROUND(AVERAGE($C27,$E27,$G27,$I27,$K27,$M27,$O27,$Q27,$S27,$U27,$W27,$Y27,$AA27,$AC27,$AE27),2)-$B27/2&lt;=W27,IF(ROUND(AVERAGE($C27,$E27,$G27,$I27,$K27,$M27,$O27,$Q27,$S27,$U27,$W27,$Y27,$AA27,$AC27,$AE27),2)+$B27/2&gt;W27,($E$5/$B$4),0),0))))</f>
        <v/>
      </c>
      <c r="Y27" s="141" t="str">
        <f>IF($Y$8="Habilitado",IF($A27="","",ROUND(VLOOKUP($A27,'Presupuesto Consolidado'!#REF!,6,FALSE),2)),"")</f>
        <v/>
      </c>
      <c r="Z27" s="142" t="str">
        <f t="shared" ref="Z27:Z34" si="121">IF($A27="","",IF(Y27="","",IF($K$4="Media aritmética",(Y27&lt;=$B27)*($E$5/$B$4)+(Y27&gt;$B27)*0,IF(ROUND(AVERAGE($C27,$E27,$G27,$I27,$K27,$M27,$O27,$Q27,$S27,$U27,$W27,$Y27,$AA27,$AC27,$AE27),2)-$B27/2&lt;=Y27,IF(ROUND(AVERAGE($C27,$E27,$G27,$I27,$K27,$M27,$O27,$Q27,$S27,$U27,$W27,$Y27,$AA27,$AC27,$AE27),2)+$B27/2&gt;Y27,($E$5/$B$4),0),0))))</f>
        <v/>
      </c>
      <c r="AA27" s="141" t="str">
        <f>IF($AA$8="Habilitado",IF($A27="","",ROUND(VLOOKUP($A27,'Presupuesto Consolidado'!#REF!,6,FALSE),2)),"")</f>
        <v/>
      </c>
      <c r="AB27" s="142" t="str">
        <f t="shared" ref="AB27:AB34" si="122">IF($A27="","",IF(AA27="","",IF($K$4="Media aritmética",(AA27&lt;=$B27)*($E$5/$B$4)+(AA27&gt;$B27)*0,IF(ROUND(AVERAGE($C27,$E27,$G27,$I27,$K27,$M27,$O27,$Q27,$S27,$U27,$W27,$Y27,$AA27,$AC27,$AE27),2)-$B27/2&lt;=AA27,IF(ROUND(AVERAGE($C27,$E27,$G27,$I27,$K27,$M27,$O27,$Q27,$S27,$U27,$W27,$Y27,$AA27,$AC27,$AE27),2)+$B27/2&gt;AA27,($E$5/$B$4),0),0))))</f>
        <v/>
      </c>
      <c r="AC27" s="141" t="str">
        <f>IF($AC$8="Habilitado",IF($A27="","",ROUND(VLOOKUP($A27,'Presupuesto Consolidado'!#REF!,6,FALSE),2)),"")</f>
        <v/>
      </c>
      <c r="AD27" s="142" t="str">
        <f t="shared" ref="AD27:AD34" si="123">IF($A27="","",IF(AC27="","",IF($K$4="Media aritmética",(AC27&lt;=$B27)*($E$5/$B$4)+(AC27&gt;$B27)*0,IF(ROUND(AVERAGE($C27,$E27,$G27,$I27,$K27,$M27,$O27,$Q27,$S27,$U27,$W27,$Y27,$AA27,$AC27,$AE27),2)-$B27/2&lt;=AC27,IF(ROUND(AVERAGE($C27,$E27,$G27,$I27,$K27,$M27,$O27,$Q27,$S27,$U27,$W27,$Y27,$AA27,$AC27,$AE27),2)+$B27/2&gt;AC27,($E$5/$B$4),0),0))))</f>
        <v/>
      </c>
      <c r="AE27" s="141" t="str">
        <f>IF($AE$8="Habilitado",IF($A27="","",ROUND(VLOOKUP($A27,'Presupuesto Consolidado'!#REF!,6,FALSE),2)),"")</f>
        <v/>
      </c>
      <c r="AF27" s="142" t="str">
        <f t="shared" ref="AF27:AF34" si="124">IF($A27="","",IF(AE27="","",IF($K$4="Media aritmética",(AE27&lt;=$B27)*($E$5/$B$4)+(AE27&gt;$B27)*0,IF(ROUND(AVERAGE($C27,$E27,$G27,$I27,$K27,$M27,$O27,$Q27,$S27,$U27,$W27,$Y27,$AA27,$AC27,$AE27),2)-$B27/2&lt;=AE27,IF(ROUND(AVERAGE($C27,$E27,$G27,$I27,$K27,$M27,$O27,$Q27,$S27,$U27,$W27,$Y27,$AA27,$AC27,$AE27),2)+$B27/2&gt;AE27,($E$5/$B$4),0),0))))</f>
        <v/>
      </c>
      <c r="AH27" s="251"/>
      <c r="AI27" s="252"/>
      <c r="AJ27" s="252"/>
    </row>
    <row r="28" spans="1:36" s="135" customFormat="1" ht="21" customHeight="1">
      <c r="A28" s="132" t="str">
        <f>+'Presupuesto Consolidado'!A64</f>
        <v>11.2.4</v>
      </c>
      <c r="B28" s="140">
        <f t="shared" si="109"/>
        <v>6255510</v>
      </c>
      <c r="C28" s="141">
        <f>IF($C$8="Habilitado",IF($A28="","",ROUND(VLOOKUP($A28,'Presupuesto Consolidado'!$A$9:$F$600,6,FALSE),2)),"")</f>
        <v>6255510</v>
      </c>
      <c r="D28" s="142">
        <f t="shared" si="110"/>
        <v>3.870967741935484</v>
      </c>
      <c r="E28" s="141" t="str">
        <f>IF($E$8="Habilitado",IF($A28="","",ROUND(VLOOKUP($A28,'Presupuesto Consolidado'!$I$9:$N$600,6,FALSE),2)),"")</f>
        <v/>
      </c>
      <c r="F28" s="142" t="str">
        <f t="shared" si="111"/>
        <v/>
      </c>
      <c r="G28" s="141" t="str">
        <f>IF($G$8="Habilitado",IF($A28="","",ROUND(VLOOKUP($A28,'Presupuesto Consolidado'!$Q$9:$V$600,6,FALSE),2)),"")</f>
        <v/>
      </c>
      <c r="H28" s="142" t="str">
        <f t="shared" si="112"/>
        <v/>
      </c>
      <c r="I28" s="141" t="str">
        <f>IF($I$8="Habilitado",IF($A28="","",ROUND(VLOOKUP($A28,'Presupuesto Consolidado'!$Y$9:$AD$600,6,FALSE),2)),"")</f>
        <v/>
      </c>
      <c r="J28" s="142" t="str">
        <f t="shared" si="113"/>
        <v/>
      </c>
      <c r="K28" s="141" t="str">
        <f>IF($K$8="Habilitado",IF($A28="","",ROUND(VLOOKUP($A28,'Presupuesto Consolidado'!#REF!,6,FALSE),2)),"")</f>
        <v/>
      </c>
      <c r="L28" s="142" t="str">
        <f t="shared" si="114"/>
        <v/>
      </c>
      <c r="M28" s="141" t="str">
        <f>IF($M$8="Habilitado",IF($A28="","",ROUND(VLOOKUP($A28,'Presupuesto Consolidado'!#REF!,6,FALSE),2)),"")</f>
        <v/>
      </c>
      <c r="N28" s="142" t="str">
        <f t="shared" si="115"/>
        <v/>
      </c>
      <c r="O28" s="141" t="str">
        <f>IF($O$8="Habilitado",IF($A28="","",ROUND(VLOOKUP($A28,'Presupuesto Consolidado'!#REF!,6,FALSE),2)),"")</f>
        <v/>
      </c>
      <c r="P28" s="142" t="str">
        <f t="shared" si="116"/>
        <v/>
      </c>
      <c r="Q28" s="141" t="str">
        <f>IF($Q$8="Habilitado",IF($A28="","",ROUND(VLOOKUP($A28,'Presupuesto Consolidado'!#REF!,6,FALSE),2)),"")</f>
        <v/>
      </c>
      <c r="R28" s="142" t="str">
        <f t="shared" si="117"/>
        <v/>
      </c>
      <c r="S28" s="141" t="str">
        <f>IF($S$8="Habilitado",IF($A28="","",ROUND(VLOOKUP($A28,'Presupuesto Consolidado'!#REF!,6,FALSE),2)),"")</f>
        <v/>
      </c>
      <c r="T28" s="142" t="str">
        <f t="shared" si="118"/>
        <v/>
      </c>
      <c r="U28" s="141" t="str">
        <f>IF($U$8="Habilitado",IF($A28="","",ROUND(VLOOKUP($A28,'Presupuesto Consolidado'!#REF!,6,FALSE),2)),"")</f>
        <v/>
      </c>
      <c r="V28" s="142" t="str">
        <f t="shared" si="119"/>
        <v/>
      </c>
      <c r="W28" s="141" t="str">
        <f>IF($W$8="Habilitado",IF($A28="","",ROUND(VLOOKUP($A28,'Presupuesto Consolidado'!#REF!,6,FALSE),2)),"")</f>
        <v/>
      </c>
      <c r="X28" s="142" t="str">
        <f t="shared" si="120"/>
        <v/>
      </c>
      <c r="Y28" s="141" t="str">
        <f>IF($Y$8="Habilitado",IF($A28="","",ROUND(VLOOKUP($A28,'Presupuesto Consolidado'!#REF!,6,FALSE),2)),"")</f>
        <v/>
      </c>
      <c r="Z28" s="142" t="str">
        <f t="shared" si="121"/>
        <v/>
      </c>
      <c r="AA28" s="141" t="str">
        <f>IF($AA$8="Habilitado",IF($A28="","",ROUND(VLOOKUP($A28,'Presupuesto Consolidado'!#REF!,6,FALSE),2)),"")</f>
        <v/>
      </c>
      <c r="AB28" s="142" t="str">
        <f t="shared" si="122"/>
        <v/>
      </c>
      <c r="AC28" s="141" t="str">
        <f>IF($AC$8="Habilitado",IF($A28="","",ROUND(VLOOKUP($A28,'Presupuesto Consolidado'!#REF!,6,FALSE),2)),"")</f>
        <v/>
      </c>
      <c r="AD28" s="142" t="str">
        <f t="shared" si="123"/>
        <v/>
      </c>
      <c r="AE28" s="141" t="str">
        <f>IF($AE$8="Habilitado",IF($A28="","",ROUND(VLOOKUP($A28,'Presupuesto Consolidado'!#REF!,6,FALSE),2)),"")</f>
        <v/>
      </c>
      <c r="AF28" s="142" t="str">
        <f t="shared" si="124"/>
        <v/>
      </c>
      <c r="AH28" s="251"/>
      <c r="AI28" s="252"/>
      <c r="AJ28" s="252"/>
    </row>
    <row r="29" spans="1:36" s="135" customFormat="1" ht="21" customHeight="1">
      <c r="A29" s="132" t="str">
        <f>+'Presupuesto Consolidado'!A65</f>
        <v>11.2.5</v>
      </c>
      <c r="B29" s="140">
        <f t="shared" si="109"/>
        <v>68639884</v>
      </c>
      <c r="C29" s="141">
        <f>IF($C$8="Habilitado",IF($A29="","",ROUND(VLOOKUP($A29,'Presupuesto Consolidado'!$A$9:$F$600,6,FALSE),2)),"")</f>
        <v>68639884</v>
      </c>
      <c r="D29" s="142">
        <f t="shared" si="110"/>
        <v>3.870967741935484</v>
      </c>
      <c r="E29" s="141" t="str">
        <f>IF($E$8="Habilitado",IF($A29="","",ROUND(VLOOKUP($A29,'Presupuesto Consolidado'!$I$9:$N$600,6,FALSE),2)),"")</f>
        <v/>
      </c>
      <c r="F29" s="142" t="str">
        <f t="shared" si="111"/>
        <v/>
      </c>
      <c r="G29" s="141" t="str">
        <f>IF($G$8="Habilitado",IF($A29="","",ROUND(VLOOKUP($A29,'Presupuesto Consolidado'!$Q$9:$V$600,6,FALSE),2)),"")</f>
        <v/>
      </c>
      <c r="H29" s="142" t="str">
        <f t="shared" si="112"/>
        <v/>
      </c>
      <c r="I29" s="141" t="str">
        <f>IF($I$8="Habilitado",IF($A29="","",ROUND(VLOOKUP($A29,'Presupuesto Consolidado'!$Y$9:$AD$600,6,FALSE),2)),"")</f>
        <v/>
      </c>
      <c r="J29" s="142" t="str">
        <f t="shared" si="113"/>
        <v/>
      </c>
      <c r="K29" s="141" t="str">
        <f>IF($K$8="Habilitado",IF($A29="","",ROUND(VLOOKUP($A29,'Presupuesto Consolidado'!#REF!,6,FALSE),2)),"")</f>
        <v/>
      </c>
      <c r="L29" s="142" t="str">
        <f t="shared" si="114"/>
        <v/>
      </c>
      <c r="M29" s="141" t="str">
        <f>IF($M$8="Habilitado",IF($A29="","",ROUND(VLOOKUP($A29,'Presupuesto Consolidado'!#REF!,6,FALSE),2)),"")</f>
        <v/>
      </c>
      <c r="N29" s="142" t="str">
        <f t="shared" si="115"/>
        <v/>
      </c>
      <c r="O29" s="141" t="str">
        <f>IF($O$8="Habilitado",IF($A29="","",ROUND(VLOOKUP($A29,'Presupuesto Consolidado'!#REF!,6,FALSE),2)),"")</f>
        <v/>
      </c>
      <c r="P29" s="142" t="str">
        <f t="shared" si="116"/>
        <v/>
      </c>
      <c r="Q29" s="141" t="str">
        <f>IF($Q$8="Habilitado",IF($A29="","",ROUND(VLOOKUP($A29,'Presupuesto Consolidado'!#REF!,6,FALSE),2)),"")</f>
        <v/>
      </c>
      <c r="R29" s="142" t="str">
        <f t="shared" si="117"/>
        <v/>
      </c>
      <c r="S29" s="141" t="str">
        <f>IF($S$8="Habilitado",IF($A29="","",ROUND(VLOOKUP($A29,'Presupuesto Consolidado'!#REF!,6,FALSE),2)),"")</f>
        <v/>
      </c>
      <c r="T29" s="142" t="str">
        <f t="shared" si="118"/>
        <v/>
      </c>
      <c r="U29" s="141" t="str">
        <f>IF($U$8="Habilitado",IF($A29="","",ROUND(VLOOKUP($A29,'Presupuesto Consolidado'!#REF!,6,FALSE),2)),"")</f>
        <v/>
      </c>
      <c r="V29" s="142" t="str">
        <f t="shared" si="119"/>
        <v/>
      </c>
      <c r="W29" s="141" t="str">
        <f>IF($W$8="Habilitado",IF($A29="","",ROUND(VLOOKUP($A29,'Presupuesto Consolidado'!#REF!,6,FALSE),2)),"")</f>
        <v/>
      </c>
      <c r="X29" s="142" t="str">
        <f t="shared" si="120"/>
        <v/>
      </c>
      <c r="Y29" s="141" t="str">
        <f>IF($Y$8="Habilitado",IF($A29="","",ROUND(VLOOKUP($A29,'Presupuesto Consolidado'!#REF!,6,FALSE),2)),"")</f>
        <v/>
      </c>
      <c r="Z29" s="142" t="str">
        <f t="shared" si="121"/>
        <v/>
      </c>
      <c r="AA29" s="141" t="str">
        <f>IF($AA$8="Habilitado",IF($A29="","",ROUND(VLOOKUP($A29,'Presupuesto Consolidado'!#REF!,6,FALSE),2)),"")</f>
        <v/>
      </c>
      <c r="AB29" s="142" t="str">
        <f t="shared" si="122"/>
        <v/>
      </c>
      <c r="AC29" s="141" t="str">
        <f>IF($AC$8="Habilitado",IF($A29="","",ROUND(VLOOKUP($A29,'Presupuesto Consolidado'!#REF!,6,FALSE),2)),"")</f>
        <v/>
      </c>
      <c r="AD29" s="142" t="str">
        <f t="shared" si="123"/>
        <v/>
      </c>
      <c r="AE29" s="141" t="str">
        <f>IF($AE$8="Habilitado",IF($A29="","",ROUND(VLOOKUP($A29,'Presupuesto Consolidado'!#REF!,6,FALSE),2)),"")</f>
        <v/>
      </c>
      <c r="AF29" s="142" t="str">
        <f t="shared" si="124"/>
        <v/>
      </c>
      <c r="AH29" s="251"/>
      <c r="AI29" s="252"/>
      <c r="AJ29" s="252"/>
    </row>
    <row r="30" spans="1:36" s="135" customFormat="1" ht="21" customHeight="1">
      <c r="A30" s="132" t="str">
        <f>+'Presupuesto Consolidado'!A66</f>
        <v>11.2.6</v>
      </c>
      <c r="B30" s="140">
        <f t="shared" si="109"/>
        <v>3035490</v>
      </c>
      <c r="C30" s="141">
        <f>IF($C$8="Habilitado",IF($A30="","",ROUND(VLOOKUP($A30,'Presupuesto Consolidado'!$A$9:$F$600,6,FALSE),2)),"")</f>
        <v>3035490</v>
      </c>
      <c r="D30" s="142">
        <f t="shared" si="110"/>
        <v>3.870967741935484</v>
      </c>
      <c r="E30" s="141" t="str">
        <f>IF($E$8="Habilitado",IF($A30="","",ROUND(VLOOKUP($A30,'Presupuesto Consolidado'!$I$9:$N$600,6,FALSE),2)),"")</f>
        <v/>
      </c>
      <c r="F30" s="142" t="str">
        <f t="shared" si="111"/>
        <v/>
      </c>
      <c r="G30" s="141" t="str">
        <f>IF($G$8="Habilitado",IF($A30="","",ROUND(VLOOKUP($A30,'Presupuesto Consolidado'!$Q$9:$V$600,6,FALSE),2)),"")</f>
        <v/>
      </c>
      <c r="H30" s="142" t="str">
        <f t="shared" si="112"/>
        <v/>
      </c>
      <c r="I30" s="141" t="str">
        <f>IF($I$8="Habilitado",IF($A30="","",ROUND(VLOOKUP($A30,'Presupuesto Consolidado'!$Y$9:$AD$600,6,FALSE),2)),"")</f>
        <v/>
      </c>
      <c r="J30" s="142" t="str">
        <f t="shared" si="113"/>
        <v/>
      </c>
      <c r="K30" s="141" t="str">
        <f>IF($K$8="Habilitado",IF($A30="","",ROUND(VLOOKUP($A30,'Presupuesto Consolidado'!#REF!,6,FALSE),2)),"")</f>
        <v/>
      </c>
      <c r="L30" s="142" t="str">
        <f t="shared" si="114"/>
        <v/>
      </c>
      <c r="M30" s="141" t="str">
        <f>IF($M$8="Habilitado",IF($A30="","",ROUND(VLOOKUP($A30,'Presupuesto Consolidado'!#REF!,6,FALSE),2)),"")</f>
        <v/>
      </c>
      <c r="N30" s="142" t="str">
        <f t="shared" si="115"/>
        <v/>
      </c>
      <c r="O30" s="141" t="str">
        <f>IF($O$8="Habilitado",IF($A30="","",ROUND(VLOOKUP($A30,'Presupuesto Consolidado'!#REF!,6,FALSE),2)),"")</f>
        <v/>
      </c>
      <c r="P30" s="142" t="str">
        <f t="shared" si="116"/>
        <v/>
      </c>
      <c r="Q30" s="141" t="str">
        <f>IF($Q$8="Habilitado",IF($A30="","",ROUND(VLOOKUP($A30,'Presupuesto Consolidado'!#REF!,6,FALSE),2)),"")</f>
        <v/>
      </c>
      <c r="R30" s="142" t="str">
        <f t="shared" si="117"/>
        <v/>
      </c>
      <c r="S30" s="141" t="str">
        <f>IF($S$8="Habilitado",IF($A30="","",ROUND(VLOOKUP($A30,'Presupuesto Consolidado'!#REF!,6,FALSE),2)),"")</f>
        <v/>
      </c>
      <c r="T30" s="142" t="str">
        <f t="shared" si="118"/>
        <v/>
      </c>
      <c r="U30" s="141" t="str">
        <f>IF($U$8="Habilitado",IF($A30="","",ROUND(VLOOKUP($A30,'Presupuesto Consolidado'!#REF!,6,FALSE),2)),"")</f>
        <v/>
      </c>
      <c r="V30" s="142" t="str">
        <f t="shared" si="119"/>
        <v/>
      </c>
      <c r="W30" s="141" t="str">
        <f>IF($W$8="Habilitado",IF($A30="","",ROUND(VLOOKUP($A30,'Presupuesto Consolidado'!#REF!,6,FALSE),2)),"")</f>
        <v/>
      </c>
      <c r="X30" s="142" t="str">
        <f t="shared" si="120"/>
        <v/>
      </c>
      <c r="Y30" s="141" t="str">
        <f>IF($Y$8="Habilitado",IF($A30="","",ROUND(VLOOKUP($A30,'Presupuesto Consolidado'!#REF!,6,FALSE),2)),"")</f>
        <v/>
      </c>
      <c r="Z30" s="142" t="str">
        <f t="shared" si="121"/>
        <v/>
      </c>
      <c r="AA30" s="141" t="str">
        <f>IF($AA$8="Habilitado",IF($A30="","",ROUND(VLOOKUP($A30,'Presupuesto Consolidado'!#REF!,6,FALSE),2)),"")</f>
        <v/>
      </c>
      <c r="AB30" s="142" t="str">
        <f t="shared" si="122"/>
        <v/>
      </c>
      <c r="AC30" s="141" t="str">
        <f>IF($AC$8="Habilitado",IF($A30="","",ROUND(VLOOKUP($A30,'Presupuesto Consolidado'!#REF!,6,FALSE),2)),"")</f>
        <v/>
      </c>
      <c r="AD30" s="142" t="str">
        <f t="shared" si="123"/>
        <v/>
      </c>
      <c r="AE30" s="141" t="str">
        <f>IF($AE$8="Habilitado",IF($A30="","",ROUND(VLOOKUP($A30,'Presupuesto Consolidado'!#REF!,6,FALSE),2)),"")</f>
        <v/>
      </c>
      <c r="AF30" s="142" t="str">
        <f t="shared" si="124"/>
        <v/>
      </c>
      <c r="AH30" s="251"/>
      <c r="AI30" s="252"/>
      <c r="AJ30" s="252"/>
    </row>
    <row r="31" spans="1:36" s="135" customFormat="1" ht="21" customHeight="1">
      <c r="A31" s="132" t="str">
        <f>+'Presupuesto Consolidado'!A78</f>
        <v>11.6.1</v>
      </c>
      <c r="B31" s="140">
        <f t="shared" si="109"/>
        <v>26833500</v>
      </c>
      <c r="C31" s="141">
        <f>IF($C$8="Habilitado",IF($A31="","",ROUND(VLOOKUP($A31,'Presupuesto Consolidado'!$A$9:$F$600,6,FALSE),2)),"")</f>
        <v>26833500</v>
      </c>
      <c r="D31" s="142">
        <f t="shared" si="110"/>
        <v>3.870967741935484</v>
      </c>
      <c r="E31" s="141" t="str">
        <f>IF($E$8="Habilitado",IF($A31="","",ROUND(VLOOKUP($A31,'Presupuesto Consolidado'!$I$9:$N$600,6,FALSE),2)),"")</f>
        <v/>
      </c>
      <c r="F31" s="142" t="str">
        <f t="shared" si="111"/>
        <v/>
      </c>
      <c r="G31" s="141" t="str">
        <f>IF($G$8="Habilitado",IF($A31="","",ROUND(VLOOKUP($A31,'Presupuesto Consolidado'!$Q$9:$V$600,6,FALSE),2)),"")</f>
        <v/>
      </c>
      <c r="H31" s="142" t="str">
        <f t="shared" si="112"/>
        <v/>
      </c>
      <c r="I31" s="141" t="str">
        <f>IF($I$8="Habilitado",IF($A31="","",ROUND(VLOOKUP($A31,'Presupuesto Consolidado'!$Y$9:$AD$600,6,FALSE),2)),"")</f>
        <v/>
      </c>
      <c r="J31" s="142" t="str">
        <f t="shared" si="113"/>
        <v/>
      </c>
      <c r="K31" s="141" t="str">
        <f>IF($K$8="Habilitado",IF($A31="","",ROUND(VLOOKUP($A31,'Presupuesto Consolidado'!#REF!,6,FALSE),2)),"")</f>
        <v/>
      </c>
      <c r="L31" s="142" t="str">
        <f t="shared" si="114"/>
        <v/>
      </c>
      <c r="M31" s="141" t="str">
        <f>IF($M$8="Habilitado",IF($A31="","",ROUND(VLOOKUP($A31,'Presupuesto Consolidado'!#REF!,6,FALSE),2)),"")</f>
        <v/>
      </c>
      <c r="N31" s="142" t="str">
        <f t="shared" si="115"/>
        <v/>
      </c>
      <c r="O31" s="141" t="str">
        <f>IF($O$8="Habilitado",IF($A31="","",ROUND(VLOOKUP($A31,'Presupuesto Consolidado'!#REF!,6,FALSE),2)),"")</f>
        <v/>
      </c>
      <c r="P31" s="142" t="str">
        <f t="shared" si="116"/>
        <v/>
      </c>
      <c r="Q31" s="141" t="str">
        <f>IF($Q$8="Habilitado",IF($A31="","",ROUND(VLOOKUP($A31,'Presupuesto Consolidado'!#REF!,6,FALSE),2)),"")</f>
        <v/>
      </c>
      <c r="R31" s="142" t="str">
        <f t="shared" si="117"/>
        <v/>
      </c>
      <c r="S31" s="141" t="str">
        <f>IF($S$8="Habilitado",IF($A31="","",ROUND(VLOOKUP($A31,'Presupuesto Consolidado'!#REF!,6,FALSE),2)),"")</f>
        <v/>
      </c>
      <c r="T31" s="142" t="str">
        <f t="shared" si="118"/>
        <v/>
      </c>
      <c r="U31" s="141" t="str">
        <f>IF($U$8="Habilitado",IF($A31="","",ROUND(VLOOKUP($A31,'Presupuesto Consolidado'!#REF!,6,FALSE),2)),"")</f>
        <v/>
      </c>
      <c r="V31" s="142" t="str">
        <f t="shared" si="119"/>
        <v/>
      </c>
      <c r="W31" s="141" t="str">
        <f>IF($W$8="Habilitado",IF($A31="","",ROUND(VLOOKUP($A31,'Presupuesto Consolidado'!#REF!,6,FALSE),2)),"")</f>
        <v/>
      </c>
      <c r="X31" s="142" t="str">
        <f t="shared" si="120"/>
        <v/>
      </c>
      <c r="Y31" s="141" t="str">
        <f>IF($Y$8="Habilitado",IF($A31="","",ROUND(VLOOKUP($A31,'Presupuesto Consolidado'!#REF!,6,FALSE),2)),"")</f>
        <v/>
      </c>
      <c r="Z31" s="142" t="str">
        <f t="shared" si="121"/>
        <v/>
      </c>
      <c r="AA31" s="141" t="str">
        <f>IF($AA$8="Habilitado",IF($A31="","",ROUND(VLOOKUP($A31,'Presupuesto Consolidado'!#REF!,6,FALSE),2)),"")</f>
        <v/>
      </c>
      <c r="AB31" s="142" t="str">
        <f t="shared" si="122"/>
        <v/>
      </c>
      <c r="AC31" s="141" t="str">
        <f>IF($AC$8="Habilitado",IF($A31="","",ROUND(VLOOKUP($A31,'Presupuesto Consolidado'!#REF!,6,FALSE),2)),"")</f>
        <v/>
      </c>
      <c r="AD31" s="142" t="str">
        <f t="shared" si="123"/>
        <v/>
      </c>
      <c r="AE31" s="141" t="str">
        <f>IF($AE$8="Habilitado",IF($A31="","",ROUND(VLOOKUP($A31,'Presupuesto Consolidado'!#REF!,6,FALSE),2)),"")</f>
        <v/>
      </c>
      <c r="AF31" s="142" t="str">
        <f t="shared" si="124"/>
        <v/>
      </c>
      <c r="AH31" s="251"/>
      <c r="AI31" s="252"/>
      <c r="AJ31" s="252"/>
    </row>
    <row r="32" spans="1:36" s="135" customFormat="1" ht="21" customHeight="1">
      <c r="A32" s="132" t="str">
        <f>+'Presupuesto Consolidado'!A80</f>
        <v>11.7.1</v>
      </c>
      <c r="B32" s="140">
        <f t="shared" si="109"/>
        <v>4923056</v>
      </c>
      <c r="C32" s="141">
        <f>IF($C$8="Habilitado",IF($A32="","",ROUND(VLOOKUP($A32,'Presupuesto Consolidado'!$A$9:$F$600,6,FALSE),2)),"")</f>
        <v>4923056</v>
      </c>
      <c r="D32" s="142">
        <f t="shared" si="110"/>
        <v>3.870967741935484</v>
      </c>
      <c r="E32" s="141" t="str">
        <f>IF($E$8="Habilitado",IF($A32="","",ROUND(VLOOKUP($A32,'Presupuesto Consolidado'!$I$9:$N$600,6,FALSE),2)),"")</f>
        <v/>
      </c>
      <c r="F32" s="142" t="str">
        <f t="shared" si="111"/>
        <v/>
      </c>
      <c r="G32" s="141" t="str">
        <f>IF($G$8="Habilitado",IF($A32="","",ROUND(VLOOKUP($A32,'Presupuesto Consolidado'!$Q$9:$V$600,6,FALSE),2)),"")</f>
        <v/>
      </c>
      <c r="H32" s="142" t="str">
        <f t="shared" si="112"/>
        <v/>
      </c>
      <c r="I32" s="141" t="str">
        <f>IF($I$8="Habilitado",IF($A32="","",ROUND(VLOOKUP($A32,'Presupuesto Consolidado'!$Y$9:$AD$600,6,FALSE),2)),"")</f>
        <v/>
      </c>
      <c r="J32" s="142" t="str">
        <f t="shared" si="113"/>
        <v/>
      </c>
      <c r="K32" s="141" t="str">
        <f>IF($K$8="Habilitado",IF($A32="","",ROUND(VLOOKUP($A32,'Presupuesto Consolidado'!#REF!,6,FALSE),2)),"")</f>
        <v/>
      </c>
      <c r="L32" s="142" t="str">
        <f t="shared" si="114"/>
        <v/>
      </c>
      <c r="M32" s="141" t="str">
        <f>IF($M$8="Habilitado",IF($A32="","",ROUND(VLOOKUP($A32,'Presupuesto Consolidado'!#REF!,6,FALSE),2)),"")</f>
        <v/>
      </c>
      <c r="N32" s="142" t="str">
        <f t="shared" si="115"/>
        <v/>
      </c>
      <c r="O32" s="141" t="str">
        <f>IF($O$8="Habilitado",IF($A32="","",ROUND(VLOOKUP($A32,'Presupuesto Consolidado'!#REF!,6,FALSE),2)),"")</f>
        <v/>
      </c>
      <c r="P32" s="142" t="str">
        <f t="shared" si="116"/>
        <v/>
      </c>
      <c r="Q32" s="141" t="str">
        <f>IF($Q$8="Habilitado",IF($A32="","",ROUND(VLOOKUP($A32,'Presupuesto Consolidado'!#REF!,6,FALSE),2)),"")</f>
        <v/>
      </c>
      <c r="R32" s="142" t="str">
        <f t="shared" si="117"/>
        <v/>
      </c>
      <c r="S32" s="141" t="str">
        <f>IF($S$8="Habilitado",IF($A32="","",ROUND(VLOOKUP($A32,'Presupuesto Consolidado'!#REF!,6,FALSE),2)),"")</f>
        <v/>
      </c>
      <c r="T32" s="142" t="str">
        <f t="shared" si="118"/>
        <v/>
      </c>
      <c r="U32" s="141" t="str">
        <f>IF($U$8="Habilitado",IF($A32="","",ROUND(VLOOKUP($A32,'Presupuesto Consolidado'!#REF!,6,FALSE),2)),"")</f>
        <v/>
      </c>
      <c r="V32" s="142" t="str">
        <f t="shared" si="119"/>
        <v/>
      </c>
      <c r="W32" s="141" t="str">
        <f>IF($W$8="Habilitado",IF($A32="","",ROUND(VLOOKUP($A32,'Presupuesto Consolidado'!#REF!,6,FALSE),2)),"")</f>
        <v/>
      </c>
      <c r="X32" s="142" t="str">
        <f t="shared" si="120"/>
        <v/>
      </c>
      <c r="Y32" s="141" t="str">
        <f>IF($Y$8="Habilitado",IF($A32="","",ROUND(VLOOKUP($A32,'Presupuesto Consolidado'!#REF!,6,FALSE),2)),"")</f>
        <v/>
      </c>
      <c r="Z32" s="142" t="str">
        <f t="shared" si="121"/>
        <v/>
      </c>
      <c r="AA32" s="141" t="str">
        <f>IF($AA$8="Habilitado",IF($A32="","",ROUND(VLOOKUP($A32,'Presupuesto Consolidado'!#REF!,6,FALSE),2)),"")</f>
        <v/>
      </c>
      <c r="AB32" s="142" t="str">
        <f t="shared" si="122"/>
        <v/>
      </c>
      <c r="AC32" s="141" t="str">
        <f>IF($AC$8="Habilitado",IF($A32="","",ROUND(VLOOKUP($A32,'Presupuesto Consolidado'!#REF!,6,FALSE),2)),"")</f>
        <v/>
      </c>
      <c r="AD32" s="142" t="str">
        <f t="shared" si="123"/>
        <v/>
      </c>
      <c r="AE32" s="141" t="str">
        <f>IF($AE$8="Habilitado",IF($A32="","",ROUND(VLOOKUP($A32,'Presupuesto Consolidado'!#REF!,6,FALSE),2)),"")</f>
        <v/>
      </c>
      <c r="AF32" s="142" t="str">
        <f t="shared" si="124"/>
        <v/>
      </c>
      <c r="AH32" s="251"/>
      <c r="AI32" s="252"/>
      <c r="AJ32" s="252"/>
    </row>
    <row r="33" spans="1:36" s="135" customFormat="1" ht="21" customHeight="1">
      <c r="A33" s="132" t="str">
        <f>+'Presupuesto Consolidado'!A110</f>
        <v>12.3.6</v>
      </c>
      <c r="B33" s="140">
        <f t="shared" si="109"/>
        <v>9702780</v>
      </c>
      <c r="C33" s="141">
        <f>IF($C$8="Habilitado",IF($A33="","",ROUND(VLOOKUP($A33,'Presupuesto Consolidado'!$A$9:$F$600,6,FALSE),2)),"")</f>
        <v>9702780</v>
      </c>
      <c r="D33" s="142">
        <f t="shared" si="110"/>
        <v>3.870967741935484</v>
      </c>
      <c r="E33" s="141" t="str">
        <f>IF($E$8="Habilitado",IF($A33="","",ROUND(VLOOKUP($A33,'Presupuesto Consolidado'!$I$9:$N$600,6,FALSE),2)),"")</f>
        <v/>
      </c>
      <c r="F33" s="142" t="str">
        <f t="shared" si="111"/>
        <v/>
      </c>
      <c r="G33" s="141" t="str">
        <f>IF($G$8="Habilitado",IF($A33="","",ROUND(VLOOKUP($A33,'Presupuesto Consolidado'!$Q$9:$V$600,6,FALSE),2)),"")</f>
        <v/>
      </c>
      <c r="H33" s="142" t="str">
        <f t="shared" si="112"/>
        <v/>
      </c>
      <c r="I33" s="141" t="str">
        <f>IF($I$8="Habilitado",IF($A33="","",ROUND(VLOOKUP($A33,'Presupuesto Consolidado'!$Y$9:$AD$600,6,FALSE),2)),"")</f>
        <v/>
      </c>
      <c r="J33" s="142" t="str">
        <f t="shared" si="113"/>
        <v/>
      </c>
      <c r="K33" s="141" t="str">
        <f>IF($K$8="Habilitado",IF($A33="","",ROUND(VLOOKUP($A33,'Presupuesto Consolidado'!#REF!,6,FALSE),2)),"")</f>
        <v/>
      </c>
      <c r="L33" s="142" t="str">
        <f t="shared" si="114"/>
        <v/>
      </c>
      <c r="M33" s="141" t="str">
        <f>IF($M$8="Habilitado",IF($A33="","",ROUND(VLOOKUP($A33,'Presupuesto Consolidado'!#REF!,6,FALSE),2)),"")</f>
        <v/>
      </c>
      <c r="N33" s="142" t="str">
        <f t="shared" si="115"/>
        <v/>
      </c>
      <c r="O33" s="141" t="str">
        <f>IF($O$8="Habilitado",IF($A33="","",ROUND(VLOOKUP($A33,'Presupuesto Consolidado'!#REF!,6,FALSE),2)),"")</f>
        <v/>
      </c>
      <c r="P33" s="142" t="str">
        <f t="shared" si="116"/>
        <v/>
      </c>
      <c r="Q33" s="141" t="str">
        <f>IF($Q$8="Habilitado",IF($A33="","",ROUND(VLOOKUP($A33,'Presupuesto Consolidado'!#REF!,6,FALSE),2)),"")</f>
        <v/>
      </c>
      <c r="R33" s="142" t="str">
        <f t="shared" si="117"/>
        <v/>
      </c>
      <c r="S33" s="141" t="str">
        <f>IF($S$8="Habilitado",IF($A33="","",ROUND(VLOOKUP($A33,'Presupuesto Consolidado'!#REF!,6,FALSE),2)),"")</f>
        <v/>
      </c>
      <c r="T33" s="142" t="str">
        <f t="shared" si="118"/>
        <v/>
      </c>
      <c r="U33" s="141" t="str">
        <f>IF($U$8="Habilitado",IF($A33="","",ROUND(VLOOKUP($A33,'Presupuesto Consolidado'!#REF!,6,FALSE),2)),"")</f>
        <v/>
      </c>
      <c r="V33" s="142" t="str">
        <f t="shared" si="119"/>
        <v/>
      </c>
      <c r="W33" s="141" t="str">
        <f>IF($W$8="Habilitado",IF($A33="","",ROUND(VLOOKUP($A33,'Presupuesto Consolidado'!#REF!,6,FALSE),2)),"")</f>
        <v/>
      </c>
      <c r="X33" s="142" t="str">
        <f t="shared" si="120"/>
        <v/>
      </c>
      <c r="Y33" s="141" t="str">
        <f>IF($Y$8="Habilitado",IF($A33="","",ROUND(VLOOKUP($A33,'Presupuesto Consolidado'!#REF!,6,FALSE),2)),"")</f>
        <v/>
      </c>
      <c r="Z33" s="142" t="str">
        <f t="shared" si="121"/>
        <v/>
      </c>
      <c r="AA33" s="141" t="str">
        <f>IF($AA$8="Habilitado",IF($A33="","",ROUND(VLOOKUP($A33,'Presupuesto Consolidado'!#REF!,6,FALSE),2)),"")</f>
        <v/>
      </c>
      <c r="AB33" s="142" t="str">
        <f t="shared" si="122"/>
        <v/>
      </c>
      <c r="AC33" s="141" t="str">
        <f>IF($AC$8="Habilitado",IF($A33="","",ROUND(VLOOKUP($A33,'Presupuesto Consolidado'!#REF!,6,FALSE),2)),"")</f>
        <v/>
      </c>
      <c r="AD33" s="142" t="str">
        <f t="shared" si="123"/>
        <v/>
      </c>
      <c r="AE33" s="141" t="str">
        <f>IF($AE$8="Habilitado",IF($A33="","",ROUND(VLOOKUP($A33,'Presupuesto Consolidado'!#REF!,6,FALSE),2)),"")</f>
        <v/>
      </c>
      <c r="AF33" s="142" t="str">
        <f t="shared" si="124"/>
        <v/>
      </c>
      <c r="AH33" s="251"/>
      <c r="AI33" s="252"/>
      <c r="AJ33" s="252"/>
    </row>
    <row r="34" spans="1:36" s="135" customFormat="1" ht="21" customHeight="1">
      <c r="A34" s="132" t="str">
        <f>+'Presupuesto Consolidado'!A124</f>
        <v>12.3.20</v>
      </c>
      <c r="B34" s="140">
        <f t="shared" si="109"/>
        <v>93138500</v>
      </c>
      <c r="C34" s="141">
        <f>IF($C$8="Habilitado",IF($A34="","",ROUND(VLOOKUP($A34,'Presupuesto Consolidado'!$A$9:$F$600,6,FALSE),2)),"")</f>
        <v>93138500</v>
      </c>
      <c r="D34" s="142">
        <f t="shared" si="110"/>
        <v>3.870967741935484</v>
      </c>
      <c r="E34" s="141" t="str">
        <f>IF($E$8="Habilitado",IF($A34="","",ROUND(VLOOKUP($A34,'Presupuesto Consolidado'!$I$9:$N$600,6,FALSE),2)),"")</f>
        <v/>
      </c>
      <c r="F34" s="142" t="str">
        <f t="shared" si="111"/>
        <v/>
      </c>
      <c r="G34" s="141" t="str">
        <f>IF($G$8="Habilitado",IF($A34="","",ROUND(VLOOKUP($A34,'Presupuesto Consolidado'!$Q$9:$V$600,6,FALSE),2)),"")</f>
        <v/>
      </c>
      <c r="H34" s="142" t="str">
        <f t="shared" si="112"/>
        <v/>
      </c>
      <c r="I34" s="141" t="str">
        <f>IF($I$8="Habilitado",IF($A34="","",ROUND(VLOOKUP($A34,'Presupuesto Consolidado'!$Y$9:$AD$600,6,FALSE),2)),"")</f>
        <v/>
      </c>
      <c r="J34" s="142" t="str">
        <f t="shared" si="113"/>
        <v/>
      </c>
      <c r="K34" s="141" t="str">
        <f>IF($K$8="Habilitado",IF($A34="","",ROUND(VLOOKUP($A34,'Presupuesto Consolidado'!#REF!,6,FALSE),2)),"")</f>
        <v/>
      </c>
      <c r="L34" s="142" t="str">
        <f t="shared" si="114"/>
        <v/>
      </c>
      <c r="M34" s="141" t="str">
        <f>IF($M$8="Habilitado",IF($A34="","",ROUND(VLOOKUP($A34,'Presupuesto Consolidado'!#REF!,6,FALSE),2)),"")</f>
        <v/>
      </c>
      <c r="N34" s="142" t="str">
        <f t="shared" si="115"/>
        <v/>
      </c>
      <c r="O34" s="141" t="str">
        <f>IF($O$8="Habilitado",IF($A34="","",ROUND(VLOOKUP($A34,'Presupuesto Consolidado'!#REF!,6,FALSE),2)),"")</f>
        <v/>
      </c>
      <c r="P34" s="142" t="str">
        <f t="shared" si="116"/>
        <v/>
      </c>
      <c r="Q34" s="141" t="str">
        <f>IF($Q$8="Habilitado",IF($A34="","",ROUND(VLOOKUP($A34,'Presupuesto Consolidado'!#REF!,6,FALSE),2)),"")</f>
        <v/>
      </c>
      <c r="R34" s="142" t="str">
        <f t="shared" si="117"/>
        <v/>
      </c>
      <c r="S34" s="141" t="str">
        <f>IF($S$8="Habilitado",IF($A34="","",ROUND(VLOOKUP($A34,'Presupuesto Consolidado'!#REF!,6,FALSE),2)),"")</f>
        <v/>
      </c>
      <c r="T34" s="142" t="str">
        <f t="shared" si="118"/>
        <v/>
      </c>
      <c r="U34" s="141" t="str">
        <f>IF($U$8="Habilitado",IF($A34="","",ROUND(VLOOKUP($A34,'Presupuesto Consolidado'!#REF!,6,FALSE),2)),"")</f>
        <v/>
      </c>
      <c r="V34" s="142" t="str">
        <f t="shared" si="119"/>
        <v/>
      </c>
      <c r="W34" s="141" t="str">
        <f>IF($W$8="Habilitado",IF($A34="","",ROUND(VLOOKUP($A34,'Presupuesto Consolidado'!#REF!,6,FALSE),2)),"")</f>
        <v/>
      </c>
      <c r="X34" s="142" t="str">
        <f t="shared" si="120"/>
        <v/>
      </c>
      <c r="Y34" s="141" t="str">
        <f>IF($Y$8="Habilitado",IF($A34="","",ROUND(VLOOKUP($A34,'Presupuesto Consolidado'!#REF!,6,FALSE),2)),"")</f>
        <v/>
      </c>
      <c r="Z34" s="142" t="str">
        <f t="shared" si="121"/>
        <v/>
      </c>
      <c r="AA34" s="141" t="str">
        <f>IF($AA$8="Habilitado",IF($A34="","",ROUND(VLOOKUP($A34,'Presupuesto Consolidado'!#REF!,6,FALSE),2)),"")</f>
        <v/>
      </c>
      <c r="AB34" s="142" t="str">
        <f t="shared" si="122"/>
        <v/>
      </c>
      <c r="AC34" s="141" t="str">
        <f>IF($AC$8="Habilitado",IF($A34="","",ROUND(VLOOKUP($A34,'Presupuesto Consolidado'!#REF!,6,FALSE),2)),"")</f>
        <v/>
      </c>
      <c r="AD34" s="142" t="str">
        <f t="shared" si="123"/>
        <v/>
      </c>
      <c r="AE34" s="141" t="str">
        <f>IF($AE$8="Habilitado",IF($A34="","",ROUND(VLOOKUP($A34,'Presupuesto Consolidado'!#REF!,6,FALSE),2)),"")</f>
        <v/>
      </c>
      <c r="AF34" s="142" t="str">
        <f t="shared" si="124"/>
        <v/>
      </c>
      <c r="AH34" s="251"/>
      <c r="AI34" s="252"/>
      <c r="AJ34" s="252"/>
    </row>
    <row r="35" spans="1:36" s="135" customFormat="1" ht="21" customHeight="1">
      <c r="A35" s="132" t="str">
        <f>+'Presupuesto Consolidado'!A125</f>
        <v>12.3.21</v>
      </c>
      <c r="B35" s="140">
        <f t="shared" si="106"/>
        <v>10235000</v>
      </c>
      <c r="C35" s="141">
        <f>IF($C$8="Habilitado",IF($A35="","",ROUND(VLOOKUP($A35,'Presupuesto Consolidado'!$A$9:$F$600,6,FALSE),2)),"")</f>
        <v>10235000</v>
      </c>
      <c r="D35" s="142">
        <f t="shared" si="107"/>
        <v>3.870967741935484</v>
      </c>
      <c r="E35" s="141" t="str">
        <f>IF($E$8="Habilitado",IF($A35="","",ROUND(VLOOKUP($A35,'Presupuesto Consolidado'!$I$9:$N$600,6,FALSE),2)),"")</f>
        <v/>
      </c>
      <c r="F35" s="142" t="str">
        <f t="shared" si="108"/>
        <v/>
      </c>
      <c r="G35" s="141" t="str">
        <f>IF($G$8="Habilitado",IF($A35="","",ROUND(VLOOKUP($A35,'Presupuesto Consolidado'!$Q$9:$V$600,6,FALSE),2)),"")</f>
        <v/>
      </c>
      <c r="H35" s="142" t="str">
        <f t="shared" si="93"/>
        <v/>
      </c>
      <c r="I35" s="141" t="str">
        <f>IF($I$8="Habilitado",IF($A35="","",ROUND(VLOOKUP($A35,'Presupuesto Consolidado'!$Y$9:$AD$600,6,FALSE),2)),"")</f>
        <v/>
      </c>
      <c r="J35" s="142" t="str">
        <f t="shared" si="94"/>
        <v/>
      </c>
      <c r="K35" s="141" t="str">
        <f>IF($K$8="Habilitado",IF($A35="","",ROUND(VLOOKUP($A35,'Presupuesto Consolidado'!#REF!,6,FALSE),2)),"")</f>
        <v/>
      </c>
      <c r="L35" s="142" t="str">
        <f t="shared" si="95"/>
        <v/>
      </c>
      <c r="M35" s="141" t="str">
        <f>IF($M$8="Habilitado",IF($A35="","",ROUND(VLOOKUP($A35,'Presupuesto Consolidado'!#REF!,6,FALSE),2)),"")</f>
        <v/>
      </c>
      <c r="N35" s="142" t="str">
        <f t="shared" si="96"/>
        <v/>
      </c>
      <c r="O35" s="141" t="str">
        <f>IF($O$8="Habilitado",IF($A35="","",ROUND(VLOOKUP($A35,'Presupuesto Consolidado'!#REF!,6,FALSE),2)),"")</f>
        <v/>
      </c>
      <c r="P35" s="142" t="str">
        <f t="shared" si="97"/>
        <v/>
      </c>
      <c r="Q35" s="141" t="str">
        <f>IF($Q$8="Habilitado",IF($A35="","",ROUND(VLOOKUP($A35,'Presupuesto Consolidado'!#REF!,6,FALSE),2)),"")</f>
        <v/>
      </c>
      <c r="R35" s="142" t="str">
        <f t="shared" si="98"/>
        <v/>
      </c>
      <c r="S35" s="141" t="str">
        <f>IF($S$8="Habilitado",IF($A35="","",ROUND(VLOOKUP($A35,'Presupuesto Consolidado'!#REF!,6,FALSE),2)),"")</f>
        <v/>
      </c>
      <c r="T35" s="142" t="str">
        <f t="shared" si="99"/>
        <v/>
      </c>
      <c r="U35" s="141" t="str">
        <f>IF($U$8="Habilitado",IF($A35="","",ROUND(VLOOKUP($A35,'Presupuesto Consolidado'!#REF!,6,FALSE),2)),"")</f>
        <v/>
      </c>
      <c r="V35" s="142" t="str">
        <f t="shared" si="100"/>
        <v/>
      </c>
      <c r="W35" s="141" t="str">
        <f>IF($W$8="Habilitado",IF($A35="","",ROUND(VLOOKUP($A35,'Presupuesto Consolidado'!#REF!,6,FALSE),2)),"")</f>
        <v/>
      </c>
      <c r="X35" s="142" t="str">
        <f t="shared" si="101"/>
        <v/>
      </c>
      <c r="Y35" s="141" t="str">
        <f>IF($Y$8="Habilitado",IF($A35="","",ROUND(VLOOKUP($A35,'Presupuesto Consolidado'!#REF!,6,FALSE),2)),"")</f>
        <v/>
      </c>
      <c r="Z35" s="142" t="str">
        <f t="shared" si="102"/>
        <v/>
      </c>
      <c r="AA35" s="141" t="str">
        <f>IF($AA$8="Habilitado",IF($A35="","",ROUND(VLOOKUP($A35,'Presupuesto Consolidado'!#REF!,6,FALSE),2)),"")</f>
        <v/>
      </c>
      <c r="AB35" s="142" t="str">
        <f t="shared" si="103"/>
        <v/>
      </c>
      <c r="AC35" s="141" t="str">
        <f>IF($AC$8="Habilitado",IF($A35="","",ROUND(VLOOKUP($A35,'Presupuesto Consolidado'!#REF!,6,FALSE),2)),"")</f>
        <v/>
      </c>
      <c r="AD35" s="142" t="str">
        <f t="shared" si="104"/>
        <v/>
      </c>
      <c r="AE35" s="141" t="str">
        <f>IF($AE$8="Habilitado",IF($A35="","",ROUND(VLOOKUP($A35,'Presupuesto Consolidado'!#REF!,6,FALSE),2)),"")</f>
        <v/>
      </c>
      <c r="AF35" s="142" t="str">
        <f t="shared" si="105"/>
        <v/>
      </c>
      <c r="AH35" s="251"/>
      <c r="AI35" s="252"/>
      <c r="AJ35" s="252"/>
    </row>
    <row r="36" spans="1:36" s="135" customFormat="1" ht="21" customHeight="1">
      <c r="A36" s="132" t="str">
        <f>+'Presupuesto Consolidado'!A126</f>
        <v>12.3.22</v>
      </c>
      <c r="B36" s="140">
        <f t="shared" si="106"/>
        <v>16376000</v>
      </c>
      <c r="C36" s="141">
        <f>IF($C$8="Habilitado",IF($A36="","",ROUND(VLOOKUP($A36,'Presupuesto Consolidado'!$A$9:$F$600,6,FALSE),2)),"")</f>
        <v>16376000</v>
      </c>
      <c r="D36" s="142">
        <f t="shared" si="107"/>
        <v>3.870967741935484</v>
      </c>
      <c r="E36" s="141" t="str">
        <f>IF($E$8="Habilitado",IF($A36="","",ROUND(VLOOKUP($A36,'Presupuesto Consolidado'!$I$9:$N$600,6,FALSE),2)),"")</f>
        <v/>
      </c>
      <c r="F36" s="142" t="str">
        <f t="shared" si="108"/>
        <v/>
      </c>
      <c r="G36" s="141" t="str">
        <f>IF($G$8="Habilitado",IF($A36="","",ROUND(VLOOKUP($A36,'Presupuesto Consolidado'!$Q$9:$V$600,6,FALSE),2)),"")</f>
        <v/>
      </c>
      <c r="H36" s="142" t="str">
        <f t="shared" si="93"/>
        <v/>
      </c>
      <c r="I36" s="141" t="str">
        <f>IF($I$8="Habilitado",IF($A36="","",ROUND(VLOOKUP($A36,'Presupuesto Consolidado'!$Y$9:$AD$600,6,FALSE),2)),"")</f>
        <v/>
      </c>
      <c r="J36" s="142" t="str">
        <f t="shared" si="94"/>
        <v/>
      </c>
      <c r="K36" s="141" t="str">
        <f>IF($K$8="Habilitado",IF($A36="","",ROUND(VLOOKUP($A36,'Presupuesto Consolidado'!#REF!,6,FALSE),2)),"")</f>
        <v/>
      </c>
      <c r="L36" s="142" t="str">
        <f t="shared" si="95"/>
        <v/>
      </c>
      <c r="M36" s="141" t="str">
        <f>IF($M$8="Habilitado",IF($A36="","",ROUND(VLOOKUP($A36,'Presupuesto Consolidado'!#REF!,6,FALSE),2)),"")</f>
        <v/>
      </c>
      <c r="N36" s="142" t="str">
        <f t="shared" si="96"/>
        <v/>
      </c>
      <c r="O36" s="141" t="str">
        <f>IF($O$8="Habilitado",IF($A36="","",ROUND(VLOOKUP($A36,'Presupuesto Consolidado'!#REF!,6,FALSE),2)),"")</f>
        <v/>
      </c>
      <c r="P36" s="142" t="str">
        <f t="shared" si="97"/>
        <v/>
      </c>
      <c r="Q36" s="141" t="str">
        <f>IF($Q$8="Habilitado",IF($A36="","",ROUND(VLOOKUP($A36,'Presupuesto Consolidado'!#REF!,6,FALSE),2)),"")</f>
        <v/>
      </c>
      <c r="R36" s="142" t="str">
        <f t="shared" si="98"/>
        <v/>
      </c>
      <c r="S36" s="141" t="str">
        <f>IF($S$8="Habilitado",IF($A36="","",ROUND(VLOOKUP($A36,'Presupuesto Consolidado'!#REF!,6,FALSE),2)),"")</f>
        <v/>
      </c>
      <c r="T36" s="142" t="str">
        <f t="shared" si="99"/>
        <v/>
      </c>
      <c r="U36" s="141" t="str">
        <f>IF($U$8="Habilitado",IF($A36="","",ROUND(VLOOKUP($A36,'Presupuesto Consolidado'!#REF!,6,FALSE),2)),"")</f>
        <v/>
      </c>
      <c r="V36" s="142" t="str">
        <f t="shared" si="100"/>
        <v/>
      </c>
      <c r="W36" s="141" t="str">
        <f>IF($W$8="Habilitado",IF($A36="","",ROUND(VLOOKUP($A36,'Presupuesto Consolidado'!#REF!,6,FALSE),2)),"")</f>
        <v/>
      </c>
      <c r="X36" s="142" t="str">
        <f t="shared" si="101"/>
        <v/>
      </c>
      <c r="Y36" s="141" t="str">
        <f>IF($Y$8="Habilitado",IF($A36="","",ROUND(VLOOKUP($A36,'Presupuesto Consolidado'!#REF!,6,FALSE),2)),"")</f>
        <v/>
      </c>
      <c r="Z36" s="142" t="str">
        <f t="shared" si="102"/>
        <v/>
      </c>
      <c r="AA36" s="141" t="str">
        <f>IF($AA$8="Habilitado",IF($A36="","",ROUND(VLOOKUP($A36,'Presupuesto Consolidado'!#REF!,6,FALSE),2)),"")</f>
        <v/>
      </c>
      <c r="AB36" s="142" t="str">
        <f t="shared" si="103"/>
        <v/>
      </c>
      <c r="AC36" s="141" t="str">
        <f>IF($AC$8="Habilitado",IF($A36="","",ROUND(VLOOKUP($A36,'Presupuesto Consolidado'!#REF!,6,FALSE),2)),"")</f>
        <v/>
      </c>
      <c r="AD36" s="142" t="str">
        <f t="shared" si="104"/>
        <v/>
      </c>
      <c r="AE36" s="141" t="str">
        <f>IF($AE$8="Habilitado",IF($A36="","",ROUND(VLOOKUP($A36,'Presupuesto Consolidado'!#REF!,6,FALSE),2)),"")</f>
        <v/>
      </c>
      <c r="AF36" s="142" t="str">
        <f t="shared" si="105"/>
        <v/>
      </c>
      <c r="AH36" s="251"/>
      <c r="AI36" s="252"/>
      <c r="AJ36" s="252"/>
    </row>
    <row r="37" spans="1:36" s="135" customFormat="1" ht="21" customHeight="1">
      <c r="A37" s="132" t="str">
        <f>+'Presupuesto Consolidado'!A127</f>
        <v>12.3.23</v>
      </c>
      <c r="B37" s="140">
        <f t="shared" si="13"/>
        <v>34389600</v>
      </c>
      <c r="C37" s="141">
        <f>IF($C$8="Habilitado",IF($A37="","",ROUND(VLOOKUP($A37,'Presupuesto Consolidado'!$A$9:$F$600,6,FALSE),2)),"")</f>
        <v>34389600</v>
      </c>
      <c r="D37" s="142">
        <f t="shared" si="14"/>
        <v>3.870967741935484</v>
      </c>
      <c r="E37" s="141" t="str">
        <f>IF($E$8="Habilitado",IF($A37="","",ROUND(VLOOKUP($A37,'Presupuesto Consolidado'!$I$9:$N$600,6,FALSE),2)),"")</f>
        <v/>
      </c>
      <c r="F37" s="142" t="str">
        <f t="shared" si="14"/>
        <v/>
      </c>
      <c r="G37" s="141" t="str">
        <f>IF($G$8="Habilitado",IF($A37="","",ROUND(VLOOKUP($A37,'Presupuesto Consolidado'!$Q$9:$V$600,6,FALSE),2)),"")</f>
        <v/>
      </c>
      <c r="H37" s="142" t="str">
        <f t="shared" ref="H37" si="125">IF($A37="","",IF(G37="","",IF($K$4="Media aritmética",(G37&lt;=$B37)*($E$5/$B$4)+(G37&gt;$B37)*0,IF(ROUND(AVERAGE($C37,$E37,$G37,$I37,$K37,$M37,$O37,$Q37,$S37,$U37,$W37,$Y37,$AA37,$AC37,$AE37),2)-$B37/2&lt;=G37,IF(ROUND(AVERAGE($C37,$E37,$G37,$I37,$K37,$M37,$O37,$Q37,$S37,$U37,$W37,$Y37,$AA37,$AC37,$AE37),2)+$B37/2&gt;G37,($E$5/$B$4),0),0))))</f>
        <v/>
      </c>
      <c r="I37" s="141" t="str">
        <f>IF($I$8="Habilitado",IF($A37="","",ROUND(VLOOKUP($A37,'Presupuesto Consolidado'!$Y$9:$AD$600,6,FALSE),2)),"")</f>
        <v/>
      </c>
      <c r="J37" s="142" t="str">
        <f t="shared" ref="J37" si="126">IF($A37="","",IF(I37="","",IF($K$4="Media aritmética",(I37&lt;=$B37)*($E$5/$B$4)+(I37&gt;$B37)*0,IF(ROUND(AVERAGE($C37,$E37,$G37,$I37,$K37,$M37,$O37,$Q37,$S37,$U37,$W37,$Y37,$AA37,$AC37,$AE37),2)-$B37/2&lt;=I37,IF(ROUND(AVERAGE($C37,$E37,$G37,$I37,$K37,$M37,$O37,$Q37,$S37,$U37,$W37,$Y37,$AA37,$AC37,$AE37),2)+$B37/2&gt;I37,($E$5/$B$4),0),0))))</f>
        <v/>
      </c>
      <c r="K37" s="141" t="str">
        <f>IF($K$8="Habilitado",IF($A37="","",ROUND(VLOOKUP($A37,'Presupuesto Consolidado'!#REF!,6,FALSE),2)),"")</f>
        <v/>
      </c>
      <c r="L37" s="142" t="str">
        <f t="shared" ref="L37" si="127">IF($A37="","",IF(K37="","",IF($K$4="Media aritmética",(K37&lt;=$B37)*($E$5/$B$4)+(K37&gt;$B37)*0,IF(ROUND(AVERAGE($C37,$E37,$G37,$I37,$K37,$M37,$O37,$Q37,$S37,$U37,$W37,$Y37,$AA37,$AC37,$AE37),2)-$B37/2&lt;=K37,IF(ROUND(AVERAGE($C37,$E37,$G37,$I37,$K37,$M37,$O37,$Q37,$S37,$U37,$W37,$Y37,$AA37,$AC37,$AE37),2)+$B37/2&gt;K37,($E$5/$B$4),0),0))))</f>
        <v/>
      </c>
      <c r="M37" s="141" t="str">
        <f>IF($M$8="Habilitado",IF($A37="","",ROUND(VLOOKUP($A37,'Presupuesto Consolidado'!#REF!,6,FALSE),2)),"")</f>
        <v/>
      </c>
      <c r="N37" s="142" t="str">
        <f t="shared" ref="N37" si="128">IF($A37="","",IF(M37="","",IF($K$4="Media aritmética",(M37&lt;=$B37)*($E$5/$B$4)+(M37&gt;$B37)*0,IF(ROUND(AVERAGE($C37,$E37,$G37,$I37,$K37,$M37,$O37,$Q37,$S37,$U37,$W37,$Y37,$AA37,$AC37,$AE37),2)-$B37/2&lt;=M37,IF(ROUND(AVERAGE($C37,$E37,$G37,$I37,$K37,$M37,$O37,$Q37,$S37,$U37,$W37,$Y37,$AA37,$AC37,$AE37),2)+$B37/2&gt;M37,($E$5/$B$4),0),0))))</f>
        <v/>
      </c>
      <c r="O37" s="141" t="str">
        <f>IF($O$8="Habilitado",IF($A37="","",ROUND(VLOOKUP($A37,'Presupuesto Consolidado'!#REF!,6,FALSE),2)),"")</f>
        <v/>
      </c>
      <c r="P37" s="142" t="str">
        <f t="shared" ref="P37" si="129">IF($A37="","",IF(O37="","",IF($K$4="Media aritmética",(O37&lt;=$B37)*($E$5/$B$4)+(O37&gt;$B37)*0,IF(ROUND(AVERAGE($C37,$E37,$G37,$I37,$K37,$M37,$O37,$Q37,$S37,$U37,$W37,$Y37,$AA37,$AC37,$AE37),2)-$B37/2&lt;=O37,IF(ROUND(AVERAGE($C37,$E37,$G37,$I37,$K37,$M37,$O37,$Q37,$S37,$U37,$W37,$Y37,$AA37,$AC37,$AE37),2)+$B37/2&gt;O37,($E$5/$B$4),0),0))))</f>
        <v/>
      </c>
      <c r="Q37" s="141" t="str">
        <f>IF($Q$8="Habilitado",IF($A37="","",ROUND(VLOOKUP($A37,'Presupuesto Consolidado'!#REF!,6,FALSE),2)),"")</f>
        <v/>
      </c>
      <c r="R37" s="142" t="str">
        <f t="shared" ref="R37" si="130">IF($A37="","",IF(Q37="","",IF($K$4="Media aritmética",(Q37&lt;=$B37)*($E$5/$B$4)+(Q37&gt;$B37)*0,IF(ROUND(AVERAGE($C37,$E37,$G37,$I37,$K37,$M37,$O37,$Q37,$S37,$U37,$W37,$Y37,$AA37,$AC37,$AE37),2)-$B37/2&lt;=Q37,IF(ROUND(AVERAGE($C37,$E37,$G37,$I37,$K37,$M37,$O37,$Q37,$S37,$U37,$W37,$Y37,$AA37,$AC37,$AE37),2)+$B37/2&gt;Q37,($E$5/$B$4),0),0))))</f>
        <v/>
      </c>
      <c r="S37" s="141" t="str">
        <f>IF($S$8="Habilitado",IF($A37="","",ROUND(VLOOKUP($A37,'Presupuesto Consolidado'!#REF!,6,FALSE),2)),"")</f>
        <v/>
      </c>
      <c r="T37" s="142" t="str">
        <f t="shared" ref="T37" si="131">IF($A37="","",IF(S37="","",IF($K$4="Media aritmética",(S37&lt;=$B37)*($E$5/$B$4)+(S37&gt;$B37)*0,IF(ROUND(AVERAGE($C37,$E37,$G37,$I37,$K37,$M37,$O37,$Q37,$S37,$U37,$W37,$Y37,$AA37,$AC37,$AE37),2)-$B37/2&lt;=S37,IF(ROUND(AVERAGE($C37,$E37,$G37,$I37,$K37,$M37,$O37,$Q37,$S37,$U37,$W37,$Y37,$AA37,$AC37,$AE37),2)+$B37/2&gt;S37,($E$5/$B$4),0),0))))</f>
        <v/>
      </c>
      <c r="U37" s="141" t="str">
        <f>IF($U$8="Habilitado",IF($A37="","",ROUND(VLOOKUP($A37,'Presupuesto Consolidado'!#REF!,6,FALSE),2)),"")</f>
        <v/>
      </c>
      <c r="V37" s="142" t="str">
        <f t="shared" ref="V37" si="132">IF($A37="","",IF(U37="","",IF($K$4="Media aritmética",(U37&lt;=$B37)*($E$5/$B$4)+(U37&gt;$B37)*0,IF(ROUND(AVERAGE($C37,$E37,$G37,$I37,$K37,$M37,$O37,$Q37,$S37,$U37,$W37,$Y37,$AA37,$AC37,$AE37),2)-$B37/2&lt;=U37,IF(ROUND(AVERAGE($C37,$E37,$G37,$I37,$K37,$M37,$O37,$Q37,$S37,$U37,$W37,$Y37,$AA37,$AC37,$AE37),2)+$B37/2&gt;U37,($E$5/$B$4),0),0))))</f>
        <v/>
      </c>
      <c r="W37" s="141" t="str">
        <f>IF($W$8="Habilitado",IF($A37="","",ROUND(VLOOKUP($A37,'Presupuesto Consolidado'!#REF!,6,FALSE),2)),"")</f>
        <v/>
      </c>
      <c r="X37" s="142" t="str">
        <f t="shared" ref="X37" si="133">IF($A37="","",IF(W37="","",IF($K$4="Media aritmética",(W37&lt;=$B37)*($E$5/$B$4)+(W37&gt;$B37)*0,IF(ROUND(AVERAGE($C37,$E37,$G37,$I37,$K37,$M37,$O37,$Q37,$S37,$U37,$W37,$Y37,$AA37,$AC37,$AE37),2)-$B37/2&lt;=W37,IF(ROUND(AVERAGE($C37,$E37,$G37,$I37,$K37,$M37,$O37,$Q37,$S37,$U37,$W37,$Y37,$AA37,$AC37,$AE37),2)+$B37/2&gt;W37,($E$5/$B$4),0),0))))</f>
        <v/>
      </c>
      <c r="Y37" s="141" t="str">
        <f>IF($Y$8="Habilitado",IF($A37="","",ROUND(VLOOKUP($A37,'Presupuesto Consolidado'!#REF!,6,FALSE),2)),"")</f>
        <v/>
      </c>
      <c r="Z37" s="142" t="str">
        <f t="shared" ref="Z37" si="134">IF($A37="","",IF(Y37="","",IF($K$4="Media aritmética",(Y37&lt;=$B37)*($E$5/$B$4)+(Y37&gt;$B37)*0,IF(ROUND(AVERAGE($C37,$E37,$G37,$I37,$K37,$M37,$O37,$Q37,$S37,$U37,$W37,$Y37,$AA37,$AC37,$AE37),2)-$B37/2&lt;=Y37,IF(ROUND(AVERAGE($C37,$E37,$G37,$I37,$K37,$M37,$O37,$Q37,$S37,$U37,$W37,$Y37,$AA37,$AC37,$AE37),2)+$B37/2&gt;Y37,($E$5/$B$4),0),0))))</f>
        <v/>
      </c>
      <c r="AA37" s="141" t="str">
        <f>IF($AA$8="Habilitado",IF($A37="","",ROUND(VLOOKUP($A37,'Presupuesto Consolidado'!#REF!,6,FALSE),2)),"")</f>
        <v/>
      </c>
      <c r="AB37" s="142" t="str">
        <f t="shared" ref="AB37" si="135">IF($A37="","",IF(AA37="","",IF($K$4="Media aritmética",(AA37&lt;=$B37)*($E$5/$B$4)+(AA37&gt;$B37)*0,IF(ROUND(AVERAGE($C37,$E37,$G37,$I37,$K37,$M37,$O37,$Q37,$S37,$U37,$W37,$Y37,$AA37,$AC37,$AE37),2)-$B37/2&lt;=AA37,IF(ROUND(AVERAGE($C37,$E37,$G37,$I37,$K37,$M37,$O37,$Q37,$S37,$U37,$W37,$Y37,$AA37,$AC37,$AE37),2)+$B37/2&gt;AA37,($E$5/$B$4),0),0))))</f>
        <v/>
      </c>
      <c r="AC37" s="141" t="str">
        <f>IF($AC$8="Habilitado",IF($A37="","",ROUND(VLOOKUP($A37,'Presupuesto Consolidado'!#REF!,6,FALSE),2)),"")</f>
        <v/>
      </c>
      <c r="AD37" s="142" t="str">
        <f t="shared" ref="AD37" si="136">IF($A37="","",IF(AC37="","",IF($K$4="Media aritmética",(AC37&lt;=$B37)*($E$5/$B$4)+(AC37&gt;$B37)*0,IF(ROUND(AVERAGE($C37,$E37,$G37,$I37,$K37,$M37,$O37,$Q37,$S37,$U37,$W37,$Y37,$AA37,$AC37,$AE37),2)-$B37/2&lt;=AC37,IF(ROUND(AVERAGE($C37,$E37,$G37,$I37,$K37,$M37,$O37,$Q37,$S37,$U37,$W37,$Y37,$AA37,$AC37,$AE37),2)+$B37/2&gt;AC37,($E$5/$B$4),0),0))))</f>
        <v/>
      </c>
      <c r="AE37" s="141" t="str">
        <f>IF($AE$8="Habilitado",IF($A37="","",ROUND(VLOOKUP($A37,'Presupuesto Consolidado'!#REF!,6,FALSE),2)),"")</f>
        <v/>
      </c>
      <c r="AF37" s="142" t="str">
        <f t="shared" ref="AF37" si="137">IF($A37="","",IF(AE37="","",IF($K$4="Media aritmética",(AE37&lt;=$B37)*($E$5/$B$4)+(AE37&gt;$B37)*0,IF(ROUND(AVERAGE($C37,$E37,$G37,$I37,$K37,$M37,$O37,$Q37,$S37,$U37,$W37,$Y37,$AA37,$AC37,$AE37),2)-$B37/2&lt;=AE37,IF(ROUND(AVERAGE($C37,$E37,$G37,$I37,$K37,$M37,$O37,$Q37,$S37,$U37,$W37,$Y37,$AA37,$AC37,$AE37),2)+$B37/2&gt;AE37,($E$5/$B$4),0),0))))</f>
        <v/>
      </c>
      <c r="AH37" s="251"/>
      <c r="AI37" s="252"/>
      <c r="AJ37" s="252"/>
    </row>
    <row r="38" spans="1:36" s="135" customFormat="1" ht="21" customHeight="1">
      <c r="A38" s="132" t="str">
        <f>+'Presupuesto Consolidado'!A150</f>
        <v>12.4.1</v>
      </c>
      <c r="B38" s="140">
        <f t="shared" si="13"/>
        <v>1995825</v>
      </c>
      <c r="C38" s="141">
        <f>IF($C$8="Habilitado",IF($A38="","",ROUND(VLOOKUP($A38,'Presupuesto Consolidado'!$A$9:$F$600,6,FALSE),2)),"")</f>
        <v>1995825</v>
      </c>
      <c r="D38" s="142">
        <f t="shared" si="14"/>
        <v>3.870967741935484</v>
      </c>
      <c r="E38" s="141" t="str">
        <f>IF($E$8="Habilitado",IF($A38="","",ROUND(VLOOKUP($A38,'Presupuesto Consolidado'!$I$9:$N$600,6,FALSE),2)),"")</f>
        <v/>
      </c>
      <c r="F38" s="142" t="str">
        <f t="shared" si="14"/>
        <v/>
      </c>
      <c r="G38" s="141" t="str">
        <f>IF($G$8="Habilitado",IF($A38="","",ROUND(VLOOKUP($A38,'Presupuesto Consolidado'!$Q$9:$V$600,6,FALSE),2)),"")</f>
        <v/>
      </c>
      <c r="H38" s="142" t="str">
        <f t="shared" ref="H38" si="138">IF($A38="","",IF(G38="","",IF($K$4="Media aritmética",(G38&lt;=$B38)*($E$5/$B$4)+(G38&gt;$B38)*0,IF(ROUND(AVERAGE($C38,$E38,$G38,$I38,$K38,$M38,$O38,$Q38,$S38,$U38,$W38,$Y38,$AA38,$AC38,$AE38),2)-$B38/2&lt;=G38,IF(ROUND(AVERAGE($C38,$E38,$G38,$I38,$K38,$M38,$O38,$Q38,$S38,$U38,$W38,$Y38,$AA38,$AC38,$AE38),2)+$B38/2&gt;G38,($E$5/$B$4),0),0))))</f>
        <v/>
      </c>
      <c r="I38" s="141" t="str">
        <f>IF($I$8="Habilitado",IF($A38="","",ROUND(VLOOKUP($A38,'Presupuesto Consolidado'!$Y$9:$AD$600,6,FALSE),2)),"")</f>
        <v/>
      </c>
      <c r="J38" s="142" t="str">
        <f t="shared" ref="J38" si="139">IF($A38="","",IF(I38="","",IF($K$4="Media aritmética",(I38&lt;=$B38)*($E$5/$B$4)+(I38&gt;$B38)*0,IF(ROUND(AVERAGE($C38,$E38,$G38,$I38,$K38,$M38,$O38,$Q38,$S38,$U38,$W38,$Y38,$AA38,$AC38,$AE38),2)-$B38/2&lt;=I38,IF(ROUND(AVERAGE($C38,$E38,$G38,$I38,$K38,$M38,$O38,$Q38,$S38,$U38,$W38,$Y38,$AA38,$AC38,$AE38),2)+$B38/2&gt;I38,($E$5/$B$4),0),0))))</f>
        <v/>
      </c>
      <c r="K38" s="141" t="str">
        <f>IF($K$8="Habilitado",IF($A38="","",ROUND(VLOOKUP($A38,'Presupuesto Consolidado'!#REF!,6,FALSE),2)),"")</f>
        <v/>
      </c>
      <c r="L38" s="142" t="str">
        <f t="shared" ref="L38" si="140">IF($A38="","",IF(K38="","",IF($K$4="Media aritmética",(K38&lt;=$B38)*($E$5/$B$4)+(K38&gt;$B38)*0,IF(ROUND(AVERAGE($C38,$E38,$G38,$I38,$K38,$M38,$O38,$Q38,$S38,$U38,$W38,$Y38,$AA38,$AC38,$AE38),2)-$B38/2&lt;=K38,IF(ROUND(AVERAGE($C38,$E38,$G38,$I38,$K38,$M38,$O38,$Q38,$S38,$U38,$W38,$Y38,$AA38,$AC38,$AE38),2)+$B38/2&gt;K38,($E$5/$B$4),0),0))))</f>
        <v/>
      </c>
      <c r="M38" s="141" t="str">
        <f>IF($M$8="Habilitado",IF($A38="","",ROUND(VLOOKUP($A38,'Presupuesto Consolidado'!#REF!,6,FALSE),2)),"")</f>
        <v/>
      </c>
      <c r="N38" s="142" t="str">
        <f t="shared" ref="N38" si="141">IF($A38="","",IF(M38="","",IF($K$4="Media aritmética",(M38&lt;=$B38)*($E$5/$B$4)+(M38&gt;$B38)*0,IF(ROUND(AVERAGE($C38,$E38,$G38,$I38,$K38,$M38,$O38,$Q38,$S38,$U38,$W38,$Y38,$AA38,$AC38,$AE38),2)-$B38/2&lt;=M38,IF(ROUND(AVERAGE($C38,$E38,$G38,$I38,$K38,$M38,$O38,$Q38,$S38,$U38,$W38,$Y38,$AA38,$AC38,$AE38),2)+$B38/2&gt;M38,($E$5/$B$4),0),0))))</f>
        <v/>
      </c>
      <c r="O38" s="141" t="str">
        <f>IF($O$8="Habilitado",IF($A38="","",ROUND(VLOOKUP($A38,'Presupuesto Consolidado'!#REF!,6,FALSE),2)),"")</f>
        <v/>
      </c>
      <c r="P38" s="142" t="str">
        <f t="shared" ref="P38" si="142">IF($A38="","",IF(O38="","",IF($K$4="Media aritmética",(O38&lt;=$B38)*($E$5/$B$4)+(O38&gt;$B38)*0,IF(ROUND(AVERAGE($C38,$E38,$G38,$I38,$K38,$M38,$O38,$Q38,$S38,$U38,$W38,$Y38,$AA38,$AC38,$AE38),2)-$B38/2&lt;=O38,IF(ROUND(AVERAGE($C38,$E38,$G38,$I38,$K38,$M38,$O38,$Q38,$S38,$U38,$W38,$Y38,$AA38,$AC38,$AE38),2)+$B38/2&gt;O38,($E$5/$B$4),0),0))))</f>
        <v/>
      </c>
      <c r="Q38" s="141" t="str">
        <f>IF($Q$8="Habilitado",IF($A38="","",ROUND(VLOOKUP($A38,'Presupuesto Consolidado'!#REF!,6,FALSE),2)),"")</f>
        <v/>
      </c>
      <c r="R38" s="142" t="str">
        <f t="shared" ref="R38" si="143">IF($A38="","",IF(Q38="","",IF($K$4="Media aritmética",(Q38&lt;=$B38)*($E$5/$B$4)+(Q38&gt;$B38)*0,IF(ROUND(AVERAGE($C38,$E38,$G38,$I38,$K38,$M38,$O38,$Q38,$S38,$U38,$W38,$Y38,$AA38,$AC38,$AE38),2)-$B38/2&lt;=Q38,IF(ROUND(AVERAGE($C38,$E38,$G38,$I38,$K38,$M38,$O38,$Q38,$S38,$U38,$W38,$Y38,$AA38,$AC38,$AE38),2)+$B38/2&gt;Q38,($E$5/$B$4),0),0))))</f>
        <v/>
      </c>
      <c r="S38" s="141" t="str">
        <f>IF($S$8="Habilitado",IF($A38="","",ROUND(VLOOKUP($A38,'Presupuesto Consolidado'!#REF!,6,FALSE),2)),"")</f>
        <v/>
      </c>
      <c r="T38" s="142" t="str">
        <f t="shared" ref="T38" si="144">IF($A38="","",IF(S38="","",IF($K$4="Media aritmética",(S38&lt;=$B38)*($E$5/$B$4)+(S38&gt;$B38)*0,IF(ROUND(AVERAGE($C38,$E38,$G38,$I38,$K38,$M38,$O38,$Q38,$S38,$U38,$W38,$Y38,$AA38,$AC38,$AE38),2)-$B38/2&lt;=S38,IF(ROUND(AVERAGE($C38,$E38,$G38,$I38,$K38,$M38,$O38,$Q38,$S38,$U38,$W38,$Y38,$AA38,$AC38,$AE38),2)+$B38/2&gt;S38,($E$5/$B$4),0),0))))</f>
        <v/>
      </c>
      <c r="U38" s="141" t="str">
        <f>IF($U$8="Habilitado",IF($A38="","",ROUND(VLOOKUP($A38,'Presupuesto Consolidado'!#REF!,6,FALSE),2)),"")</f>
        <v/>
      </c>
      <c r="V38" s="142" t="str">
        <f t="shared" ref="V38" si="145">IF($A38="","",IF(U38="","",IF($K$4="Media aritmética",(U38&lt;=$B38)*($E$5/$B$4)+(U38&gt;$B38)*0,IF(ROUND(AVERAGE($C38,$E38,$G38,$I38,$K38,$M38,$O38,$Q38,$S38,$U38,$W38,$Y38,$AA38,$AC38,$AE38),2)-$B38/2&lt;=U38,IF(ROUND(AVERAGE($C38,$E38,$G38,$I38,$K38,$M38,$O38,$Q38,$S38,$U38,$W38,$Y38,$AA38,$AC38,$AE38),2)+$B38/2&gt;U38,($E$5/$B$4),0),0))))</f>
        <v/>
      </c>
      <c r="W38" s="141" t="str">
        <f>IF($W$8="Habilitado",IF($A38="","",ROUND(VLOOKUP($A38,'Presupuesto Consolidado'!#REF!,6,FALSE),2)),"")</f>
        <v/>
      </c>
      <c r="X38" s="142" t="str">
        <f t="shared" ref="X38" si="146">IF($A38="","",IF(W38="","",IF($K$4="Media aritmética",(W38&lt;=$B38)*($E$5/$B$4)+(W38&gt;$B38)*0,IF(ROUND(AVERAGE($C38,$E38,$G38,$I38,$K38,$M38,$O38,$Q38,$S38,$U38,$W38,$Y38,$AA38,$AC38,$AE38),2)-$B38/2&lt;=W38,IF(ROUND(AVERAGE($C38,$E38,$G38,$I38,$K38,$M38,$O38,$Q38,$S38,$U38,$W38,$Y38,$AA38,$AC38,$AE38),2)+$B38/2&gt;W38,($E$5/$B$4),0),0))))</f>
        <v/>
      </c>
      <c r="Y38" s="141" t="str">
        <f>IF($Y$8="Habilitado",IF($A38="","",ROUND(VLOOKUP($A38,'Presupuesto Consolidado'!#REF!,6,FALSE),2)),"")</f>
        <v/>
      </c>
      <c r="Z38" s="142" t="str">
        <f t="shared" ref="Z38" si="147">IF($A38="","",IF(Y38="","",IF($K$4="Media aritmética",(Y38&lt;=$B38)*($E$5/$B$4)+(Y38&gt;$B38)*0,IF(ROUND(AVERAGE($C38,$E38,$G38,$I38,$K38,$M38,$O38,$Q38,$S38,$U38,$W38,$Y38,$AA38,$AC38,$AE38),2)-$B38/2&lt;=Y38,IF(ROUND(AVERAGE($C38,$E38,$G38,$I38,$K38,$M38,$O38,$Q38,$S38,$U38,$W38,$Y38,$AA38,$AC38,$AE38),2)+$B38/2&gt;Y38,($E$5/$B$4),0),0))))</f>
        <v/>
      </c>
      <c r="AA38" s="141" t="str">
        <f>IF($AA$8="Habilitado",IF($A38="","",ROUND(VLOOKUP($A38,'Presupuesto Consolidado'!#REF!,6,FALSE),2)),"")</f>
        <v/>
      </c>
      <c r="AB38" s="142" t="str">
        <f t="shared" ref="AB38" si="148">IF($A38="","",IF(AA38="","",IF($K$4="Media aritmética",(AA38&lt;=$B38)*($E$5/$B$4)+(AA38&gt;$B38)*0,IF(ROUND(AVERAGE($C38,$E38,$G38,$I38,$K38,$M38,$O38,$Q38,$S38,$U38,$W38,$Y38,$AA38,$AC38,$AE38),2)-$B38/2&lt;=AA38,IF(ROUND(AVERAGE($C38,$E38,$G38,$I38,$K38,$M38,$O38,$Q38,$S38,$U38,$W38,$Y38,$AA38,$AC38,$AE38),2)+$B38/2&gt;AA38,($E$5/$B$4),0),0))))</f>
        <v/>
      </c>
      <c r="AC38" s="141" t="str">
        <f>IF($AC$8="Habilitado",IF($A38="","",ROUND(VLOOKUP($A38,'Presupuesto Consolidado'!#REF!,6,FALSE),2)),"")</f>
        <v/>
      </c>
      <c r="AD38" s="142" t="str">
        <f t="shared" ref="AD38" si="149">IF($A38="","",IF(AC38="","",IF($K$4="Media aritmética",(AC38&lt;=$B38)*($E$5/$B$4)+(AC38&gt;$B38)*0,IF(ROUND(AVERAGE($C38,$E38,$G38,$I38,$K38,$M38,$O38,$Q38,$S38,$U38,$W38,$Y38,$AA38,$AC38,$AE38),2)-$B38/2&lt;=AC38,IF(ROUND(AVERAGE($C38,$E38,$G38,$I38,$K38,$M38,$O38,$Q38,$S38,$U38,$W38,$Y38,$AA38,$AC38,$AE38),2)+$B38/2&gt;AC38,($E$5/$B$4),0),0))))</f>
        <v/>
      </c>
      <c r="AE38" s="141" t="str">
        <f>IF($AE$8="Habilitado",IF($A38="","",ROUND(VLOOKUP($A38,'Presupuesto Consolidado'!#REF!,6,FALSE),2)),"")</f>
        <v/>
      </c>
      <c r="AF38" s="142" t="str">
        <f t="shared" ref="AF38" si="150">IF($A38="","",IF(AE38="","",IF($K$4="Media aritmética",(AE38&lt;=$B38)*($E$5/$B$4)+(AE38&gt;$B38)*0,IF(ROUND(AVERAGE($C38,$E38,$G38,$I38,$K38,$M38,$O38,$Q38,$S38,$U38,$W38,$Y38,$AA38,$AC38,$AE38),2)-$B38/2&lt;=AE38,IF(ROUND(AVERAGE($C38,$E38,$G38,$I38,$K38,$M38,$O38,$Q38,$S38,$U38,$W38,$Y38,$AA38,$AC38,$AE38),2)+$B38/2&gt;AE38,($E$5/$B$4),0),0))))</f>
        <v/>
      </c>
      <c r="AH38" s="251"/>
      <c r="AI38" s="252"/>
      <c r="AJ38" s="252"/>
    </row>
    <row r="39" spans="1:36" s="135" customFormat="1" ht="21" customHeight="1">
      <c r="A39" s="132" t="str">
        <f>+'Presupuesto Consolidado'!A151</f>
        <v>12.4.2</v>
      </c>
      <c r="B39" s="140">
        <f t="shared" ref="B39" si="151">IF(A39="","",IF($K$4="Media aritmética",ROUND(AVERAGE(C39,E39,G39,I39,K39,M39,O39,Q39,S39,U39,W39,Y39,AA39,AC39,AE39),2),ROUND(_xlfn.STDEV.P(C39,E39,G39,I39,K39,M39,O39,Q39,S39,U39,W39,Y39,AA39,AC39,AE39),2)))</f>
        <v>9872688</v>
      </c>
      <c r="C39" s="141">
        <f>IF($C$8="Habilitado",IF($A39="","",ROUND(VLOOKUP($A39,'Presupuesto Consolidado'!$A$9:$F$600,6,FALSE),2)),"")</f>
        <v>9872688</v>
      </c>
      <c r="D39" s="142">
        <f t="shared" ref="D39" si="152">IF($A39="","",IF(C39="","",IF($K$4="Media aritmética",(C39&lt;=$B39)*($E$5/$B$4)+(C39&gt;$B39)*0,IF(ROUND(AVERAGE($C39,$E39,$G39,$I39,$K39,$M39,$O39,$Q39,$S39,$U39,$W39,$Y39,$AA39,$AC39,$AE39),2)-$B39/2&lt;=C39,IF(ROUND(AVERAGE($C39,$E39,$G39,$I39,$K39,$M39,$O39,$Q39,$S39,$U39,$W39,$Y39,$AA39,$AC39,$AE39),2)+$B39/2&gt;C39,($E$5/$B$4),0),0))))</f>
        <v>3.870967741935484</v>
      </c>
      <c r="E39" s="141" t="str">
        <f>IF($E$8="Habilitado",IF($A39="","",ROUND(VLOOKUP($A39,'Presupuesto Consolidado'!$I$9:$N$600,6,FALSE),2)),"")</f>
        <v/>
      </c>
      <c r="F39" s="142" t="str">
        <f t="shared" ref="F39" si="153">IF($A39="","",IF(E39="","",IF($K$4="Media aritmética",(E39&lt;=$B39)*($E$5/$B$4)+(E39&gt;$B39)*0,IF(ROUND(AVERAGE($C39,$E39,$G39,$I39,$K39,$M39,$O39,$Q39,$S39,$U39,$W39,$Y39,$AA39,$AC39,$AE39),2)-$B39/2&lt;=E39,IF(ROUND(AVERAGE($C39,$E39,$G39,$I39,$K39,$M39,$O39,$Q39,$S39,$U39,$W39,$Y39,$AA39,$AC39,$AE39),2)+$B39/2&gt;E39,($E$5/$B$4),0),0))))</f>
        <v/>
      </c>
      <c r="G39" s="141" t="str">
        <f>IF($G$8="Habilitado",IF($A39="","",ROUND(VLOOKUP($A39,'Presupuesto Consolidado'!$Q$9:$V$600,6,FALSE),2)),"")</f>
        <v/>
      </c>
      <c r="H39" s="142" t="str">
        <f t="shared" ref="H39" si="154">IF($A39="","",IF(G39="","",IF($K$4="Media aritmética",(G39&lt;=$B39)*($E$5/$B$4)+(G39&gt;$B39)*0,IF(ROUND(AVERAGE($C39,$E39,$G39,$I39,$K39,$M39,$O39,$Q39,$S39,$U39,$W39,$Y39,$AA39,$AC39,$AE39),2)-$B39/2&lt;=G39,IF(ROUND(AVERAGE($C39,$E39,$G39,$I39,$K39,$M39,$O39,$Q39,$S39,$U39,$W39,$Y39,$AA39,$AC39,$AE39),2)+$B39/2&gt;G39,($E$5/$B$4),0),0))))</f>
        <v/>
      </c>
      <c r="I39" s="141" t="str">
        <f>IF($I$8="Habilitado",IF($A39="","",ROUND(VLOOKUP($A39,'Presupuesto Consolidado'!$Y$9:$AD$600,6,FALSE),2)),"")</f>
        <v/>
      </c>
      <c r="J39" s="142" t="str">
        <f t="shared" ref="J39" si="155">IF($A39="","",IF(I39="","",IF($K$4="Media aritmética",(I39&lt;=$B39)*($E$5/$B$4)+(I39&gt;$B39)*0,IF(ROUND(AVERAGE($C39,$E39,$G39,$I39,$K39,$M39,$O39,$Q39,$S39,$U39,$W39,$Y39,$AA39,$AC39,$AE39),2)-$B39/2&lt;=I39,IF(ROUND(AVERAGE($C39,$E39,$G39,$I39,$K39,$M39,$O39,$Q39,$S39,$U39,$W39,$Y39,$AA39,$AC39,$AE39),2)+$B39/2&gt;I39,($E$5/$B$4),0),0))))</f>
        <v/>
      </c>
      <c r="K39" s="141" t="str">
        <f>IF($K$8="Habilitado",IF($A39="","",ROUND(VLOOKUP($A39,'Presupuesto Consolidado'!#REF!,6,FALSE),2)),"")</f>
        <v/>
      </c>
      <c r="L39" s="142" t="str">
        <f t="shared" ref="L39" si="156">IF($A39="","",IF(K39="","",IF($K$4="Media aritmética",(K39&lt;=$B39)*($E$5/$B$4)+(K39&gt;$B39)*0,IF(ROUND(AVERAGE($C39,$E39,$G39,$I39,$K39,$M39,$O39,$Q39,$S39,$U39,$W39,$Y39,$AA39,$AC39,$AE39),2)-$B39/2&lt;=K39,IF(ROUND(AVERAGE($C39,$E39,$G39,$I39,$K39,$M39,$O39,$Q39,$S39,$U39,$W39,$Y39,$AA39,$AC39,$AE39),2)+$B39/2&gt;K39,($E$5/$B$4),0),0))))</f>
        <v/>
      </c>
      <c r="M39" s="141" t="str">
        <f>IF($M$8="Habilitado",IF($A39="","",ROUND(VLOOKUP($A39,'Presupuesto Consolidado'!#REF!,6,FALSE),2)),"")</f>
        <v/>
      </c>
      <c r="N39" s="142" t="str">
        <f t="shared" ref="N39" si="157">IF($A39="","",IF(M39="","",IF($K$4="Media aritmética",(M39&lt;=$B39)*($E$5/$B$4)+(M39&gt;$B39)*0,IF(ROUND(AVERAGE($C39,$E39,$G39,$I39,$K39,$M39,$O39,$Q39,$S39,$U39,$W39,$Y39,$AA39,$AC39,$AE39),2)-$B39/2&lt;=M39,IF(ROUND(AVERAGE($C39,$E39,$G39,$I39,$K39,$M39,$O39,$Q39,$S39,$U39,$W39,$Y39,$AA39,$AC39,$AE39),2)+$B39/2&gt;M39,($E$5/$B$4),0),0))))</f>
        <v/>
      </c>
      <c r="O39" s="141" t="str">
        <f>IF($O$8="Habilitado",IF($A39="","",ROUND(VLOOKUP($A39,'Presupuesto Consolidado'!#REF!,6,FALSE),2)),"")</f>
        <v/>
      </c>
      <c r="P39" s="142" t="str">
        <f t="shared" ref="P39" si="158">IF($A39="","",IF(O39="","",IF($K$4="Media aritmética",(O39&lt;=$B39)*($E$5/$B$4)+(O39&gt;$B39)*0,IF(ROUND(AVERAGE($C39,$E39,$G39,$I39,$K39,$M39,$O39,$Q39,$S39,$U39,$W39,$Y39,$AA39,$AC39,$AE39),2)-$B39/2&lt;=O39,IF(ROUND(AVERAGE($C39,$E39,$G39,$I39,$K39,$M39,$O39,$Q39,$S39,$U39,$W39,$Y39,$AA39,$AC39,$AE39),2)+$B39/2&gt;O39,($E$5/$B$4),0),0))))</f>
        <v/>
      </c>
      <c r="Q39" s="141" t="str">
        <f>IF($Q$8="Habilitado",IF($A39="","",ROUND(VLOOKUP($A39,'Presupuesto Consolidado'!#REF!,6,FALSE),2)),"")</f>
        <v/>
      </c>
      <c r="R39" s="142" t="str">
        <f t="shared" ref="R39" si="159">IF($A39="","",IF(Q39="","",IF($K$4="Media aritmética",(Q39&lt;=$B39)*($E$5/$B$4)+(Q39&gt;$B39)*0,IF(ROUND(AVERAGE($C39,$E39,$G39,$I39,$K39,$M39,$O39,$Q39,$S39,$U39,$W39,$Y39,$AA39,$AC39,$AE39),2)-$B39/2&lt;=Q39,IF(ROUND(AVERAGE($C39,$E39,$G39,$I39,$K39,$M39,$O39,$Q39,$S39,$U39,$W39,$Y39,$AA39,$AC39,$AE39),2)+$B39/2&gt;Q39,($E$5/$B$4),0),0))))</f>
        <v/>
      </c>
      <c r="S39" s="141" t="str">
        <f>IF($S$8="Habilitado",IF($A39="","",ROUND(VLOOKUP($A39,'Presupuesto Consolidado'!#REF!,6,FALSE),2)),"")</f>
        <v/>
      </c>
      <c r="T39" s="142" t="str">
        <f t="shared" ref="T39" si="160">IF($A39="","",IF(S39="","",IF($K$4="Media aritmética",(S39&lt;=$B39)*($E$5/$B$4)+(S39&gt;$B39)*0,IF(ROUND(AVERAGE($C39,$E39,$G39,$I39,$K39,$M39,$O39,$Q39,$S39,$U39,$W39,$Y39,$AA39,$AC39,$AE39),2)-$B39/2&lt;=S39,IF(ROUND(AVERAGE($C39,$E39,$G39,$I39,$K39,$M39,$O39,$Q39,$S39,$U39,$W39,$Y39,$AA39,$AC39,$AE39),2)+$B39/2&gt;S39,($E$5/$B$4),0),0))))</f>
        <v/>
      </c>
      <c r="U39" s="141" t="str">
        <f>IF($U$8="Habilitado",IF($A39="","",ROUND(VLOOKUP($A39,'Presupuesto Consolidado'!#REF!,6,FALSE),2)),"")</f>
        <v/>
      </c>
      <c r="V39" s="142" t="str">
        <f t="shared" ref="V39" si="161">IF($A39="","",IF(U39="","",IF($K$4="Media aritmética",(U39&lt;=$B39)*($E$5/$B$4)+(U39&gt;$B39)*0,IF(ROUND(AVERAGE($C39,$E39,$G39,$I39,$K39,$M39,$O39,$Q39,$S39,$U39,$W39,$Y39,$AA39,$AC39,$AE39),2)-$B39/2&lt;=U39,IF(ROUND(AVERAGE($C39,$E39,$G39,$I39,$K39,$M39,$O39,$Q39,$S39,$U39,$W39,$Y39,$AA39,$AC39,$AE39),2)+$B39/2&gt;U39,($E$5/$B$4),0),0))))</f>
        <v/>
      </c>
      <c r="W39" s="141" t="str">
        <f>IF($W$8="Habilitado",IF($A39="","",ROUND(VLOOKUP($A39,'Presupuesto Consolidado'!#REF!,6,FALSE),2)),"")</f>
        <v/>
      </c>
      <c r="X39" s="142" t="str">
        <f t="shared" ref="X39" si="162">IF($A39="","",IF(W39="","",IF($K$4="Media aritmética",(W39&lt;=$B39)*($E$5/$B$4)+(W39&gt;$B39)*0,IF(ROUND(AVERAGE($C39,$E39,$G39,$I39,$K39,$M39,$O39,$Q39,$S39,$U39,$W39,$Y39,$AA39,$AC39,$AE39),2)-$B39/2&lt;=W39,IF(ROUND(AVERAGE($C39,$E39,$G39,$I39,$K39,$M39,$O39,$Q39,$S39,$U39,$W39,$Y39,$AA39,$AC39,$AE39),2)+$B39/2&gt;W39,($E$5/$B$4),0),0))))</f>
        <v/>
      </c>
      <c r="Y39" s="141" t="str">
        <f>IF($Y$8="Habilitado",IF($A39="","",ROUND(VLOOKUP($A39,'Presupuesto Consolidado'!#REF!,6,FALSE),2)),"")</f>
        <v/>
      </c>
      <c r="Z39" s="142" t="str">
        <f t="shared" ref="Z39" si="163">IF($A39="","",IF(Y39="","",IF($K$4="Media aritmética",(Y39&lt;=$B39)*($E$5/$B$4)+(Y39&gt;$B39)*0,IF(ROUND(AVERAGE($C39,$E39,$G39,$I39,$K39,$M39,$O39,$Q39,$S39,$U39,$W39,$Y39,$AA39,$AC39,$AE39),2)-$B39/2&lt;=Y39,IF(ROUND(AVERAGE($C39,$E39,$G39,$I39,$K39,$M39,$O39,$Q39,$S39,$U39,$W39,$Y39,$AA39,$AC39,$AE39),2)+$B39/2&gt;Y39,($E$5/$B$4),0),0))))</f>
        <v/>
      </c>
      <c r="AA39" s="141" t="str">
        <f>IF($AA$8="Habilitado",IF($A39="","",ROUND(VLOOKUP($A39,'Presupuesto Consolidado'!#REF!,6,FALSE),2)),"")</f>
        <v/>
      </c>
      <c r="AB39" s="142" t="str">
        <f t="shared" ref="AB39" si="164">IF($A39="","",IF(AA39="","",IF($K$4="Media aritmética",(AA39&lt;=$B39)*($E$5/$B$4)+(AA39&gt;$B39)*0,IF(ROUND(AVERAGE($C39,$E39,$G39,$I39,$K39,$M39,$O39,$Q39,$S39,$U39,$W39,$Y39,$AA39,$AC39,$AE39),2)-$B39/2&lt;=AA39,IF(ROUND(AVERAGE($C39,$E39,$G39,$I39,$K39,$M39,$O39,$Q39,$S39,$U39,$W39,$Y39,$AA39,$AC39,$AE39),2)+$B39/2&gt;AA39,($E$5/$B$4),0),0))))</f>
        <v/>
      </c>
      <c r="AC39" s="141" t="str">
        <f>IF($AC$8="Habilitado",IF($A39="","",ROUND(VLOOKUP($A39,'Presupuesto Consolidado'!#REF!,6,FALSE),2)),"")</f>
        <v/>
      </c>
      <c r="AD39" s="142" t="str">
        <f t="shared" ref="AD39" si="165">IF($A39="","",IF(AC39="","",IF($K$4="Media aritmética",(AC39&lt;=$B39)*($E$5/$B$4)+(AC39&gt;$B39)*0,IF(ROUND(AVERAGE($C39,$E39,$G39,$I39,$K39,$M39,$O39,$Q39,$S39,$U39,$W39,$Y39,$AA39,$AC39,$AE39),2)-$B39/2&lt;=AC39,IF(ROUND(AVERAGE($C39,$E39,$G39,$I39,$K39,$M39,$O39,$Q39,$S39,$U39,$W39,$Y39,$AA39,$AC39,$AE39),2)+$B39/2&gt;AC39,($E$5/$B$4),0),0))))</f>
        <v/>
      </c>
      <c r="AE39" s="141" t="str">
        <f>IF($AE$8="Habilitado",IF($A39="","",ROUND(VLOOKUP($A39,'Presupuesto Consolidado'!#REF!,6,FALSE),2)),"")</f>
        <v/>
      </c>
      <c r="AF39" s="142" t="str">
        <f t="shared" ref="AF39" si="166">IF($A39="","",IF(AE39="","",IF($K$4="Media aritmética",(AE39&lt;=$B39)*($E$5/$B$4)+(AE39&gt;$B39)*0,IF(ROUND(AVERAGE($C39,$E39,$G39,$I39,$K39,$M39,$O39,$Q39,$S39,$U39,$W39,$Y39,$AA39,$AC39,$AE39),2)-$B39/2&lt;=AE39,IF(ROUND(AVERAGE($C39,$E39,$G39,$I39,$K39,$M39,$O39,$Q39,$S39,$U39,$W39,$Y39,$AA39,$AC39,$AE39),2)+$B39/2&gt;AE39,($E$5/$B$4),0),0))))</f>
        <v/>
      </c>
      <c r="AH39" s="251"/>
      <c r="AI39" s="252"/>
      <c r="AJ39" s="252"/>
    </row>
    <row r="40" spans="1:36" s="135" customFormat="1" ht="21" customHeight="1">
      <c r="A40" s="132" t="str">
        <f>+'Presupuesto Consolidado'!A152</f>
        <v>12.4.3</v>
      </c>
      <c r="B40" s="140">
        <f t="shared" ref="B40" si="167">IF(A40="","",IF($K$4="Media aritmética",ROUND(AVERAGE(C40,E40,G40,I40,K40,M40,O40,Q40,S40,U40,W40,Y40,AA40,AC40,AE40),2),ROUND(_xlfn.STDEV.P(C40,E40,G40,I40,K40,M40,O40,Q40,S40,U40,W40,Y40,AA40,AC40,AE40),2)))</f>
        <v>7660899</v>
      </c>
      <c r="C40" s="141">
        <f>IF($C$8="Habilitado",IF($A40="","",ROUND(VLOOKUP($A40,'Presupuesto Consolidado'!$A$9:$F$600,6,FALSE),2)),"")</f>
        <v>7660899</v>
      </c>
      <c r="D40" s="142">
        <f t="shared" ref="D40" si="168">IF($A40="","",IF(C40="","",IF($K$4="Media aritmética",(C40&lt;=$B40)*($E$5/$B$4)+(C40&gt;$B40)*0,IF(ROUND(AVERAGE($C40,$E40,$G40,$I40,$K40,$M40,$O40,$Q40,$S40,$U40,$W40,$Y40,$AA40,$AC40,$AE40),2)-$B40/2&lt;=C40,IF(ROUND(AVERAGE($C40,$E40,$G40,$I40,$K40,$M40,$O40,$Q40,$S40,$U40,$W40,$Y40,$AA40,$AC40,$AE40),2)+$B40/2&gt;C40,($E$5/$B$4),0),0))))</f>
        <v>3.870967741935484</v>
      </c>
      <c r="E40" s="141" t="str">
        <f>IF($E$8="Habilitado",IF($A40="","",ROUND(VLOOKUP($A40,'Presupuesto Consolidado'!$I$9:$N$600,6,FALSE),2)),"")</f>
        <v/>
      </c>
      <c r="F40" s="142" t="str">
        <f t="shared" ref="F40" si="169">IF($A40="","",IF(E40="","",IF($K$4="Media aritmética",(E40&lt;=$B40)*($E$5/$B$4)+(E40&gt;$B40)*0,IF(ROUND(AVERAGE($C40,$E40,$G40,$I40,$K40,$M40,$O40,$Q40,$S40,$U40,$W40,$Y40,$AA40,$AC40,$AE40),2)-$B40/2&lt;=E40,IF(ROUND(AVERAGE($C40,$E40,$G40,$I40,$K40,$M40,$O40,$Q40,$S40,$U40,$W40,$Y40,$AA40,$AC40,$AE40),2)+$B40/2&gt;E40,($E$5/$B$4),0),0))))</f>
        <v/>
      </c>
      <c r="G40" s="141" t="str">
        <f>IF($G$8="Habilitado",IF($A40="","",ROUND(VLOOKUP($A40,'Presupuesto Consolidado'!$Q$9:$V$600,6,FALSE),2)),"")</f>
        <v/>
      </c>
      <c r="H40" s="142" t="str">
        <f t="shared" ref="H40" si="170">IF($A40="","",IF(G40="","",IF($K$4="Media aritmética",(G40&lt;=$B40)*($E$5/$B$4)+(G40&gt;$B40)*0,IF(ROUND(AVERAGE($C40,$E40,$G40,$I40,$K40,$M40,$O40,$Q40,$S40,$U40,$W40,$Y40,$AA40,$AC40,$AE40),2)-$B40/2&lt;=G40,IF(ROUND(AVERAGE($C40,$E40,$G40,$I40,$K40,$M40,$O40,$Q40,$S40,$U40,$W40,$Y40,$AA40,$AC40,$AE40),2)+$B40/2&gt;G40,($E$5/$B$4),0),0))))</f>
        <v/>
      </c>
      <c r="I40" s="141" t="str">
        <f>IF($I$8="Habilitado",IF($A40="","",ROUND(VLOOKUP($A40,'Presupuesto Consolidado'!$Y$9:$AD$600,6,FALSE),2)),"")</f>
        <v/>
      </c>
      <c r="J40" s="142" t="str">
        <f t="shared" ref="J40" si="171">IF($A40="","",IF(I40="","",IF($K$4="Media aritmética",(I40&lt;=$B40)*($E$5/$B$4)+(I40&gt;$B40)*0,IF(ROUND(AVERAGE($C40,$E40,$G40,$I40,$K40,$M40,$O40,$Q40,$S40,$U40,$W40,$Y40,$AA40,$AC40,$AE40),2)-$B40/2&lt;=I40,IF(ROUND(AVERAGE($C40,$E40,$G40,$I40,$K40,$M40,$O40,$Q40,$S40,$U40,$W40,$Y40,$AA40,$AC40,$AE40),2)+$B40/2&gt;I40,($E$5/$B$4),0),0))))</f>
        <v/>
      </c>
      <c r="K40" s="141" t="str">
        <f>IF($K$8="Habilitado",IF($A40="","",ROUND(VLOOKUP($A40,'Presupuesto Consolidado'!#REF!,6,FALSE),2)),"")</f>
        <v/>
      </c>
      <c r="L40" s="142" t="str">
        <f t="shared" ref="L40" si="172">IF($A40="","",IF(K40="","",IF($K$4="Media aritmética",(K40&lt;=$B40)*($E$5/$B$4)+(K40&gt;$B40)*0,IF(ROUND(AVERAGE($C40,$E40,$G40,$I40,$K40,$M40,$O40,$Q40,$S40,$U40,$W40,$Y40,$AA40,$AC40,$AE40),2)-$B40/2&lt;=K40,IF(ROUND(AVERAGE($C40,$E40,$G40,$I40,$K40,$M40,$O40,$Q40,$S40,$U40,$W40,$Y40,$AA40,$AC40,$AE40),2)+$B40/2&gt;K40,($E$5/$B$4),0),0))))</f>
        <v/>
      </c>
      <c r="M40" s="141" t="str">
        <f>IF($M$8="Habilitado",IF($A40="","",ROUND(VLOOKUP($A40,'Presupuesto Consolidado'!#REF!,6,FALSE),2)),"")</f>
        <v/>
      </c>
      <c r="N40" s="142" t="str">
        <f t="shared" ref="N40" si="173">IF($A40="","",IF(M40="","",IF($K$4="Media aritmética",(M40&lt;=$B40)*($E$5/$B$4)+(M40&gt;$B40)*0,IF(ROUND(AVERAGE($C40,$E40,$G40,$I40,$K40,$M40,$O40,$Q40,$S40,$U40,$W40,$Y40,$AA40,$AC40,$AE40),2)-$B40/2&lt;=M40,IF(ROUND(AVERAGE($C40,$E40,$G40,$I40,$K40,$M40,$O40,$Q40,$S40,$U40,$W40,$Y40,$AA40,$AC40,$AE40),2)+$B40/2&gt;M40,($E$5/$B$4),0),0))))</f>
        <v/>
      </c>
      <c r="O40" s="141" t="str">
        <f>IF($O$8="Habilitado",IF($A40="","",ROUND(VLOOKUP($A40,'Presupuesto Consolidado'!#REF!,6,FALSE),2)),"")</f>
        <v/>
      </c>
      <c r="P40" s="142" t="str">
        <f t="shared" ref="P40" si="174">IF($A40="","",IF(O40="","",IF($K$4="Media aritmética",(O40&lt;=$B40)*($E$5/$B$4)+(O40&gt;$B40)*0,IF(ROUND(AVERAGE($C40,$E40,$G40,$I40,$K40,$M40,$O40,$Q40,$S40,$U40,$W40,$Y40,$AA40,$AC40,$AE40),2)-$B40/2&lt;=O40,IF(ROUND(AVERAGE($C40,$E40,$G40,$I40,$K40,$M40,$O40,$Q40,$S40,$U40,$W40,$Y40,$AA40,$AC40,$AE40),2)+$B40/2&gt;O40,($E$5/$B$4),0),0))))</f>
        <v/>
      </c>
      <c r="Q40" s="141" t="str">
        <f>IF($Q$8="Habilitado",IF($A40="","",ROUND(VLOOKUP($A40,'Presupuesto Consolidado'!#REF!,6,FALSE),2)),"")</f>
        <v/>
      </c>
      <c r="R40" s="142" t="str">
        <f t="shared" ref="R40" si="175">IF($A40="","",IF(Q40="","",IF($K$4="Media aritmética",(Q40&lt;=$B40)*($E$5/$B$4)+(Q40&gt;$B40)*0,IF(ROUND(AVERAGE($C40,$E40,$G40,$I40,$K40,$M40,$O40,$Q40,$S40,$U40,$W40,$Y40,$AA40,$AC40,$AE40),2)-$B40/2&lt;=Q40,IF(ROUND(AVERAGE($C40,$E40,$G40,$I40,$K40,$M40,$O40,$Q40,$S40,$U40,$W40,$Y40,$AA40,$AC40,$AE40),2)+$B40/2&gt;Q40,($E$5/$B$4),0),0))))</f>
        <v/>
      </c>
      <c r="S40" s="141" t="str">
        <f>IF($S$8="Habilitado",IF($A40="","",ROUND(VLOOKUP($A40,'Presupuesto Consolidado'!#REF!,6,FALSE),2)),"")</f>
        <v/>
      </c>
      <c r="T40" s="142" t="str">
        <f t="shared" ref="T40" si="176">IF($A40="","",IF(S40="","",IF($K$4="Media aritmética",(S40&lt;=$B40)*($E$5/$B$4)+(S40&gt;$B40)*0,IF(ROUND(AVERAGE($C40,$E40,$G40,$I40,$K40,$M40,$O40,$Q40,$S40,$U40,$W40,$Y40,$AA40,$AC40,$AE40),2)-$B40/2&lt;=S40,IF(ROUND(AVERAGE($C40,$E40,$G40,$I40,$K40,$M40,$O40,$Q40,$S40,$U40,$W40,$Y40,$AA40,$AC40,$AE40),2)+$B40/2&gt;S40,($E$5/$B$4),0),0))))</f>
        <v/>
      </c>
      <c r="U40" s="141" t="str">
        <f>IF($U$8="Habilitado",IF($A40="","",ROUND(VLOOKUP($A40,'Presupuesto Consolidado'!#REF!,6,FALSE),2)),"")</f>
        <v/>
      </c>
      <c r="V40" s="142" t="str">
        <f t="shared" ref="V40" si="177">IF($A40="","",IF(U40="","",IF($K$4="Media aritmética",(U40&lt;=$B40)*($E$5/$B$4)+(U40&gt;$B40)*0,IF(ROUND(AVERAGE($C40,$E40,$G40,$I40,$K40,$M40,$O40,$Q40,$S40,$U40,$W40,$Y40,$AA40,$AC40,$AE40),2)-$B40/2&lt;=U40,IF(ROUND(AVERAGE($C40,$E40,$G40,$I40,$K40,$M40,$O40,$Q40,$S40,$U40,$W40,$Y40,$AA40,$AC40,$AE40),2)+$B40/2&gt;U40,($E$5/$B$4),0),0))))</f>
        <v/>
      </c>
      <c r="W40" s="141" t="str">
        <f>IF($W$8="Habilitado",IF($A40="","",ROUND(VLOOKUP($A40,'Presupuesto Consolidado'!#REF!,6,FALSE),2)),"")</f>
        <v/>
      </c>
      <c r="X40" s="142" t="str">
        <f t="shared" ref="X40" si="178">IF($A40="","",IF(W40="","",IF($K$4="Media aritmética",(W40&lt;=$B40)*($E$5/$B$4)+(W40&gt;$B40)*0,IF(ROUND(AVERAGE($C40,$E40,$G40,$I40,$K40,$M40,$O40,$Q40,$S40,$U40,$W40,$Y40,$AA40,$AC40,$AE40),2)-$B40/2&lt;=W40,IF(ROUND(AVERAGE($C40,$E40,$G40,$I40,$K40,$M40,$O40,$Q40,$S40,$U40,$W40,$Y40,$AA40,$AC40,$AE40),2)+$B40/2&gt;W40,($E$5/$B$4),0),0))))</f>
        <v/>
      </c>
      <c r="Y40" s="141" t="str">
        <f>IF($Y$8="Habilitado",IF($A40="","",ROUND(VLOOKUP($A40,'Presupuesto Consolidado'!#REF!,6,FALSE),2)),"")</f>
        <v/>
      </c>
      <c r="Z40" s="142" t="str">
        <f t="shared" ref="Z40" si="179">IF($A40="","",IF(Y40="","",IF($K$4="Media aritmética",(Y40&lt;=$B40)*($E$5/$B$4)+(Y40&gt;$B40)*0,IF(ROUND(AVERAGE($C40,$E40,$G40,$I40,$K40,$M40,$O40,$Q40,$S40,$U40,$W40,$Y40,$AA40,$AC40,$AE40),2)-$B40/2&lt;=Y40,IF(ROUND(AVERAGE($C40,$E40,$G40,$I40,$K40,$M40,$O40,$Q40,$S40,$U40,$W40,$Y40,$AA40,$AC40,$AE40),2)+$B40/2&gt;Y40,($E$5/$B$4),0),0))))</f>
        <v/>
      </c>
      <c r="AA40" s="141" t="str">
        <f>IF($AA$8="Habilitado",IF($A40="","",ROUND(VLOOKUP($A40,'Presupuesto Consolidado'!#REF!,6,FALSE),2)),"")</f>
        <v/>
      </c>
      <c r="AB40" s="142" t="str">
        <f t="shared" ref="AB40" si="180">IF($A40="","",IF(AA40="","",IF($K$4="Media aritmética",(AA40&lt;=$B40)*($E$5/$B$4)+(AA40&gt;$B40)*0,IF(ROUND(AVERAGE($C40,$E40,$G40,$I40,$K40,$M40,$O40,$Q40,$S40,$U40,$W40,$Y40,$AA40,$AC40,$AE40),2)-$B40/2&lt;=AA40,IF(ROUND(AVERAGE($C40,$E40,$G40,$I40,$K40,$M40,$O40,$Q40,$S40,$U40,$W40,$Y40,$AA40,$AC40,$AE40),2)+$B40/2&gt;AA40,($E$5/$B$4),0),0))))</f>
        <v/>
      </c>
      <c r="AC40" s="141" t="str">
        <f>IF($AC$8="Habilitado",IF($A40="","",ROUND(VLOOKUP($A40,'Presupuesto Consolidado'!#REF!,6,FALSE),2)),"")</f>
        <v/>
      </c>
      <c r="AD40" s="142" t="str">
        <f t="shared" ref="AD40" si="181">IF($A40="","",IF(AC40="","",IF($K$4="Media aritmética",(AC40&lt;=$B40)*($E$5/$B$4)+(AC40&gt;$B40)*0,IF(ROUND(AVERAGE($C40,$E40,$G40,$I40,$K40,$M40,$O40,$Q40,$S40,$U40,$W40,$Y40,$AA40,$AC40,$AE40),2)-$B40/2&lt;=AC40,IF(ROUND(AVERAGE($C40,$E40,$G40,$I40,$K40,$M40,$O40,$Q40,$S40,$U40,$W40,$Y40,$AA40,$AC40,$AE40),2)+$B40/2&gt;AC40,($E$5/$B$4),0),0))))</f>
        <v/>
      </c>
      <c r="AE40" s="141" t="str">
        <f>IF($AE$8="Habilitado",IF($A40="","",ROUND(VLOOKUP($A40,'Presupuesto Consolidado'!#REF!,6,FALSE),2)),"")</f>
        <v/>
      </c>
      <c r="AF40" s="142" t="str">
        <f t="shared" ref="AF40" si="182">IF($A40="","",IF(AE40="","",IF($K$4="Media aritmética",(AE40&lt;=$B40)*($E$5/$B$4)+(AE40&gt;$B40)*0,IF(ROUND(AVERAGE($C40,$E40,$G40,$I40,$K40,$M40,$O40,$Q40,$S40,$U40,$W40,$Y40,$AA40,$AC40,$AE40),2)-$B40/2&lt;=AE40,IF(ROUND(AVERAGE($C40,$E40,$G40,$I40,$K40,$M40,$O40,$Q40,$S40,$U40,$W40,$Y40,$AA40,$AC40,$AE40),2)+$B40/2&gt;AE40,($E$5/$B$4),0),0))))</f>
        <v/>
      </c>
      <c r="AH40" s="251"/>
      <c r="AI40" s="252"/>
      <c r="AJ40" s="252"/>
    </row>
    <row r="41" spans="1:36" s="135" customFormat="1" ht="21" customHeight="1">
      <c r="A41" s="132" t="str">
        <f>+'Presupuesto Consolidado'!A154</f>
        <v>12.4.5</v>
      </c>
      <c r="B41" s="140">
        <f t="shared" ref="B41" si="183">IF(A41="","",IF($K$4="Media aritmética",ROUND(AVERAGE(C41,E41,G41,I41,K41,M41,O41,Q41,S41,U41,W41,Y41,AA41,AC41,AE41),2),ROUND(_xlfn.STDEV.P(C41,E41,G41,I41,K41,M41,O41,Q41,S41,U41,W41,Y41,AA41,AC41,AE41),2)))</f>
        <v>1739950</v>
      </c>
      <c r="C41" s="141">
        <f>IF($C$8="Habilitado",IF($A41="","",ROUND(VLOOKUP($A41,'Presupuesto Consolidado'!$A$9:$F$600,6,FALSE),2)),"")</f>
        <v>1739950</v>
      </c>
      <c r="D41" s="142">
        <f t="shared" ref="D41" si="184">IF($A41="","",IF(C41="","",IF($K$4="Media aritmética",(C41&lt;=$B41)*($E$5/$B$4)+(C41&gt;$B41)*0,IF(ROUND(AVERAGE($C41,$E41,$G41,$I41,$K41,$M41,$O41,$Q41,$S41,$U41,$W41,$Y41,$AA41,$AC41,$AE41),2)-$B41/2&lt;=C41,IF(ROUND(AVERAGE($C41,$E41,$G41,$I41,$K41,$M41,$O41,$Q41,$S41,$U41,$W41,$Y41,$AA41,$AC41,$AE41),2)+$B41/2&gt;C41,($E$5/$B$4),0),0))))</f>
        <v>3.870967741935484</v>
      </c>
      <c r="E41" s="141" t="str">
        <f>IF($E$8="Habilitado",IF($A41="","",ROUND(VLOOKUP($A41,'Presupuesto Consolidado'!$I$9:$N$600,6,FALSE),2)),"")</f>
        <v/>
      </c>
      <c r="F41" s="142" t="str">
        <f t="shared" ref="F41" si="185">IF($A41="","",IF(E41="","",IF($K$4="Media aritmética",(E41&lt;=$B41)*($E$5/$B$4)+(E41&gt;$B41)*0,IF(ROUND(AVERAGE($C41,$E41,$G41,$I41,$K41,$M41,$O41,$Q41,$S41,$U41,$W41,$Y41,$AA41,$AC41,$AE41),2)-$B41/2&lt;=E41,IF(ROUND(AVERAGE($C41,$E41,$G41,$I41,$K41,$M41,$O41,$Q41,$S41,$U41,$W41,$Y41,$AA41,$AC41,$AE41),2)+$B41/2&gt;E41,($E$5/$B$4),0),0))))</f>
        <v/>
      </c>
      <c r="G41" s="141" t="str">
        <f>IF($G$8="Habilitado",IF($A41="","",ROUND(VLOOKUP($A41,'Presupuesto Consolidado'!$Q$9:$V$600,6,FALSE),2)),"")</f>
        <v/>
      </c>
      <c r="H41" s="142" t="str">
        <f t="shared" ref="H41" si="186">IF($A41="","",IF(G41="","",IF($K$4="Media aritmética",(G41&lt;=$B41)*($E$5/$B$4)+(G41&gt;$B41)*0,IF(ROUND(AVERAGE($C41,$E41,$G41,$I41,$K41,$M41,$O41,$Q41,$S41,$U41,$W41,$Y41,$AA41,$AC41,$AE41),2)-$B41/2&lt;=G41,IF(ROUND(AVERAGE($C41,$E41,$G41,$I41,$K41,$M41,$O41,$Q41,$S41,$U41,$W41,$Y41,$AA41,$AC41,$AE41),2)+$B41/2&gt;G41,($E$5/$B$4),0),0))))</f>
        <v/>
      </c>
      <c r="I41" s="141" t="str">
        <f>IF($I$8="Habilitado",IF($A41="","",ROUND(VLOOKUP($A41,'Presupuesto Consolidado'!$Y$9:$AD$600,6,FALSE),2)),"")</f>
        <v/>
      </c>
      <c r="J41" s="142" t="str">
        <f t="shared" ref="J41" si="187">IF($A41="","",IF(I41="","",IF($K$4="Media aritmética",(I41&lt;=$B41)*($E$5/$B$4)+(I41&gt;$B41)*0,IF(ROUND(AVERAGE($C41,$E41,$G41,$I41,$K41,$M41,$O41,$Q41,$S41,$U41,$W41,$Y41,$AA41,$AC41,$AE41),2)-$B41/2&lt;=I41,IF(ROUND(AVERAGE($C41,$E41,$G41,$I41,$K41,$M41,$O41,$Q41,$S41,$U41,$W41,$Y41,$AA41,$AC41,$AE41),2)+$B41/2&gt;I41,($E$5/$B$4),0),0))))</f>
        <v/>
      </c>
      <c r="K41" s="141" t="str">
        <f>IF($K$8="Habilitado",IF($A41="","",ROUND(VLOOKUP($A41,'Presupuesto Consolidado'!#REF!,6,FALSE),2)),"")</f>
        <v/>
      </c>
      <c r="L41" s="142" t="str">
        <f t="shared" ref="L41" si="188">IF($A41="","",IF(K41="","",IF($K$4="Media aritmética",(K41&lt;=$B41)*($E$5/$B$4)+(K41&gt;$B41)*0,IF(ROUND(AVERAGE($C41,$E41,$G41,$I41,$K41,$M41,$O41,$Q41,$S41,$U41,$W41,$Y41,$AA41,$AC41,$AE41),2)-$B41/2&lt;=K41,IF(ROUND(AVERAGE($C41,$E41,$G41,$I41,$K41,$M41,$O41,$Q41,$S41,$U41,$W41,$Y41,$AA41,$AC41,$AE41),2)+$B41/2&gt;K41,($E$5/$B$4),0),0))))</f>
        <v/>
      </c>
      <c r="M41" s="141" t="str">
        <f>IF($M$8="Habilitado",IF($A41="","",ROUND(VLOOKUP($A41,'Presupuesto Consolidado'!#REF!,6,FALSE),2)),"")</f>
        <v/>
      </c>
      <c r="N41" s="142" t="str">
        <f t="shared" ref="N41" si="189">IF($A41="","",IF(M41="","",IF($K$4="Media aritmética",(M41&lt;=$B41)*($E$5/$B$4)+(M41&gt;$B41)*0,IF(ROUND(AVERAGE($C41,$E41,$G41,$I41,$K41,$M41,$O41,$Q41,$S41,$U41,$W41,$Y41,$AA41,$AC41,$AE41),2)-$B41/2&lt;=M41,IF(ROUND(AVERAGE($C41,$E41,$G41,$I41,$K41,$M41,$O41,$Q41,$S41,$U41,$W41,$Y41,$AA41,$AC41,$AE41),2)+$B41/2&gt;M41,($E$5/$B$4),0),0))))</f>
        <v/>
      </c>
      <c r="O41" s="141" t="str">
        <f>IF($O$8="Habilitado",IF($A41="","",ROUND(VLOOKUP($A41,'Presupuesto Consolidado'!#REF!,6,FALSE),2)),"")</f>
        <v/>
      </c>
      <c r="P41" s="142" t="str">
        <f t="shared" ref="P41" si="190">IF($A41="","",IF(O41="","",IF($K$4="Media aritmética",(O41&lt;=$B41)*($E$5/$B$4)+(O41&gt;$B41)*0,IF(ROUND(AVERAGE($C41,$E41,$G41,$I41,$K41,$M41,$O41,$Q41,$S41,$U41,$W41,$Y41,$AA41,$AC41,$AE41),2)-$B41/2&lt;=O41,IF(ROUND(AVERAGE($C41,$E41,$G41,$I41,$K41,$M41,$O41,$Q41,$S41,$U41,$W41,$Y41,$AA41,$AC41,$AE41),2)+$B41/2&gt;O41,($E$5/$B$4),0),0))))</f>
        <v/>
      </c>
      <c r="Q41" s="141" t="str">
        <f>IF($Q$8="Habilitado",IF($A41="","",ROUND(VLOOKUP($A41,'Presupuesto Consolidado'!#REF!,6,FALSE),2)),"")</f>
        <v/>
      </c>
      <c r="R41" s="142" t="str">
        <f t="shared" ref="R41" si="191">IF($A41="","",IF(Q41="","",IF($K$4="Media aritmética",(Q41&lt;=$B41)*($E$5/$B$4)+(Q41&gt;$B41)*0,IF(ROUND(AVERAGE($C41,$E41,$G41,$I41,$K41,$M41,$O41,$Q41,$S41,$U41,$W41,$Y41,$AA41,$AC41,$AE41),2)-$B41/2&lt;=Q41,IF(ROUND(AVERAGE($C41,$E41,$G41,$I41,$K41,$M41,$O41,$Q41,$S41,$U41,$W41,$Y41,$AA41,$AC41,$AE41),2)+$B41/2&gt;Q41,($E$5/$B$4),0),0))))</f>
        <v/>
      </c>
      <c r="S41" s="141" t="str">
        <f>IF($S$8="Habilitado",IF($A41="","",ROUND(VLOOKUP($A41,'Presupuesto Consolidado'!#REF!,6,FALSE),2)),"")</f>
        <v/>
      </c>
      <c r="T41" s="142" t="str">
        <f t="shared" ref="T41" si="192">IF($A41="","",IF(S41="","",IF($K$4="Media aritmética",(S41&lt;=$B41)*($E$5/$B$4)+(S41&gt;$B41)*0,IF(ROUND(AVERAGE($C41,$E41,$G41,$I41,$K41,$M41,$O41,$Q41,$S41,$U41,$W41,$Y41,$AA41,$AC41,$AE41),2)-$B41/2&lt;=S41,IF(ROUND(AVERAGE($C41,$E41,$G41,$I41,$K41,$M41,$O41,$Q41,$S41,$U41,$W41,$Y41,$AA41,$AC41,$AE41),2)+$B41/2&gt;S41,($E$5/$B$4),0),0))))</f>
        <v/>
      </c>
      <c r="U41" s="141" t="str">
        <f>IF($U$8="Habilitado",IF($A41="","",ROUND(VLOOKUP($A41,'Presupuesto Consolidado'!#REF!,6,FALSE),2)),"")</f>
        <v/>
      </c>
      <c r="V41" s="142" t="str">
        <f t="shared" ref="V41" si="193">IF($A41="","",IF(U41="","",IF($K$4="Media aritmética",(U41&lt;=$B41)*($E$5/$B$4)+(U41&gt;$B41)*0,IF(ROUND(AVERAGE($C41,$E41,$G41,$I41,$K41,$M41,$O41,$Q41,$S41,$U41,$W41,$Y41,$AA41,$AC41,$AE41),2)-$B41/2&lt;=U41,IF(ROUND(AVERAGE($C41,$E41,$G41,$I41,$K41,$M41,$O41,$Q41,$S41,$U41,$W41,$Y41,$AA41,$AC41,$AE41),2)+$B41/2&gt;U41,($E$5/$B$4),0),0))))</f>
        <v/>
      </c>
      <c r="W41" s="141" t="str">
        <f>IF($W$8="Habilitado",IF($A41="","",ROUND(VLOOKUP($A41,'Presupuesto Consolidado'!#REF!,6,FALSE),2)),"")</f>
        <v/>
      </c>
      <c r="X41" s="142" t="str">
        <f t="shared" ref="X41" si="194">IF($A41="","",IF(W41="","",IF($K$4="Media aritmética",(W41&lt;=$B41)*($E$5/$B$4)+(W41&gt;$B41)*0,IF(ROUND(AVERAGE($C41,$E41,$G41,$I41,$K41,$M41,$O41,$Q41,$S41,$U41,$W41,$Y41,$AA41,$AC41,$AE41),2)-$B41/2&lt;=W41,IF(ROUND(AVERAGE($C41,$E41,$G41,$I41,$K41,$M41,$O41,$Q41,$S41,$U41,$W41,$Y41,$AA41,$AC41,$AE41),2)+$B41/2&gt;W41,($E$5/$B$4),0),0))))</f>
        <v/>
      </c>
      <c r="Y41" s="141" t="str">
        <f>IF($Y$8="Habilitado",IF($A41="","",ROUND(VLOOKUP($A41,'Presupuesto Consolidado'!#REF!,6,FALSE),2)),"")</f>
        <v/>
      </c>
      <c r="Z41" s="142" t="str">
        <f t="shared" ref="Z41" si="195">IF($A41="","",IF(Y41="","",IF($K$4="Media aritmética",(Y41&lt;=$B41)*($E$5/$B$4)+(Y41&gt;$B41)*0,IF(ROUND(AVERAGE($C41,$E41,$G41,$I41,$K41,$M41,$O41,$Q41,$S41,$U41,$W41,$Y41,$AA41,$AC41,$AE41),2)-$B41/2&lt;=Y41,IF(ROUND(AVERAGE($C41,$E41,$G41,$I41,$K41,$M41,$O41,$Q41,$S41,$U41,$W41,$Y41,$AA41,$AC41,$AE41),2)+$B41/2&gt;Y41,($E$5/$B$4),0),0))))</f>
        <v/>
      </c>
      <c r="AA41" s="141" t="str">
        <f>IF($AA$8="Habilitado",IF($A41="","",ROUND(VLOOKUP($A41,'Presupuesto Consolidado'!#REF!,6,FALSE),2)),"")</f>
        <v/>
      </c>
      <c r="AB41" s="142" t="str">
        <f t="shared" ref="AB41" si="196">IF($A41="","",IF(AA41="","",IF($K$4="Media aritmética",(AA41&lt;=$B41)*($E$5/$B$4)+(AA41&gt;$B41)*0,IF(ROUND(AVERAGE($C41,$E41,$G41,$I41,$K41,$M41,$O41,$Q41,$S41,$U41,$W41,$Y41,$AA41,$AC41,$AE41),2)-$B41/2&lt;=AA41,IF(ROUND(AVERAGE($C41,$E41,$G41,$I41,$K41,$M41,$O41,$Q41,$S41,$U41,$W41,$Y41,$AA41,$AC41,$AE41),2)+$B41/2&gt;AA41,($E$5/$B$4),0),0))))</f>
        <v/>
      </c>
      <c r="AC41" s="141" t="str">
        <f>IF($AC$8="Habilitado",IF($A41="","",ROUND(VLOOKUP($A41,'Presupuesto Consolidado'!#REF!,6,FALSE),2)),"")</f>
        <v/>
      </c>
      <c r="AD41" s="142" t="str">
        <f t="shared" ref="AD41" si="197">IF($A41="","",IF(AC41="","",IF($K$4="Media aritmética",(AC41&lt;=$B41)*($E$5/$B$4)+(AC41&gt;$B41)*0,IF(ROUND(AVERAGE($C41,$E41,$G41,$I41,$K41,$M41,$O41,$Q41,$S41,$U41,$W41,$Y41,$AA41,$AC41,$AE41),2)-$B41/2&lt;=AC41,IF(ROUND(AVERAGE($C41,$E41,$G41,$I41,$K41,$M41,$O41,$Q41,$S41,$U41,$W41,$Y41,$AA41,$AC41,$AE41),2)+$B41/2&gt;AC41,($E$5/$B$4),0),0))))</f>
        <v/>
      </c>
      <c r="AE41" s="141" t="str">
        <f>IF($AE$8="Habilitado",IF($A41="","",ROUND(VLOOKUP($A41,'Presupuesto Consolidado'!#REF!,6,FALSE),2)),"")</f>
        <v/>
      </c>
      <c r="AF41" s="142" t="str">
        <f t="shared" ref="AF41" si="198">IF($A41="","",IF(AE41="","",IF($K$4="Media aritmética",(AE41&lt;=$B41)*($E$5/$B$4)+(AE41&gt;$B41)*0,IF(ROUND(AVERAGE($C41,$E41,$G41,$I41,$K41,$M41,$O41,$Q41,$S41,$U41,$W41,$Y41,$AA41,$AC41,$AE41),2)-$B41/2&lt;=AE41,IF(ROUND(AVERAGE($C41,$E41,$G41,$I41,$K41,$M41,$O41,$Q41,$S41,$U41,$W41,$Y41,$AA41,$AC41,$AE41),2)+$B41/2&gt;AE41,($E$5/$B$4),0),0))))</f>
        <v/>
      </c>
      <c r="AH41" s="251"/>
      <c r="AI41" s="252"/>
      <c r="AJ41" s="252"/>
    </row>
    <row r="42" spans="1:36" s="135" customFormat="1" ht="21" customHeight="1">
      <c r="A42" s="132" t="str">
        <f>+'Presupuesto Consolidado'!A159</f>
        <v>12.4.9</v>
      </c>
      <c r="B42" s="140">
        <f t="shared" ref="B42" si="199">IF(A42="","",IF($K$4="Media aritmética",ROUND(AVERAGE(C42,E42,G42,I42,K42,M42,O42,Q42,S42,U42,W42,Y42,AA42,AC42,AE42),2),ROUND(_xlfn.STDEV.P(C42,E42,G42,I42,K42,M42,O42,Q42,S42,U42,W42,Y42,AA42,AC42,AE42),2)))</f>
        <v>1462582</v>
      </c>
      <c r="C42" s="141">
        <f>IF($C$8="Habilitado",IF($A42="","",ROUND(VLOOKUP($A42,'Presupuesto Consolidado'!$A$9:$F$600,6,FALSE),2)),"")</f>
        <v>1462582</v>
      </c>
      <c r="D42" s="142">
        <f t="shared" ref="D42" si="200">IF($A42="","",IF(C42="","",IF($K$4="Media aritmética",(C42&lt;=$B42)*($E$5/$B$4)+(C42&gt;$B42)*0,IF(ROUND(AVERAGE($C42,$E42,$G42,$I42,$K42,$M42,$O42,$Q42,$S42,$U42,$W42,$Y42,$AA42,$AC42,$AE42),2)-$B42/2&lt;=C42,IF(ROUND(AVERAGE($C42,$E42,$G42,$I42,$K42,$M42,$O42,$Q42,$S42,$U42,$W42,$Y42,$AA42,$AC42,$AE42),2)+$B42/2&gt;C42,($E$5/$B$4),0),0))))</f>
        <v>3.870967741935484</v>
      </c>
      <c r="E42" s="141" t="str">
        <f>IF($E$8="Habilitado",IF($A42="","",ROUND(VLOOKUP($A42,'Presupuesto Consolidado'!$I$9:$N$600,6,FALSE),2)),"")</f>
        <v/>
      </c>
      <c r="F42" s="142" t="str">
        <f t="shared" ref="F42" si="201">IF($A42="","",IF(E42="","",IF($K$4="Media aritmética",(E42&lt;=$B42)*($E$5/$B$4)+(E42&gt;$B42)*0,IF(ROUND(AVERAGE($C42,$E42,$G42,$I42,$K42,$M42,$O42,$Q42,$S42,$U42,$W42,$Y42,$AA42,$AC42,$AE42),2)-$B42/2&lt;=E42,IF(ROUND(AVERAGE($C42,$E42,$G42,$I42,$K42,$M42,$O42,$Q42,$S42,$U42,$W42,$Y42,$AA42,$AC42,$AE42),2)+$B42/2&gt;E42,($E$5/$B$4),0),0))))</f>
        <v/>
      </c>
      <c r="G42" s="141" t="str">
        <f>IF($G$8="Habilitado",IF($A42="","",ROUND(VLOOKUP($A42,'Presupuesto Consolidado'!$Q$9:$V$600,6,FALSE),2)),"")</f>
        <v/>
      </c>
      <c r="H42" s="142" t="str">
        <f t="shared" ref="H42" si="202">IF($A42="","",IF(G42="","",IF($K$4="Media aritmética",(G42&lt;=$B42)*($E$5/$B$4)+(G42&gt;$B42)*0,IF(ROUND(AVERAGE($C42,$E42,$G42,$I42,$K42,$M42,$O42,$Q42,$S42,$U42,$W42,$Y42,$AA42,$AC42,$AE42),2)-$B42/2&lt;=G42,IF(ROUND(AVERAGE($C42,$E42,$G42,$I42,$K42,$M42,$O42,$Q42,$S42,$U42,$W42,$Y42,$AA42,$AC42,$AE42),2)+$B42/2&gt;G42,($E$5/$B$4),0),0))))</f>
        <v/>
      </c>
      <c r="I42" s="141" t="str">
        <f>IF($I$8="Habilitado",IF($A42="","",ROUND(VLOOKUP($A42,'Presupuesto Consolidado'!$Y$9:$AD$600,6,FALSE),2)),"")</f>
        <v/>
      </c>
      <c r="J42" s="142" t="str">
        <f t="shared" ref="J42" si="203">IF($A42="","",IF(I42="","",IF($K$4="Media aritmética",(I42&lt;=$B42)*($E$5/$B$4)+(I42&gt;$B42)*0,IF(ROUND(AVERAGE($C42,$E42,$G42,$I42,$K42,$M42,$O42,$Q42,$S42,$U42,$W42,$Y42,$AA42,$AC42,$AE42),2)-$B42/2&lt;=I42,IF(ROUND(AVERAGE($C42,$E42,$G42,$I42,$K42,$M42,$O42,$Q42,$S42,$U42,$W42,$Y42,$AA42,$AC42,$AE42),2)+$B42/2&gt;I42,($E$5/$B$4),0),0))))</f>
        <v/>
      </c>
      <c r="K42" s="141" t="str">
        <f>IF($K$8="Habilitado",IF($A42="","",ROUND(VLOOKUP($A42,'Presupuesto Consolidado'!#REF!,6,FALSE),2)),"")</f>
        <v/>
      </c>
      <c r="L42" s="142" t="str">
        <f t="shared" ref="L42" si="204">IF($A42="","",IF(K42="","",IF($K$4="Media aritmética",(K42&lt;=$B42)*($E$5/$B$4)+(K42&gt;$B42)*0,IF(ROUND(AVERAGE($C42,$E42,$G42,$I42,$K42,$M42,$O42,$Q42,$S42,$U42,$W42,$Y42,$AA42,$AC42,$AE42),2)-$B42/2&lt;=K42,IF(ROUND(AVERAGE($C42,$E42,$G42,$I42,$K42,$M42,$O42,$Q42,$S42,$U42,$W42,$Y42,$AA42,$AC42,$AE42),2)+$B42/2&gt;K42,($E$5/$B$4),0),0))))</f>
        <v/>
      </c>
      <c r="M42" s="141" t="str">
        <f>IF($M$8="Habilitado",IF($A42="","",ROUND(VLOOKUP($A42,'Presupuesto Consolidado'!#REF!,6,FALSE),2)),"")</f>
        <v/>
      </c>
      <c r="N42" s="142" t="str">
        <f t="shared" ref="N42" si="205">IF($A42="","",IF(M42="","",IF($K$4="Media aritmética",(M42&lt;=$B42)*($E$5/$B$4)+(M42&gt;$B42)*0,IF(ROUND(AVERAGE($C42,$E42,$G42,$I42,$K42,$M42,$O42,$Q42,$S42,$U42,$W42,$Y42,$AA42,$AC42,$AE42),2)-$B42/2&lt;=M42,IF(ROUND(AVERAGE($C42,$E42,$G42,$I42,$K42,$M42,$O42,$Q42,$S42,$U42,$W42,$Y42,$AA42,$AC42,$AE42),2)+$B42/2&gt;M42,($E$5/$B$4),0),0))))</f>
        <v/>
      </c>
      <c r="O42" s="141" t="str">
        <f>IF($O$8="Habilitado",IF($A42="","",ROUND(VLOOKUP($A42,'Presupuesto Consolidado'!#REF!,6,FALSE),2)),"")</f>
        <v/>
      </c>
      <c r="P42" s="142" t="str">
        <f t="shared" ref="P42" si="206">IF($A42="","",IF(O42="","",IF($K$4="Media aritmética",(O42&lt;=$B42)*($E$5/$B$4)+(O42&gt;$B42)*0,IF(ROUND(AVERAGE($C42,$E42,$G42,$I42,$K42,$M42,$O42,$Q42,$S42,$U42,$W42,$Y42,$AA42,$AC42,$AE42),2)-$B42/2&lt;=O42,IF(ROUND(AVERAGE($C42,$E42,$G42,$I42,$K42,$M42,$O42,$Q42,$S42,$U42,$W42,$Y42,$AA42,$AC42,$AE42),2)+$B42/2&gt;O42,($E$5/$B$4),0),0))))</f>
        <v/>
      </c>
      <c r="Q42" s="141" t="str">
        <f>IF($Q$8="Habilitado",IF($A42="","",ROUND(VLOOKUP($A42,'Presupuesto Consolidado'!#REF!,6,FALSE),2)),"")</f>
        <v/>
      </c>
      <c r="R42" s="142" t="str">
        <f t="shared" ref="R42" si="207">IF($A42="","",IF(Q42="","",IF($K$4="Media aritmética",(Q42&lt;=$B42)*($E$5/$B$4)+(Q42&gt;$B42)*0,IF(ROUND(AVERAGE($C42,$E42,$G42,$I42,$K42,$M42,$O42,$Q42,$S42,$U42,$W42,$Y42,$AA42,$AC42,$AE42),2)-$B42/2&lt;=Q42,IF(ROUND(AVERAGE($C42,$E42,$G42,$I42,$K42,$M42,$O42,$Q42,$S42,$U42,$W42,$Y42,$AA42,$AC42,$AE42),2)+$B42/2&gt;Q42,($E$5/$B$4),0),0))))</f>
        <v/>
      </c>
      <c r="S42" s="141" t="str">
        <f>IF($S$8="Habilitado",IF($A42="","",ROUND(VLOOKUP($A42,'Presupuesto Consolidado'!#REF!,6,FALSE),2)),"")</f>
        <v/>
      </c>
      <c r="T42" s="142" t="str">
        <f t="shared" ref="T42" si="208">IF($A42="","",IF(S42="","",IF($K$4="Media aritmética",(S42&lt;=$B42)*($E$5/$B$4)+(S42&gt;$B42)*0,IF(ROUND(AVERAGE($C42,$E42,$G42,$I42,$K42,$M42,$O42,$Q42,$S42,$U42,$W42,$Y42,$AA42,$AC42,$AE42),2)-$B42/2&lt;=S42,IF(ROUND(AVERAGE($C42,$E42,$G42,$I42,$K42,$M42,$O42,$Q42,$S42,$U42,$W42,$Y42,$AA42,$AC42,$AE42),2)+$B42/2&gt;S42,($E$5/$B$4),0),0))))</f>
        <v/>
      </c>
      <c r="U42" s="141" t="str">
        <f>IF($U$8="Habilitado",IF($A42="","",ROUND(VLOOKUP($A42,'Presupuesto Consolidado'!#REF!,6,FALSE),2)),"")</f>
        <v/>
      </c>
      <c r="V42" s="142" t="str">
        <f t="shared" ref="V42" si="209">IF($A42="","",IF(U42="","",IF($K$4="Media aritmética",(U42&lt;=$B42)*($E$5/$B$4)+(U42&gt;$B42)*0,IF(ROUND(AVERAGE($C42,$E42,$G42,$I42,$K42,$M42,$O42,$Q42,$S42,$U42,$W42,$Y42,$AA42,$AC42,$AE42),2)-$B42/2&lt;=U42,IF(ROUND(AVERAGE($C42,$E42,$G42,$I42,$K42,$M42,$O42,$Q42,$S42,$U42,$W42,$Y42,$AA42,$AC42,$AE42),2)+$B42/2&gt;U42,($E$5/$B$4),0),0))))</f>
        <v/>
      </c>
      <c r="W42" s="141" t="str">
        <f>IF($W$8="Habilitado",IF($A42="","",ROUND(VLOOKUP($A42,'Presupuesto Consolidado'!#REF!,6,FALSE),2)),"")</f>
        <v/>
      </c>
      <c r="X42" s="142" t="str">
        <f t="shared" ref="X42" si="210">IF($A42="","",IF(W42="","",IF($K$4="Media aritmética",(W42&lt;=$B42)*($E$5/$B$4)+(W42&gt;$B42)*0,IF(ROUND(AVERAGE($C42,$E42,$G42,$I42,$K42,$M42,$O42,$Q42,$S42,$U42,$W42,$Y42,$AA42,$AC42,$AE42),2)-$B42/2&lt;=W42,IF(ROUND(AVERAGE($C42,$E42,$G42,$I42,$K42,$M42,$O42,$Q42,$S42,$U42,$W42,$Y42,$AA42,$AC42,$AE42),2)+$B42/2&gt;W42,($E$5/$B$4),0),0))))</f>
        <v/>
      </c>
      <c r="Y42" s="141" t="str">
        <f>IF($Y$8="Habilitado",IF($A42="","",ROUND(VLOOKUP($A42,'Presupuesto Consolidado'!#REF!,6,FALSE),2)),"")</f>
        <v/>
      </c>
      <c r="Z42" s="142" t="str">
        <f t="shared" ref="Z42" si="211">IF($A42="","",IF(Y42="","",IF($K$4="Media aritmética",(Y42&lt;=$B42)*($E$5/$B$4)+(Y42&gt;$B42)*0,IF(ROUND(AVERAGE($C42,$E42,$G42,$I42,$K42,$M42,$O42,$Q42,$S42,$U42,$W42,$Y42,$AA42,$AC42,$AE42),2)-$B42/2&lt;=Y42,IF(ROUND(AVERAGE($C42,$E42,$G42,$I42,$K42,$M42,$O42,$Q42,$S42,$U42,$W42,$Y42,$AA42,$AC42,$AE42),2)+$B42/2&gt;Y42,($E$5/$B$4),0),0))))</f>
        <v/>
      </c>
      <c r="AA42" s="141" t="str">
        <f>IF($AA$8="Habilitado",IF($A42="","",ROUND(VLOOKUP($A42,'Presupuesto Consolidado'!#REF!,6,FALSE),2)),"")</f>
        <v/>
      </c>
      <c r="AB42" s="142" t="str">
        <f t="shared" ref="AB42" si="212">IF($A42="","",IF(AA42="","",IF($K$4="Media aritmética",(AA42&lt;=$B42)*($E$5/$B$4)+(AA42&gt;$B42)*0,IF(ROUND(AVERAGE($C42,$E42,$G42,$I42,$K42,$M42,$O42,$Q42,$S42,$U42,$W42,$Y42,$AA42,$AC42,$AE42),2)-$B42/2&lt;=AA42,IF(ROUND(AVERAGE($C42,$E42,$G42,$I42,$K42,$M42,$O42,$Q42,$S42,$U42,$W42,$Y42,$AA42,$AC42,$AE42),2)+$B42/2&gt;AA42,($E$5/$B$4),0),0))))</f>
        <v/>
      </c>
      <c r="AC42" s="141" t="str">
        <f>IF($AC$8="Habilitado",IF($A42="","",ROUND(VLOOKUP($A42,'Presupuesto Consolidado'!#REF!,6,FALSE),2)),"")</f>
        <v/>
      </c>
      <c r="AD42" s="142" t="str">
        <f t="shared" ref="AD42" si="213">IF($A42="","",IF(AC42="","",IF($K$4="Media aritmética",(AC42&lt;=$B42)*($E$5/$B$4)+(AC42&gt;$B42)*0,IF(ROUND(AVERAGE($C42,$E42,$G42,$I42,$K42,$M42,$O42,$Q42,$S42,$U42,$W42,$Y42,$AA42,$AC42,$AE42),2)-$B42/2&lt;=AC42,IF(ROUND(AVERAGE($C42,$E42,$G42,$I42,$K42,$M42,$O42,$Q42,$S42,$U42,$W42,$Y42,$AA42,$AC42,$AE42),2)+$B42/2&gt;AC42,($E$5/$B$4),0),0))))</f>
        <v/>
      </c>
      <c r="AE42" s="141" t="str">
        <f>IF($AE$8="Habilitado",IF($A42="","",ROUND(VLOOKUP($A42,'Presupuesto Consolidado'!#REF!,6,FALSE),2)),"")</f>
        <v/>
      </c>
      <c r="AF42" s="142" t="str">
        <f t="shared" ref="AF42" si="214">IF($A42="","",IF(AE42="","",IF($K$4="Media aritmética",(AE42&lt;=$B42)*($E$5/$B$4)+(AE42&gt;$B42)*0,IF(ROUND(AVERAGE($C42,$E42,$G42,$I42,$K42,$M42,$O42,$Q42,$S42,$U42,$W42,$Y42,$AA42,$AC42,$AE42),2)-$B42/2&lt;=AE42,IF(ROUND(AVERAGE($C42,$E42,$G42,$I42,$K42,$M42,$O42,$Q42,$S42,$U42,$W42,$Y42,$AA42,$AC42,$AE42),2)+$B42/2&gt;AE42,($E$5/$B$4),0),0))))</f>
        <v/>
      </c>
      <c r="AH42" s="251"/>
      <c r="AI42" s="252"/>
      <c r="AJ42" s="252"/>
    </row>
    <row r="43" spans="1:36" s="135" customFormat="1" ht="21" customHeight="1">
      <c r="A43" s="132" t="str">
        <f>+'Presupuesto Consolidado'!A175</f>
        <v>12.4.24</v>
      </c>
      <c r="B43" s="140">
        <f t="shared" si="13"/>
        <v>9180810</v>
      </c>
      <c r="C43" s="141">
        <f>IF($C$8="Habilitado",IF($A43="","",ROUND(VLOOKUP($A43,'Presupuesto Consolidado'!$A$9:$F$600,6,FALSE),2)),"")</f>
        <v>9180810</v>
      </c>
      <c r="D43" s="142">
        <f t="shared" si="14"/>
        <v>3.870967741935484</v>
      </c>
      <c r="E43" s="141" t="str">
        <f>IF($E$8="Habilitado",IF($A43="","",ROUND(VLOOKUP($A43,'Presupuesto Consolidado'!$I$9:$N$600,6,FALSE),2)),"")</f>
        <v/>
      </c>
      <c r="F43" s="142" t="str">
        <f t="shared" si="14"/>
        <v/>
      </c>
      <c r="G43" s="141" t="str">
        <f>IF($G$8="Habilitado",IF($A43="","",ROUND(VLOOKUP($A43,'Presupuesto Consolidado'!$Q$9:$V$600,6,FALSE),2)),"")</f>
        <v/>
      </c>
      <c r="H43" s="142" t="str">
        <f t="shared" ref="H43" si="215">IF($A43="","",IF(G43="","",IF($K$4="Media aritmética",(G43&lt;=$B43)*($E$5/$B$4)+(G43&gt;$B43)*0,IF(ROUND(AVERAGE($C43,$E43,$G43,$I43,$K43,$M43,$O43,$Q43,$S43,$U43,$W43,$Y43,$AA43,$AC43,$AE43),2)-$B43/2&lt;=G43,IF(ROUND(AVERAGE($C43,$E43,$G43,$I43,$K43,$M43,$O43,$Q43,$S43,$U43,$W43,$Y43,$AA43,$AC43,$AE43),2)+$B43/2&gt;G43,($E$5/$B$4),0),0))))</f>
        <v/>
      </c>
      <c r="I43" s="141" t="str">
        <f>IF($I$8="Habilitado",IF($A43="","",ROUND(VLOOKUP($A43,'Presupuesto Consolidado'!$Y$9:$AD$600,6,FALSE),2)),"")</f>
        <v/>
      </c>
      <c r="J43" s="142" t="str">
        <f t="shared" ref="J43" si="216">IF($A43="","",IF(I43="","",IF($K$4="Media aritmética",(I43&lt;=$B43)*($E$5/$B$4)+(I43&gt;$B43)*0,IF(ROUND(AVERAGE($C43,$E43,$G43,$I43,$K43,$M43,$O43,$Q43,$S43,$U43,$W43,$Y43,$AA43,$AC43,$AE43),2)-$B43/2&lt;=I43,IF(ROUND(AVERAGE($C43,$E43,$G43,$I43,$K43,$M43,$O43,$Q43,$S43,$U43,$W43,$Y43,$AA43,$AC43,$AE43),2)+$B43/2&gt;I43,($E$5/$B$4),0),0))))</f>
        <v/>
      </c>
      <c r="K43" s="141" t="str">
        <f>IF($K$8="Habilitado",IF($A43="","",ROUND(VLOOKUP($A43,'Presupuesto Consolidado'!#REF!,6,FALSE),2)),"")</f>
        <v/>
      </c>
      <c r="L43" s="142" t="str">
        <f t="shared" ref="L43" si="217">IF($A43="","",IF(K43="","",IF($K$4="Media aritmética",(K43&lt;=$B43)*($E$5/$B$4)+(K43&gt;$B43)*0,IF(ROUND(AVERAGE($C43,$E43,$G43,$I43,$K43,$M43,$O43,$Q43,$S43,$U43,$W43,$Y43,$AA43,$AC43,$AE43),2)-$B43/2&lt;=K43,IF(ROUND(AVERAGE($C43,$E43,$G43,$I43,$K43,$M43,$O43,$Q43,$S43,$U43,$W43,$Y43,$AA43,$AC43,$AE43),2)+$B43/2&gt;K43,($E$5/$B$4),0),0))))</f>
        <v/>
      </c>
      <c r="M43" s="141" t="str">
        <f>IF($M$8="Habilitado",IF($A43="","",ROUND(VLOOKUP($A43,'Presupuesto Consolidado'!#REF!,6,FALSE),2)),"")</f>
        <v/>
      </c>
      <c r="N43" s="142" t="str">
        <f t="shared" ref="N43" si="218">IF($A43="","",IF(M43="","",IF($K$4="Media aritmética",(M43&lt;=$B43)*($E$5/$B$4)+(M43&gt;$B43)*0,IF(ROUND(AVERAGE($C43,$E43,$G43,$I43,$K43,$M43,$O43,$Q43,$S43,$U43,$W43,$Y43,$AA43,$AC43,$AE43),2)-$B43/2&lt;=M43,IF(ROUND(AVERAGE($C43,$E43,$G43,$I43,$K43,$M43,$O43,$Q43,$S43,$U43,$W43,$Y43,$AA43,$AC43,$AE43),2)+$B43/2&gt;M43,($E$5/$B$4),0),0))))</f>
        <v/>
      </c>
      <c r="O43" s="141" t="str">
        <f>IF($O$8="Habilitado",IF($A43="","",ROUND(VLOOKUP($A43,'Presupuesto Consolidado'!#REF!,6,FALSE),2)),"")</f>
        <v/>
      </c>
      <c r="P43" s="142" t="str">
        <f t="shared" ref="P43" si="219">IF($A43="","",IF(O43="","",IF($K$4="Media aritmética",(O43&lt;=$B43)*($E$5/$B$4)+(O43&gt;$B43)*0,IF(ROUND(AVERAGE($C43,$E43,$G43,$I43,$K43,$M43,$O43,$Q43,$S43,$U43,$W43,$Y43,$AA43,$AC43,$AE43),2)-$B43/2&lt;=O43,IF(ROUND(AVERAGE($C43,$E43,$G43,$I43,$K43,$M43,$O43,$Q43,$S43,$U43,$W43,$Y43,$AA43,$AC43,$AE43),2)+$B43/2&gt;O43,($E$5/$B$4),0),0))))</f>
        <v/>
      </c>
      <c r="Q43" s="141" t="str">
        <f>IF($Q$8="Habilitado",IF($A43="","",ROUND(VLOOKUP($A43,'Presupuesto Consolidado'!#REF!,6,FALSE),2)),"")</f>
        <v/>
      </c>
      <c r="R43" s="142" t="str">
        <f t="shared" ref="R43" si="220">IF($A43="","",IF(Q43="","",IF($K$4="Media aritmética",(Q43&lt;=$B43)*($E$5/$B$4)+(Q43&gt;$B43)*0,IF(ROUND(AVERAGE($C43,$E43,$G43,$I43,$K43,$M43,$O43,$Q43,$S43,$U43,$W43,$Y43,$AA43,$AC43,$AE43),2)-$B43/2&lt;=Q43,IF(ROUND(AVERAGE($C43,$E43,$G43,$I43,$K43,$M43,$O43,$Q43,$S43,$U43,$W43,$Y43,$AA43,$AC43,$AE43),2)+$B43/2&gt;Q43,($E$5/$B$4),0),0))))</f>
        <v/>
      </c>
      <c r="S43" s="141" t="str">
        <f>IF($S$8="Habilitado",IF($A43="","",ROUND(VLOOKUP($A43,'Presupuesto Consolidado'!#REF!,6,FALSE),2)),"")</f>
        <v/>
      </c>
      <c r="T43" s="142" t="str">
        <f t="shared" ref="T43" si="221">IF($A43="","",IF(S43="","",IF($K$4="Media aritmética",(S43&lt;=$B43)*($E$5/$B$4)+(S43&gt;$B43)*0,IF(ROUND(AVERAGE($C43,$E43,$G43,$I43,$K43,$M43,$O43,$Q43,$S43,$U43,$W43,$Y43,$AA43,$AC43,$AE43),2)-$B43/2&lt;=S43,IF(ROUND(AVERAGE($C43,$E43,$G43,$I43,$K43,$M43,$O43,$Q43,$S43,$U43,$W43,$Y43,$AA43,$AC43,$AE43),2)+$B43/2&gt;S43,($E$5/$B$4),0),0))))</f>
        <v/>
      </c>
      <c r="U43" s="141" t="str">
        <f>IF($U$8="Habilitado",IF($A43="","",ROUND(VLOOKUP($A43,'Presupuesto Consolidado'!#REF!,6,FALSE),2)),"")</f>
        <v/>
      </c>
      <c r="V43" s="142" t="str">
        <f t="shared" ref="V43" si="222">IF($A43="","",IF(U43="","",IF($K$4="Media aritmética",(U43&lt;=$B43)*($E$5/$B$4)+(U43&gt;$B43)*0,IF(ROUND(AVERAGE($C43,$E43,$G43,$I43,$K43,$M43,$O43,$Q43,$S43,$U43,$W43,$Y43,$AA43,$AC43,$AE43),2)-$B43/2&lt;=U43,IF(ROUND(AVERAGE($C43,$E43,$G43,$I43,$K43,$M43,$O43,$Q43,$S43,$U43,$W43,$Y43,$AA43,$AC43,$AE43),2)+$B43/2&gt;U43,($E$5/$B$4),0),0))))</f>
        <v/>
      </c>
      <c r="W43" s="141" t="str">
        <f>IF($W$8="Habilitado",IF($A43="","",ROUND(VLOOKUP($A43,'Presupuesto Consolidado'!#REF!,6,FALSE),2)),"")</f>
        <v/>
      </c>
      <c r="X43" s="142" t="str">
        <f t="shared" ref="X43" si="223">IF($A43="","",IF(W43="","",IF($K$4="Media aritmética",(W43&lt;=$B43)*($E$5/$B$4)+(W43&gt;$B43)*0,IF(ROUND(AVERAGE($C43,$E43,$G43,$I43,$K43,$M43,$O43,$Q43,$S43,$U43,$W43,$Y43,$AA43,$AC43,$AE43),2)-$B43/2&lt;=W43,IF(ROUND(AVERAGE($C43,$E43,$G43,$I43,$K43,$M43,$O43,$Q43,$S43,$U43,$W43,$Y43,$AA43,$AC43,$AE43),2)+$B43/2&gt;W43,($E$5/$B$4),0),0))))</f>
        <v/>
      </c>
      <c r="Y43" s="141" t="str">
        <f>IF($Y$8="Habilitado",IF($A43="","",ROUND(VLOOKUP($A43,'Presupuesto Consolidado'!#REF!,6,FALSE),2)),"")</f>
        <v/>
      </c>
      <c r="Z43" s="142" t="str">
        <f t="shared" ref="Z43" si="224">IF($A43="","",IF(Y43="","",IF($K$4="Media aritmética",(Y43&lt;=$B43)*($E$5/$B$4)+(Y43&gt;$B43)*0,IF(ROUND(AVERAGE($C43,$E43,$G43,$I43,$K43,$M43,$O43,$Q43,$S43,$U43,$W43,$Y43,$AA43,$AC43,$AE43),2)-$B43/2&lt;=Y43,IF(ROUND(AVERAGE($C43,$E43,$G43,$I43,$K43,$M43,$O43,$Q43,$S43,$U43,$W43,$Y43,$AA43,$AC43,$AE43),2)+$B43/2&gt;Y43,($E$5/$B$4),0),0))))</f>
        <v/>
      </c>
      <c r="AA43" s="141" t="str">
        <f>IF($AA$8="Habilitado",IF($A43="","",ROUND(VLOOKUP($A43,'Presupuesto Consolidado'!#REF!,6,FALSE),2)),"")</f>
        <v/>
      </c>
      <c r="AB43" s="142" t="str">
        <f t="shared" ref="AB43" si="225">IF($A43="","",IF(AA43="","",IF($K$4="Media aritmética",(AA43&lt;=$B43)*($E$5/$B$4)+(AA43&gt;$B43)*0,IF(ROUND(AVERAGE($C43,$E43,$G43,$I43,$K43,$M43,$O43,$Q43,$S43,$U43,$W43,$Y43,$AA43,$AC43,$AE43),2)-$B43/2&lt;=AA43,IF(ROUND(AVERAGE($C43,$E43,$G43,$I43,$K43,$M43,$O43,$Q43,$S43,$U43,$W43,$Y43,$AA43,$AC43,$AE43),2)+$B43/2&gt;AA43,($E$5/$B$4),0),0))))</f>
        <v/>
      </c>
      <c r="AC43" s="141" t="str">
        <f>IF($AC$8="Habilitado",IF($A43="","",ROUND(VLOOKUP($A43,'Presupuesto Consolidado'!#REF!,6,FALSE),2)),"")</f>
        <v/>
      </c>
      <c r="AD43" s="142" t="str">
        <f t="shared" ref="AD43" si="226">IF($A43="","",IF(AC43="","",IF($K$4="Media aritmética",(AC43&lt;=$B43)*($E$5/$B$4)+(AC43&gt;$B43)*0,IF(ROUND(AVERAGE($C43,$E43,$G43,$I43,$K43,$M43,$O43,$Q43,$S43,$U43,$W43,$Y43,$AA43,$AC43,$AE43),2)-$B43/2&lt;=AC43,IF(ROUND(AVERAGE($C43,$E43,$G43,$I43,$K43,$M43,$O43,$Q43,$S43,$U43,$W43,$Y43,$AA43,$AC43,$AE43),2)+$B43/2&gt;AC43,($E$5/$B$4),0),0))))</f>
        <v/>
      </c>
      <c r="AE43" s="141" t="str">
        <f>IF($AE$8="Habilitado",IF($A43="","",ROUND(VLOOKUP($A43,'Presupuesto Consolidado'!#REF!,6,FALSE),2)),"")</f>
        <v/>
      </c>
      <c r="AF43" s="142" t="str">
        <f t="shared" ref="AF43" si="227">IF($A43="","",IF(AE43="","",IF($K$4="Media aritmética",(AE43&lt;=$B43)*($E$5/$B$4)+(AE43&gt;$B43)*0,IF(ROUND(AVERAGE($C43,$E43,$G43,$I43,$K43,$M43,$O43,$Q43,$S43,$U43,$W43,$Y43,$AA43,$AC43,$AE43),2)-$B43/2&lt;=AE43,IF(ROUND(AVERAGE($C43,$E43,$G43,$I43,$K43,$M43,$O43,$Q43,$S43,$U43,$W43,$Y43,$AA43,$AC43,$AE43),2)+$B43/2&gt;AE43,($E$5/$B$4),0),0))))</f>
        <v/>
      </c>
      <c r="AH43" s="251"/>
      <c r="AI43" s="252"/>
      <c r="AJ43" s="252"/>
    </row>
    <row r="44" spans="1:36" s="135" customFormat="1" ht="21" customHeight="1">
      <c r="A44" s="132" t="str">
        <f>+'Presupuesto Consolidado'!A224</f>
        <v>13.4.1</v>
      </c>
      <c r="B44" s="140">
        <f t="shared" si="13"/>
        <v>24942250</v>
      </c>
      <c r="C44" s="141">
        <f>IF($C$8="Habilitado",IF($A44="","",ROUND(VLOOKUP($A44,'Presupuesto Consolidado'!$A$9:$F$600,6,FALSE),2)),"")</f>
        <v>24942250</v>
      </c>
      <c r="D44" s="142">
        <f t="shared" si="14"/>
        <v>3.870967741935484</v>
      </c>
      <c r="E44" s="141" t="str">
        <f>IF($E$8="Habilitado",IF($A44="","",ROUND(VLOOKUP($A44,'Presupuesto Consolidado'!$I$9:$N$600,6,FALSE),2)),"")</f>
        <v/>
      </c>
      <c r="F44" s="142" t="str">
        <f t="shared" si="14"/>
        <v/>
      </c>
      <c r="G44" s="141" t="str">
        <f>IF($G$8="Habilitado",IF($A44="","",ROUND(VLOOKUP($A44,'Presupuesto Consolidado'!$Q$9:$V$600,6,FALSE),2)),"")</f>
        <v/>
      </c>
      <c r="H44" s="142" t="str">
        <f t="shared" ref="H44" si="228">IF($A44="","",IF(G44="","",IF($K$4="Media aritmética",(G44&lt;=$B44)*($E$5/$B$4)+(G44&gt;$B44)*0,IF(ROUND(AVERAGE($C44,$E44,$G44,$I44,$K44,$M44,$O44,$Q44,$S44,$U44,$W44,$Y44,$AA44,$AC44,$AE44),2)-$B44/2&lt;=G44,IF(ROUND(AVERAGE($C44,$E44,$G44,$I44,$K44,$M44,$O44,$Q44,$S44,$U44,$W44,$Y44,$AA44,$AC44,$AE44),2)+$B44/2&gt;G44,($E$5/$B$4),0),0))))</f>
        <v/>
      </c>
      <c r="I44" s="141" t="str">
        <f>IF($I$8="Habilitado",IF($A44="","",ROUND(VLOOKUP($A44,'Presupuesto Consolidado'!$Y$9:$AD$600,6,FALSE),2)),"")</f>
        <v/>
      </c>
      <c r="J44" s="142" t="str">
        <f t="shared" ref="J44" si="229">IF($A44="","",IF(I44="","",IF($K$4="Media aritmética",(I44&lt;=$B44)*($E$5/$B$4)+(I44&gt;$B44)*0,IF(ROUND(AVERAGE($C44,$E44,$G44,$I44,$K44,$M44,$O44,$Q44,$S44,$U44,$W44,$Y44,$AA44,$AC44,$AE44),2)-$B44/2&lt;=I44,IF(ROUND(AVERAGE($C44,$E44,$G44,$I44,$K44,$M44,$O44,$Q44,$S44,$U44,$W44,$Y44,$AA44,$AC44,$AE44),2)+$B44/2&gt;I44,($E$5/$B$4),0),0))))</f>
        <v/>
      </c>
      <c r="K44" s="141" t="str">
        <f>IF($K$8="Habilitado",IF($A44="","",ROUND(VLOOKUP($A44,'Presupuesto Consolidado'!#REF!,6,FALSE),2)),"")</f>
        <v/>
      </c>
      <c r="L44" s="142" t="str">
        <f t="shared" ref="L44" si="230">IF($A44="","",IF(K44="","",IF($K$4="Media aritmética",(K44&lt;=$B44)*($E$5/$B$4)+(K44&gt;$B44)*0,IF(ROUND(AVERAGE($C44,$E44,$G44,$I44,$K44,$M44,$O44,$Q44,$S44,$U44,$W44,$Y44,$AA44,$AC44,$AE44),2)-$B44/2&lt;=K44,IF(ROUND(AVERAGE($C44,$E44,$G44,$I44,$K44,$M44,$O44,$Q44,$S44,$U44,$W44,$Y44,$AA44,$AC44,$AE44),2)+$B44/2&gt;K44,($E$5/$B$4),0),0))))</f>
        <v/>
      </c>
      <c r="M44" s="141" t="str">
        <f>IF($M$8="Habilitado",IF($A44="","",ROUND(VLOOKUP($A44,'Presupuesto Consolidado'!#REF!,6,FALSE),2)),"")</f>
        <v/>
      </c>
      <c r="N44" s="142" t="str">
        <f t="shared" ref="N44" si="231">IF($A44="","",IF(M44="","",IF($K$4="Media aritmética",(M44&lt;=$B44)*($E$5/$B$4)+(M44&gt;$B44)*0,IF(ROUND(AVERAGE($C44,$E44,$G44,$I44,$K44,$M44,$O44,$Q44,$S44,$U44,$W44,$Y44,$AA44,$AC44,$AE44),2)-$B44/2&lt;=M44,IF(ROUND(AVERAGE($C44,$E44,$G44,$I44,$K44,$M44,$O44,$Q44,$S44,$U44,$W44,$Y44,$AA44,$AC44,$AE44),2)+$B44/2&gt;M44,($E$5/$B$4),0),0))))</f>
        <v/>
      </c>
      <c r="O44" s="141" t="str">
        <f>IF($O$8="Habilitado",IF($A44="","",ROUND(VLOOKUP($A44,'Presupuesto Consolidado'!#REF!,6,FALSE),2)),"")</f>
        <v/>
      </c>
      <c r="P44" s="142" t="str">
        <f t="shared" ref="P44" si="232">IF($A44="","",IF(O44="","",IF($K$4="Media aritmética",(O44&lt;=$B44)*($E$5/$B$4)+(O44&gt;$B44)*0,IF(ROUND(AVERAGE($C44,$E44,$G44,$I44,$K44,$M44,$O44,$Q44,$S44,$U44,$W44,$Y44,$AA44,$AC44,$AE44),2)-$B44/2&lt;=O44,IF(ROUND(AVERAGE($C44,$E44,$G44,$I44,$K44,$M44,$O44,$Q44,$S44,$U44,$W44,$Y44,$AA44,$AC44,$AE44),2)+$B44/2&gt;O44,($E$5/$B$4),0),0))))</f>
        <v/>
      </c>
      <c r="Q44" s="141" t="str">
        <f>IF($Q$8="Habilitado",IF($A44="","",ROUND(VLOOKUP($A44,'Presupuesto Consolidado'!#REF!,6,FALSE),2)),"")</f>
        <v/>
      </c>
      <c r="R44" s="142" t="str">
        <f t="shared" ref="R44" si="233">IF($A44="","",IF(Q44="","",IF($K$4="Media aritmética",(Q44&lt;=$B44)*($E$5/$B$4)+(Q44&gt;$B44)*0,IF(ROUND(AVERAGE($C44,$E44,$G44,$I44,$K44,$M44,$O44,$Q44,$S44,$U44,$W44,$Y44,$AA44,$AC44,$AE44),2)-$B44/2&lt;=Q44,IF(ROUND(AVERAGE($C44,$E44,$G44,$I44,$K44,$M44,$O44,$Q44,$S44,$U44,$W44,$Y44,$AA44,$AC44,$AE44),2)+$B44/2&gt;Q44,($E$5/$B$4),0),0))))</f>
        <v/>
      </c>
      <c r="S44" s="141" t="str">
        <f>IF($S$8="Habilitado",IF($A44="","",ROUND(VLOOKUP($A44,'Presupuesto Consolidado'!#REF!,6,FALSE),2)),"")</f>
        <v/>
      </c>
      <c r="T44" s="142" t="str">
        <f t="shared" ref="T44" si="234">IF($A44="","",IF(S44="","",IF($K$4="Media aritmética",(S44&lt;=$B44)*($E$5/$B$4)+(S44&gt;$B44)*0,IF(ROUND(AVERAGE($C44,$E44,$G44,$I44,$K44,$M44,$O44,$Q44,$S44,$U44,$W44,$Y44,$AA44,$AC44,$AE44),2)-$B44/2&lt;=S44,IF(ROUND(AVERAGE($C44,$E44,$G44,$I44,$K44,$M44,$O44,$Q44,$S44,$U44,$W44,$Y44,$AA44,$AC44,$AE44),2)+$B44/2&gt;S44,($E$5/$B$4),0),0))))</f>
        <v/>
      </c>
      <c r="U44" s="141" t="str">
        <f>IF($U$8="Habilitado",IF($A44="","",ROUND(VLOOKUP($A44,'Presupuesto Consolidado'!#REF!,6,FALSE),2)),"")</f>
        <v/>
      </c>
      <c r="V44" s="142" t="str">
        <f t="shared" ref="V44" si="235">IF($A44="","",IF(U44="","",IF($K$4="Media aritmética",(U44&lt;=$B44)*($E$5/$B$4)+(U44&gt;$B44)*0,IF(ROUND(AVERAGE($C44,$E44,$G44,$I44,$K44,$M44,$O44,$Q44,$S44,$U44,$W44,$Y44,$AA44,$AC44,$AE44),2)-$B44/2&lt;=U44,IF(ROUND(AVERAGE($C44,$E44,$G44,$I44,$K44,$M44,$O44,$Q44,$S44,$U44,$W44,$Y44,$AA44,$AC44,$AE44),2)+$B44/2&gt;U44,($E$5/$B$4),0),0))))</f>
        <v/>
      </c>
      <c r="W44" s="141" t="str">
        <f>IF($W$8="Habilitado",IF($A44="","",ROUND(VLOOKUP($A44,'Presupuesto Consolidado'!#REF!,6,FALSE),2)),"")</f>
        <v/>
      </c>
      <c r="X44" s="142" t="str">
        <f t="shared" ref="X44" si="236">IF($A44="","",IF(W44="","",IF($K$4="Media aritmética",(W44&lt;=$B44)*($E$5/$B$4)+(W44&gt;$B44)*0,IF(ROUND(AVERAGE($C44,$E44,$G44,$I44,$K44,$M44,$O44,$Q44,$S44,$U44,$W44,$Y44,$AA44,$AC44,$AE44),2)-$B44/2&lt;=W44,IF(ROUND(AVERAGE($C44,$E44,$G44,$I44,$K44,$M44,$O44,$Q44,$S44,$U44,$W44,$Y44,$AA44,$AC44,$AE44),2)+$B44/2&gt;W44,($E$5/$B$4),0),0))))</f>
        <v/>
      </c>
      <c r="Y44" s="141" t="str">
        <f>IF($Y$8="Habilitado",IF($A44="","",ROUND(VLOOKUP($A44,'Presupuesto Consolidado'!#REF!,6,FALSE),2)),"")</f>
        <v/>
      </c>
      <c r="Z44" s="142" t="str">
        <f t="shared" ref="Z44" si="237">IF($A44="","",IF(Y44="","",IF($K$4="Media aritmética",(Y44&lt;=$B44)*($E$5/$B$4)+(Y44&gt;$B44)*0,IF(ROUND(AVERAGE($C44,$E44,$G44,$I44,$K44,$M44,$O44,$Q44,$S44,$U44,$W44,$Y44,$AA44,$AC44,$AE44),2)-$B44/2&lt;=Y44,IF(ROUND(AVERAGE($C44,$E44,$G44,$I44,$K44,$M44,$O44,$Q44,$S44,$U44,$W44,$Y44,$AA44,$AC44,$AE44),2)+$B44/2&gt;Y44,($E$5/$B$4),0),0))))</f>
        <v/>
      </c>
      <c r="AA44" s="141" t="str">
        <f>IF($AA$8="Habilitado",IF($A44="","",ROUND(VLOOKUP($A44,'Presupuesto Consolidado'!#REF!,6,FALSE),2)),"")</f>
        <v/>
      </c>
      <c r="AB44" s="142" t="str">
        <f t="shared" ref="AB44" si="238">IF($A44="","",IF(AA44="","",IF($K$4="Media aritmética",(AA44&lt;=$B44)*($E$5/$B$4)+(AA44&gt;$B44)*0,IF(ROUND(AVERAGE($C44,$E44,$G44,$I44,$K44,$M44,$O44,$Q44,$S44,$U44,$W44,$Y44,$AA44,$AC44,$AE44),2)-$B44/2&lt;=AA44,IF(ROUND(AVERAGE($C44,$E44,$G44,$I44,$K44,$M44,$O44,$Q44,$S44,$U44,$W44,$Y44,$AA44,$AC44,$AE44),2)+$B44/2&gt;AA44,($E$5/$B$4),0),0))))</f>
        <v/>
      </c>
      <c r="AC44" s="141" t="str">
        <f>IF($AC$8="Habilitado",IF($A44="","",ROUND(VLOOKUP($A44,'Presupuesto Consolidado'!#REF!,6,FALSE),2)),"")</f>
        <v/>
      </c>
      <c r="AD44" s="142" t="str">
        <f t="shared" ref="AD44" si="239">IF($A44="","",IF(AC44="","",IF($K$4="Media aritmética",(AC44&lt;=$B44)*($E$5/$B$4)+(AC44&gt;$B44)*0,IF(ROUND(AVERAGE($C44,$E44,$G44,$I44,$K44,$M44,$O44,$Q44,$S44,$U44,$W44,$Y44,$AA44,$AC44,$AE44),2)-$B44/2&lt;=AC44,IF(ROUND(AVERAGE($C44,$E44,$G44,$I44,$K44,$M44,$O44,$Q44,$S44,$U44,$W44,$Y44,$AA44,$AC44,$AE44),2)+$B44/2&gt;AC44,($E$5/$B$4),0),0))))</f>
        <v/>
      </c>
      <c r="AE44" s="141" t="str">
        <f>IF($AE$8="Habilitado",IF($A44="","",ROUND(VLOOKUP($A44,'Presupuesto Consolidado'!#REF!,6,FALSE),2)),"")</f>
        <v/>
      </c>
      <c r="AF44" s="142" t="str">
        <f t="shared" ref="AF44" si="240">IF($A44="","",IF(AE44="","",IF($K$4="Media aritmética",(AE44&lt;=$B44)*($E$5/$B$4)+(AE44&gt;$B44)*0,IF(ROUND(AVERAGE($C44,$E44,$G44,$I44,$K44,$M44,$O44,$Q44,$S44,$U44,$W44,$Y44,$AA44,$AC44,$AE44),2)-$B44/2&lt;=AE44,IF(ROUND(AVERAGE($C44,$E44,$G44,$I44,$K44,$M44,$O44,$Q44,$S44,$U44,$W44,$Y44,$AA44,$AC44,$AE44),2)+$B44/2&gt;AE44,($E$5/$B$4),0),0))))</f>
        <v/>
      </c>
      <c r="AH44" s="251"/>
      <c r="AI44" s="252"/>
      <c r="AJ44" s="252"/>
    </row>
    <row r="45" spans="1:36" ht="21" customHeight="1">
      <c r="B45" t="str">
        <f>IF(A45="","",IF($K$4="Media aritmética",AVERAGE(C45,E45,G45,I45,K45,M45,O45,Q45,S45,U45,W45,Y45,AA45,AC45,AE45),_xlfn.STDEV.P(C45,E45,G45,I45,K45,M45,O45,Q45,S45,U45,W45,Y45,AA45,AC45,AE45)))</f>
        <v/>
      </c>
    </row>
    <row r="46" spans="1:36" ht="21.75" customHeight="1">
      <c r="A46" s="641" t="s">
        <v>122</v>
      </c>
      <c r="B46" s="641"/>
      <c r="C46" s="641"/>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row>
    <row r="47" spans="1:36" s="135" customFormat="1" ht="21" customHeight="1">
      <c r="A47" s="132" t="str">
        <f>+'Presupuesto Consolidado'!A9</f>
        <v>1.1</v>
      </c>
      <c r="B47" s="140">
        <f t="shared" ref="B47:B70" si="241">IF(A47="","",IF($K$4="Media aritmética",ROUND(AVERAGE(C47,E47,G47,I47,K47,M47,O47,Q47,S47,U47,W47,Y47,AA47,AC47,AE47),2),ROUND(_xlfn.STDEV.P(C47,E47,G47,I47,K47,M47,O47,Q47,S47,U47,W47,Y47,AA47,AC47,AE47),2)))</f>
        <v>1865100</v>
      </c>
      <c r="C47" s="141">
        <f>IF($C$8="Habilitado",IF($A47="","",ROUND(VLOOKUP($A47,'Presupuesto Consolidado'!$A$9:$F$600,6,FALSE),2)),"")</f>
        <v>1865100</v>
      </c>
      <c r="D47" s="142">
        <f>IF($A47="","",IF(C47="","",IF($K$4="Media aritmética",(C47&lt;=$B47)*($G$5/$B$5)+(C47&gt;$B47)*0,IF(ROUND(AVERAGE($C47,$E47,$G47,$I47,$K47,$M47,$O47,$Q47,$S47,$U47,$W47,$Y47,$AA47,$AC47,$AE47),2)-$B47/2&lt;=C47,IF(ROUND(AVERAGE($C47,$E47,$G47,$I47,$K47,$M47,$O47,$Q47,$S47,$U47,$W47,$Y47,$AA47,$AC47,$AE47),2)+$B47/2&gt;C47,($G$5/$B$5),0),0))))</f>
        <v>0.45714285714285713</v>
      </c>
      <c r="E47" s="141" t="str">
        <f>IF($E$8="Habilitado",IF($A47="","",ROUND(VLOOKUP($A47,'Presupuesto Consolidado'!$I$9:$N$600,6,FALSE),2)),"")</f>
        <v/>
      </c>
      <c r="F47" s="142" t="str">
        <f>IF($A47="","",IF(E47="","",IF($K$4="Media aritmética",(E47&lt;=$B47)*($G$5/$B$5)+(E47&gt;$B47)*0,IF(ROUND(AVERAGE($C47,$E47,$G47,$I47,$K47,$M47,$O47,$Q47,$S47,$U47,$W47,$Y47,$AA47,$AC47,$AE47),2)-$B47/2&lt;=E47,IF(ROUND(AVERAGE($C47,$E47,$G47,$I47,$K47,$M47,$O47,$Q47,$S47,$U47,$W47,$Y47,$AA47,$AC47,$AE47),2)+$B47/2&gt;E47,($G$5/$B$5),0),0))))</f>
        <v/>
      </c>
      <c r="G47" s="141" t="str">
        <f>IF($G$8="Habilitado",IF($A47="","",ROUND(VLOOKUP($A47,'Presupuesto Consolidado'!$Q$9:$V$600,6,FALSE),2)),"")</f>
        <v/>
      </c>
      <c r="H47" s="142" t="str">
        <f>IF($A47="","",IF(G47="","",IF($K$4="Media aritmética",(G47&lt;=$B47)*($G$5/$B$5)+(G47&gt;$B47)*0,IF(ROUND(AVERAGE($C47,$E47,$G47,$I47,$K47,$M47,$O47,$Q47,$S47,$U47,$W47,$Y47,$AA47,$AC47,$AE47),2)-$B47/2&lt;=G47,IF(ROUND(AVERAGE($C47,$E47,$G47,$I47,$K47,$M47,$O47,$Q47,$S47,$U47,$W47,$Y47,$AA47,$AC47,$AE47),2)+$B47/2&gt;G47,($G$5/$B$5),0),0))))</f>
        <v/>
      </c>
      <c r="I47" s="141" t="str">
        <f>IF($I$8="Habilitado",IF($A47="","",ROUND(VLOOKUP($A47,'Presupuesto Consolidado'!$Y$9:$AD$600,6,FALSE),2)),"")</f>
        <v/>
      </c>
      <c r="J47" s="142" t="str">
        <f>IF($A47="","",IF(I47="","",IF($K$4="Media aritmética",(I47&lt;=$B47)*($G$5/$B$5)+(I47&gt;$B47)*0,IF(ROUND(AVERAGE($C47,$E47,$G47,$I47,$K47,$M47,$O47,$Q47,$S47,$U47,$W47,$Y47,$AA47,$AC47,$AE47),2)-$B47/2&lt;=I47,IF(ROUND(AVERAGE($C47,$E47,$G47,$I47,$K47,$M47,$O47,$Q47,$S47,$U47,$W47,$Y47,$AA47,$AC47,$AE47),2)+$B47/2&gt;I47,($G$5/$B$5),0),0))))</f>
        <v/>
      </c>
      <c r="K47" s="141" t="str">
        <f>IF($K$8="Habilitado",IF($A47="","",ROUND(VLOOKUP($A47,'Presupuesto Consolidado'!#REF!,6,FALSE),2)),"")</f>
        <v/>
      </c>
      <c r="L47" s="142" t="str">
        <f>IF($A47="","",IF(K47="","",IF($K$4="Media aritmética",(K47&lt;=$B47)*($G$5/$B$5)+(K47&gt;$B47)*0,IF(ROUND(AVERAGE($C47,$E47,$G47,$I47,$K47,$M47,$O47,$Q47,$S47,$U47,$W47,$Y47,$AA47,$AC47,$AE47),2)-$B47/2&lt;=K47,IF(ROUND(AVERAGE($C47,$E47,$G47,$I47,$K47,$M47,$O47,$Q47,$S47,$U47,$W47,$Y47,$AA47,$AC47,$AE47),2)+$B47/2&gt;K47,($G$5/$B$5),0),0))))</f>
        <v/>
      </c>
      <c r="M47" s="141" t="str">
        <f>IF($M$8="Habilitado",IF($A47="","",ROUND(VLOOKUP($A47,'Presupuesto Consolidado'!#REF!,6,FALSE),2)),"")</f>
        <v/>
      </c>
      <c r="N47" s="142" t="str">
        <f>IF($A47="","",IF(M47="","",IF($K$4="Media aritmética",(M47&lt;=$B47)*($G$5/$B$5)+(M47&gt;$B47)*0,IF(ROUND(AVERAGE($C47,$E47,$G47,$I47,$K47,$M47,$O47,$Q47,$S47,$U47,$W47,$Y47,$AA47,$AC47,$AE47),2)-$B47/2&lt;=M47,IF(ROUND(AVERAGE($C47,$E47,$G47,$I47,$K47,$M47,$O47,$Q47,$S47,$U47,$W47,$Y47,$AA47,$AC47,$AE47),2)+$B47/2&gt;M47,($G$5/$B$5),0),0))))</f>
        <v/>
      </c>
      <c r="O47" s="141" t="str">
        <f>IF($O$8="Habilitado",IF($A47="","",ROUND(VLOOKUP($A47,'Presupuesto Consolidado'!#REF!,6,FALSE),2)),"")</f>
        <v/>
      </c>
      <c r="P47" s="142" t="str">
        <f>IF($A47="","",IF(O47="","",IF($K$4="Media aritmética",(O47&lt;=$B47)*($G$5/$B$5)+(O47&gt;$B47)*0,IF(ROUND(AVERAGE($C47,$E47,$G47,$I47,$K47,$M47,$O47,$Q47,$S47,$U47,$W47,$Y47,$AA47,$AC47,$AE47),2)-$B47/2&lt;=O47,IF(ROUND(AVERAGE($C47,$E47,$G47,$I47,$K47,$M47,$O47,$Q47,$S47,$U47,$W47,$Y47,$AA47,$AC47,$AE47),2)+$B47/2&gt;O47,($G$5/$B$5),0),0))))</f>
        <v/>
      </c>
      <c r="Q47" s="141" t="str">
        <f>IF($Q$8="Habilitado",IF($A47="","",ROUND(VLOOKUP($A47,'Presupuesto Consolidado'!#REF!,6,FALSE),2)),"")</f>
        <v/>
      </c>
      <c r="R47" s="142" t="str">
        <f>IF($A47="","",IF(Q47="","",IF($K$4="Media aritmética",(Q47&lt;=$B47)*($G$5/$B$5)+(Q47&gt;$B47)*0,IF(ROUND(AVERAGE($C47,$E47,$G47,$I47,$K47,$M47,$O47,$Q47,$S47,$U47,$W47,$Y47,$AA47,$AC47,$AE47),2)-$B47/2&lt;=Q47,IF(ROUND(AVERAGE($C47,$E47,$G47,$I47,$K47,$M47,$O47,$Q47,$S47,$U47,$W47,$Y47,$AA47,$AC47,$AE47),2)+$B47/2&gt;Q47,($G$5/$B$5),0),0))))</f>
        <v/>
      </c>
      <c r="S47" s="141" t="str">
        <f>IF($S$8="Habilitado",IF($A47="","",ROUND(VLOOKUP($A47,'Presupuesto Consolidado'!#REF!,6,FALSE),2)),"")</f>
        <v/>
      </c>
      <c r="T47" s="142" t="str">
        <f>IF($A47="","",IF(S47="","",IF($K$4="Media aritmética",(S47&lt;=$B47)*($G$5/$B$5)+(S47&gt;$B47)*0,IF(ROUND(AVERAGE($C47,$E47,$G47,$I47,$K47,$M47,$O47,$Q47,$S47,$U47,$W47,$Y47,$AA47,$AC47,$AE47),2)-$B47/2&lt;=S47,IF(ROUND(AVERAGE($C47,$E47,$G47,$I47,$K47,$M47,$O47,$Q47,$S47,$U47,$W47,$Y47,$AA47,$AC47,$AE47),2)+$B47/2&gt;S47,($G$5/$B$5),0),0))))</f>
        <v/>
      </c>
      <c r="U47" s="141" t="str">
        <f>IF($U$8="Habilitado",IF($A47="","",ROUND(VLOOKUP($A47,'Presupuesto Consolidado'!#REF!,6,FALSE),2)),"")</f>
        <v/>
      </c>
      <c r="V47" s="142" t="str">
        <f>IF($A47="","",IF(U47="","",IF($K$4="Media aritmética",(U47&lt;=$B47)*($G$5/$B$5)+(U47&gt;$B47)*0,IF(ROUND(AVERAGE($C47,$E47,$G47,$I47,$K47,$M47,$O47,$Q47,$S47,$U47,$W47,$Y47,$AA47,$AC47,$AE47),2)-$B47/2&lt;=U47,IF(ROUND(AVERAGE($C47,$E47,$G47,$I47,$K47,$M47,$O47,$Q47,$S47,$U47,$W47,$Y47,$AA47,$AC47,$AE47),2)+$B47/2&gt;U47,($G$5/$B$5),0),0))))</f>
        <v/>
      </c>
      <c r="W47" s="141" t="str">
        <f>IF($W$8="Habilitado",IF($A47="","",ROUND(VLOOKUP($A47,'Presupuesto Consolidado'!#REF!,6,FALSE),2)),"")</f>
        <v/>
      </c>
      <c r="X47" s="142" t="str">
        <f>IF($A47="","",IF(W47="","",IF($K$4="Media aritmética",(W47&lt;=$B47)*($G$5/$B$5)+(W47&gt;$B47)*0,IF(ROUND(AVERAGE($C47,$E47,$G47,$I47,$K47,$M47,$O47,$Q47,$S47,$U47,$W47,$Y47,$AA47,$AC47,$AE47),2)-$B47/2&lt;=W47,IF(ROUND(AVERAGE($C47,$E47,$G47,$I47,$K47,$M47,$O47,$Q47,$S47,$U47,$W47,$Y47,$AA47,$AC47,$AE47),2)+$B47/2&gt;W47,($G$5/$B$5),0),0))))</f>
        <v/>
      </c>
      <c r="Y47" s="141" t="str">
        <f>IF($Y$8="Habilitado",IF($A47="","",ROUND(VLOOKUP($A47,'Presupuesto Consolidado'!#REF!,6,FALSE),2)),"")</f>
        <v/>
      </c>
      <c r="Z47" s="142" t="str">
        <f>IF($A47="","",IF(Y47="","",IF($K$4="Media aritmética",(Y47&lt;=$B47)*($G$5/$B$5)+(Y47&gt;$B47)*0,IF(ROUND(AVERAGE($C47,$E47,$G47,$I47,$K47,$M47,$O47,$Q47,$S47,$U47,$W47,$Y47,$AA47,$AC47,$AE47),2)-$B47/2&lt;=Y47,IF(ROUND(AVERAGE($C47,$E47,$G47,$I47,$K47,$M47,$O47,$Q47,$S47,$U47,$W47,$Y47,$AA47,$AC47,$AE47),2)+$B47/2&gt;Y47,($G$5/$B$5),0),0))))</f>
        <v/>
      </c>
      <c r="AA47" s="141" t="str">
        <f>IF($AA$8="Habilitado",IF($A47="","",ROUND(VLOOKUP($A47,'Presupuesto Consolidado'!#REF!,6,FALSE),2)),"")</f>
        <v/>
      </c>
      <c r="AB47" s="142" t="str">
        <f>IF($A47="","",IF(AA47="","",IF($K$4="Media aritmética",(AA47&lt;=$B47)*($G$5/$B$5)+(AA47&gt;$B47)*0,IF(ROUND(AVERAGE($C47,$E47,$G47,$I47,$K47,$M47,$O47,$Q47,$S47,$U47,$W47,$Y47,$AA47,$AC47,$AE47),2)-$B47/2&lt;=AA47,IF(ROUND(AVERAGE($C47,$E47,$G47,$I47,$K47,$M47,$O47,$Q47,$S47,$U47,$W47,$Y47,$AA47,$AC47,$AE47),2)+$B47/2&gt;AA47,($G$5/$B$5),0),0))))</f>
        <v/>
      </c>
      <c r="AC47" s="141" t="str">
        <f>IF($AC$8="Habilitado",IF($A47="","",ROUND(VLOOKUP($A47,'Presupuesto Consolidado'!#REF!,6,FALSE),2)),"")</f>
        <v/>
      </c>
      <c r="AD47" s="142" t="str">
        <f>IF($A47="","",IF(AC47="","",IF($K$4="Media aritmética",(AC47&lt;=$B47)*($G$5/$B$5)+(AC47&gt;$B47)*0,IF(ROUND(AVERAGE($C47,$E47,$G47,$I47,$K47,$M47,$O47,$Q47,$S47,$U47,$W47,$Y47,$AA47,$AC47,$AE47),2)-$B47/2&lt;=AC47,IF(ROUND(AVERAGE($C47,$E47,$G47,$I47,$K47,$M47,$O47,$Q47,$S47,$U47,$W47,$Y47,$AA47,$AC47,$AE47),2)+$B47/2&gt;AC47,($G$5/$B$5),0),0))))</f>
        <v/>
      </c>
      <c r="AE47" s="141" t="str">
        <f>IF($AE$8="Habilitado",IF($A47="","",ROUND(VLOOKUP($A47,'Presupuesto Consolidado'!#REF!,6,FALSE),2)),"")</f>
        <v/>
      </c>
      <c r="AF47" s="142" t="str">
        <f>IF($A47="","",IF(AE47="","",IF($K$4="Media aritmética",(AE47&lt;=$B47)*($G$5/$B$5)+(AE47&gt;$B47)*0,IF(ROUND(AVERAGE($C47,$E47,$G47,$I47,$K47,$M47,$O47,$Q47,$S47,$U47,$W47,$Y47,$AA47,$AC47,$AE47),2)-$B47/2&lt;=AE47,IF(ROUND(AVERAGE($C47,$E47,$G47,$I47,$K47,$M47,$O47,$Q47,$S47,$U47,$W47,$Y47,$AA47,$AC47,$AE47),2)+$B47/2&gt;AE47,($G$5/$B$5),0),0))))</f>
        <v/>
      </c>
    </row>
    <row r="48" spans="1:36" s="135" customFormat="1" ht="21" customHeight="1">
      <c r="A48" s="132" t="str">
        <f>+'Presupuesto Consolidado'!A10</f>
        <v>1.2</v>
      </c>
      <c r="B48" s="140">
        <f t="shared" si="241"/>
        <v>2025000</v>
      </c>
      <c r="C48" s="141">
        <f>IF($C$8="Habilitado",IF($A48="","",ROUND(VLOOKUP($A48,'Presupuesto Consolidado'!$A$9:$F$600,6,FALSE),2)),"")</f>
        <v>2025000</v>
      </c>
      <c r="D48" s="142">
        <f t="shared" ref="D48:F70" si="242">IF($A48="","",IF(C48="","",IF($K$4="Media aritmética",(C48&lt;=$B48)*($G$5/$B$5)+(C48&gt;$B48)*0,IF(ROUND(AVERAGE($C48,$E48,$G48,$I48,$K48,$M48,$O48,$Q48,$S48,$U48,$W48,$Y48,$AA48,$AC48,$AE48),2)-$B48/2&lt;=C48,IF(ROUND(AVERAGE($C48,$E48,$G48,$I48,$K48,$M48,$O48,$Q48,$S48,$U48,$W48,$Y48,$AA48,$AC48,$AE48),2)+$B48/2&gt;C48,($G$5/$B$5),0),0))))</f>
        <v>0.45714285714285713</v>
      </c>
      <c r="E48" s="141" t="str">
        <f>IF($E$8="Habilitado",IF($A48="","",ROUND(VLOOKUP($A48,'Presupuesto Consolidado'!$I$9:$N$600,6,FALSE),2)),"")</f>
        <v/>
      </c>
      <c r="F48" s="142" t="str">
        <f t="shared" si="242"/>
        <v/>
      </c>
      <c r="G48" s="141" t="str">
        <f>IF($G$8="Habilitado",IF($A48="","",ROUND(VLOOKUP($A48,'Presupuesto Consolidado'!$Q$9:$V$600,6,FALSE),2)),"")</f>
        <v/>
      </c>
      <c r="H48" s="142" t="str">
        <f t="shared" ref="H48" si="243">IF($A48="","",IF(G48="","",IF($K$4="Media aritmética",(G48&lt;=$B48)*($G$5/$B$5)+(G48&gt;$B48)*0,IF(ROUND(AVERAGE($C48,$E48,$G48,$I48,$K48,$M48,$O48,$Q48,$S48,$U48,$W48,$Y48,$AA48,$AC48,$AE48),2)-$B48/2&lt;=G48,IF(ROUND(AVERAGE($C48,$E48,$G48,$I48,$K48,$M48,$O48,$Q48,$S48,$U48,$W48,$Y48,$AA48,$AC48,$AE48),2)+$B48/2&gt;G48,($G$5/$B$5),0),0))))</f>
        <v/>
      </c>
      <c r="I48" s="141" t="str">
        <f>IF($I$8="Habilitado",IF($A48="","",ROUND(VLOOKUP($A48,'Presupuesto Consolidado'!$Y$9:$AD$600,6,FALSE),2)),"")</f>
        <v/>
      </c>
      <c r="J48" s="142" t="str">
        <f t="shared" ref="J48" si="244">IF($A48="","",IF(I48="","",IF($K$4="Media aritmética",(I48&lt;=$B48)*($G$5/$B$5)+(I48&gt;$B48)*0,IF(ROUND(AVERAGE($C48,$E48,$G48,$I48,$K48,$M48,$O48,$Q48,$S48,$U48,$W48,$Y48,$AA48,$AC48,$AE48),2)-$B48/2&lt;=I48,IF(ROUND(AVERAGE($C48,$E48,$G48,$I48,$K48,$M48,$O48,$Q48,$S48,$U48,$W48,$Y48,$AA48,$AC48,$AE48),2)+$B48/2&gt;I48,($G$5/$B$5),0),0))))</f>
        <v/>
      </c>
      <c r="K48" s="141" t="str">
        <f>IF($K$8="Habilitado",IF($A48="","",ROUND(VLOOKUP($A48,'Presupuesto Consolidado'!#REF!,6,FALSE),2)),"")</f>
        <v/>
      </c>
      <c r="L48" s="142" t="str">
        <f t="shared" ref="L48" si="245">IF($A48="","",IF(K48="","",IF($K$4="Media aritmética",(K48&lt;=$B48)*($G$5/$B$5)+(K48&gt;$B48)*0,IF(ROUND(AVERAGE($C48,$E48,$G48,$I48,$K48,$M48,$O48,$Q48,$S48,$U48,$W48,$Y48,$AA48,$AC48,$AE48),2)-$B48/2&lt;=K48,IF(ROUND(AVERAGE($C48,$E48,$G48,$I48,$K48,$M48,$O48,$Q48,$S48,$U48,$W48,$Y48,$AA48,$AC48,$AE48),2)+$B48/2&gt;K48,($G$5/$B$5),0),0))))</f>
        <v/>
      </c>
      <c r="M48" s="141" t="str">
        <f>IF($M$8="Habilitado",IF($A48="","",ROUND(VLOOKUP($A48,'Presupuesto Consolidado'!#REF!,6,FALSE),2)),"")</f>
        <v/>
      </c>
      <c r="N48" s="142" t="str">
        <f t="shared" ref="N48" si="246">IF($A48="","",IF(M48="","",IF($K$4="Media aritmética",(M48&lt;=$B48)*($G$5/$B$5)+(M48&gt;$B48)*0,IF(ROUND(AVERAGE($C48,$E48,$G48,$I48,$K48,$M48,$O48,$Q48,$S48,$U48,$W48,$Y48,$AA48,$AC48,$AE48),2)-$B48/2&lt;=M48,IF(ROUND(AVERAGE($C48,$E48,$G48,$I48,$K48,$M48,$O48,$Q48,$S48,$U48,$W48,$Y48,$AA48,$AC48,$AE48),2)+$B48/2&gt;M48,($G$5/$B$5),0),0))))</f>
        <v/>
      </c>
      <c r="O48" s="141" t="str">
        <f>IF($O$8="Habilitado",IF($A48="","",ROUND(VLOOKUP($A48,'Presupuesto Consolidado'!#REF!,6,FALSE),2)),"")</f>
        <v/>
      </c>
      <c r="P48" s="142" t="str">
        <f t="shared" ref="P48" si="247">IF($A48="","",IF(O48="","",IF($K$4="Media aritmética",(O48&lt;=$B48)*($G$5/$B$5)+(O48&gt;$B48)*0,IF(ROUND(AVERAGE($C48,$E48,$G48,$I48,$K48,$M48,$O48,$Q48,$S48,$U48,$W48,$Y48,$AA48,$AC48,$AE48),2)-$B48/2&lt;=O48,IF(ROUND(AVERAGE($C48,$E48,$G48,$I48,$K48,$M48,$O48,$Q48,$S48,$U48,$W48,$Y48,$AA48,$AC48,$AE48),2)+$B48/2&gt;O48,($G$5/$B$5),0),0))))</f>
        <v/>
      </c>
      <c r="Q48" s="141" t="str">
        <f>IF($Q$8="Habilitado",IF($A48="","",ROUND(VLOOKUP($A48,'Presupuesto Consolidado'!#REF!,6,FALSE),2)),"")</f>
        <v/>
      </c>
      <c r="R48" s="142" t="str">
        <f t="shared" ref="R48" si="248">IF($A48="","",IF(Q48="","",IF($K$4="Media aritmética",(Q48&lt;=$B48)*($G$5/$B$5)+(Q48&gt;$B48)*0,IF(ROUND(AVERAGE($C48,$E48,$G48,$I48,$K48,$M48,$O48,$Q48,$S48,$U48,$W48,$Y48,$AA48,$AC48,$AE48),2)-$B48/2&lt;=Q48,IF(ROUND(AVERAGE($C48,$E48,$G48,$I48,$K48,$M48,$O48,$Q48,$S48,$U48,$W48,$Y48,$AA48,$AC48,$AE48),2)+$B48/2&gt;Q48,($G$5/$B$5),0),0))))</f>
        <v/>
      </c>
      <c r="S48" s="141" t="str">
        <f>IF($S$8="Habilitado",IF($A48="","",ROUND(VLOOKUP($A48,'Presupuesto Consolidado'!#REF!,6,FALSE),2)),"")</f>
        <v/>
      </c>
      <c r="T48" s="142" t="str">
        <f t="shared" ref="T48" si="249">IF($A48="","",IF(S48="","",IF($K$4="Media aritmética",(S48&lt;=$B48)*($G$5/$B$5)+(S48&gt;$B48)*0,IF(ROUND(AVERAGE($C48,$E48,$G48,$I48,$K48,$M48,$O48,$Q48,$S48,$U48,$W48,$Y48,$AA48,$AC48,$AE48),2)-$B48/2&lt;=S48,IF(ROUND(AVERAGE($C48,$E48,$G48,$I48,$K48,$M48,$O48,$Q48,$S48,$U48,$W48,$Y48,$AA48,$AC48,$AE48),2)+$B48/2&gt;S48,($G$5/$B$5),0),0))))</f>
        <v/>
      </c>
      <c r="U48" s="141" t="str">
        <f>IF($U$8="Habilitado",IF($A48="","",ROUND(VLOOKUP($A48,'Presupuesto Consolidado'!#REF!,6,FALSE),2)),"")</f>
        <v/>
      </c>
      <c r="V48" s="142" t="str">
        <f t="shared" ref="V48" si="250">IF($A48="","",IF(U48="","",IF($K$4="Media aritmética",(U48&lt;=$B48)*($G$5/$B$5)+(U48&gt;$B48)*0,IF(ROUND(AVERAGE($C48,$E48,$G48,$I48,$K48,$M48,$O48,$Q48,$S48,$U48,$W48,$Y48,$AA48,$AC48,$AE48),2)-$B48/2&lt;=U48,IF(ROUND(AVERAGE($C48,$E48,$G48,$I48,$K48,$M48,$O48,$Q48,$S48,$U48,$W48,$Y48,$AA48,$AC48,$AE48),2)+$B48/2&gt;U48,($G$5/$B$5),0),0))))</f>
        <v/>
      </c>
      <c r="W48" s="141" t="str">
        <f>IF($W$8="Habilitado",IF($A48="","",ROUND(VLOOKUP($A48,'Presupuesto Consolidado'!#REF!,6,FALSE),2)),"")</f>
        <v/>
      </c>
      <c r="X48" s="142" t="str">
        <f t="shared" ref="X48" si="251">IF($A48="","",IF(W48="","",IF($K$4="Media aritmética",(W48&lt;=$B48)*($G$5/$B$5)+(W48&gt;$B48)*0,IF(ROUND(AVERAGE($C48,$E48,$G48,$I48,$K48,$M48,$O48,$Q48,$S48,$U48,$W48,$Y48,$AA48,$AC48,$AE48),2)-$B48/2&lt;=W48,IF(ROUND(AVERAGE($C48,$E48,$G48,$I48,$K48,$M48,$O48,$Q48,$S48,$U48,$W48,$Y48,$AA48,$AC48,$AE48),2)+$B48/2&gt;W48,($G$5/$B$5),0),0))))</f>
        <v/>
      </c>
      <c r="Y48" s="141" t="str">
        <f>IF($Y$8="Habilitado",IF($A48="","",ROUND(VLOOKUP($A48,'Presupuesto Consolidado'!#REF!,6,FALSE),2)),"")</f>
        <v/>
      </c>
      <c r="Z48" s="142" t="str">
        <f t="shared" ref="Z48" si="252">IF($A48="","",IF(Y48="","",IF($K$4="Media aritmética",(Y48&lt;=$B48)*($G$5/$B$5)+(Y48&gt;$B48)*0,IF(ROUND(AVERAGE($C48,$E48,$G48,$I48,$K48,$M48,$O48,$Q48,$S48,$U48,$W48,$Y48,$AA48,$AC48,$AE48),2)-$B48/2&lt;=Y48,IF(ROUND(AVERAGE($C48,$E48,$G48,$I48,$K48,$M48,$O48,$Q48,$S48,$U48,$W48,$Y48,$AA48,$AC48,$AE48),2)+$B48/2&gt;Y48,($G$5/$B$5),0),0))))</f>
        <v/>
      </c>
      <c r="AA48" s="141" t="str">
        <f>IF($AA$8="Habilitado",IF($A48="","",ROUND(VLOOKUP($A48,'Presupuesto Consolidado'!#REF!,6,FALSE),2)),"")</f>
        <v/>
      </c>
      <c r="AB48" s="142" t="str">
        <f t="shared" ref="AB48" si="253">IF($A48="","",IF(AA48="","",IF($K$4="Media aritmética",(AA48&lt;=$B48)*($G$5/$B$5)+(AA48&gt;$B48)*0,IF(ROUND(AVERAGE($C48,$E48,$G48,$I48,$K48,$M48,$O48,$Q48,$S48,$U48,$W48,$Y48,$AA48,$AC48,$AE48),2)-$B48/2&lt;=AA48,IF(ROUND(AVERAGE($C48,$E48,$G48,$I48,$K48,$M48,$O48,$Q48,$S48,$U48,$W48,$Y48,$AA48,$AC48,$AE48),2)+$B48/2&gt;AA48,($G$5/$B$5),0),0))))</f>
        <v/>
      </c>
      <c r="AC48" s="141" t="str">
        <f>IF($AC$8="Habilitado",IF($A48="","",ROUND(VLOOKUP($A48,'Presupuesto Consolidado'!#REF!,6,FALSE),2)),"")</f>
        <v/>
      </c>
      <c r="AD48" s="142" t="str">
        <f t="shared" ref="AD48" si="254">IF($A48="","",IF(AC48="","",IF($K$4="Media aritmética",(AC48&lt;=$B48)*($G$5/$B$5)+(AC48&gt;$B48)*0,IF(ROUND(AVERAGE($C48,$E48,$G48,$I48,$K48,$M48,$O48,$Q48,$S48,$U48,$W48,$Y48,$AA48,$AC48,$AE48),2)-$B48/2&lt;=AC48,IF(ROUND(AVERAGE($C48,$E48,$G48,$I48,$K48,$M48,$O48,$Q48,$S48,$U48,$W48,$Y48,$AA48,$AC48,$AE48),2)+$B48/2&gt;AC48,($G$5/$B$5),0),0))))</f>
        <v/>
      </c>
      <c r="AE48" s="141" t="str">
        <f>IF($AE$8="Habilitado",IF($A48="","",ROUND(VLOOKUP($A48,'Presupuesto Consolidado'!#REF!,6,FALSE),2)),"")</f>
        <v/>
      </c>
      <c r="AF48" s="142" t="str">
        <f t="shared" ref="AF48" si="255">IF($A48="","",IF(AE48="","",IF($K$4="Media aritmética",(AE48&lt;=$B48)*($G$5/$B$5)+(AE48&gt;$B48)*0,IF(ROUND(AVERAGE($C48,$E48,$G48,$I48,$K48,$M48,$O48,$Q48,$S48,$U48,$W48,$Y48,$AA48,$AC48,$AE48),2)-$B48/2&lt;=AE48,IF(ROUND(AVERAGE($C48,$E48,$G48,$I48,$K48,$M48,$O48,$Q48,$S48,$U48,$W48,$Y48,$AA48,$AC48,$AE48),2)+$B48/2&gt;AE48,($G$5/$B$5),0),0))))</f>
        <v/>
      </c>
    </row>
    <row r="49" spans="1:32" s="135" customFormat="1" ht="21" customHeight="1">
      <c r="A49" s="132" t="str">
        <f>+'Presupuesto Consolidado'!A12</f>
        <v>2.1</v>
      </c>
      <c r="B49" s="140">
        <f t="shared" si="241"/>
        <v>7560000</v>
      </c>
      <c r="C49" s="141">
        <f>IF($C$8="Habilitado",IF($A49="","",ROUND(VLOOKUP($A49,'Presupuesto Consolidado'!$A$9:$F$600,6,FALSE),2)),"")</f>
        <v>7560000</v>
      </c>
      <c r="D49" s="142">
        <f t="shared" si="242"/>
        <v>0.45714285714285713</v>
      </c>
      <c r="E49" s="141" t="str">
        <f>IF($E$8="Habilitado",IF($A49="","",ROUND(VLOOKUP($A49,'Presupuesto Consolidado'!$I$9:$N$600,6,FALSE),2)),"")</f>
        <v/>
      </c>
      <c r="F49" s="142" t="str">
        <f t="shared" si="242"/>
        <v/>
      </c>
      <c r="G49" s="141" t="str">
        <f>IF($G$8="Habilitado",IF($A49="","",ROUND(VLOOKUP($A49,'Presupuesto Consolidado'!$Q$9:$V$600,6,FALSE),2)),"")</f>
        <v/>
      </c>
      <c r="H49" s="142" t="str">
        <f t="shared" ref="H49" si="256">IF($A49="","",IF(G49="","",IF($K$4="Media aritmética",(G49&lt;=$B49)*($G$5/$B$5)+(G49&gt;$B49)*0,IF(ROUND(AVERAGE($C49,$E49,$G49,$I49,$K49,$M49,$O49,$Q49,$S49,$U49,$W49,$Y49,$AA49,$AC49,$AE49),2)-$B49/2&lt;=G49,IF(ROUND(AVERAGE($C49,$E49,$G49,$I49,$K49,$M49,$O49,$Q49,$S49,$U49,$W49,$Y49,$AA49,$AC49,$AE49),2)+$B49/2&gt;G49,($G$5/$B$5),0),0))))</f>
        <v/>
      </c>
      <c r="I49" s="141" t="str">
        <f>IF($I$8="Habilitado",IF($A49="","",ROUND(VLOOKUP($A49,'Presupuesto Consolidado'!$Y$9:$AD$600,6,FALSE),2)),"")</f>
        <v/>
      </c>
      <c r="J49" s="142" t="str">
        <f t="shared" ref="J49" si="257">IF($A49="","",IF(I49="","",IF($K$4="Media aritmética",(I49&lt;=$B49)*($G$5/$B$5)+(I49&gt;$B49)*0,IF(ROUND(AVERAGE($C49,$E49,$G49,$I49,$K49,$M49,$O49,$Q49,$S49,$U49,$W49,$Y49,$AA49,$AC49,$AE49),2)-$B49/2&lt;=I49,IF(ROUND(AVERAGE($C49,$E49,$G49,$I49,$K49,$M49,$O49,$Q49,$S49,$U49,$W49,$Y49,$AA49,$AC49,$AE49),2)+$B49/2&gt;I49,($G$5/$B$5),0),0))))</f>
        <v/>
      </c>
      <c r="K49" s="141" t="str">
        <f>IF($K$8="Habilitado",IF($A49="","",ROUND(VLOOKUP($A49,'Presupuesto Consolidado'!#REF!,6,FALSE),2)),"")</f>
        <v/>
      </c>
      <c r="L49" s="142" t="str">
        <f t="shared" ref="L49" si="258">IF($A49="","",IF(K49="","",IF($K$4="Media aritmética",(K49&lt;=$B49)*($G$5/$B$5)+(K49&gt;$B49)*0,IF(ROUND(AVERAGE($C49,$E49,$G49,$I49,$K49,$M49,$O49,$Q49,$S49,$U49,$W49,$Y49,$AA49,$AC49,$AE49),2)-$B49/2&lt;=K49,IF(ROUND(AVERAGE($C49,$E49,$G49,$I49,$K49,$M49,$O49,$Q49,$S49,$U49,$W49,$Y49,$AA49,$AC49,$AE49),2)+$B49/2&gt;K49,($G$5/$B$5),0),0))))</f>
        <v/>
      </c>
      <c r="M49" s="141" t="str">
        <f>IF($M$8="Habilitado",IF($A49="","",ROUND(VLOOKUP($A49,'Presupuesto Consolidado'!#REF!,6,FALSE),2)),"")</f>
        <v/>
      </c>
      <c r="N49" s="142" t="str">
        <f t="shared" ref="N49" si="259">IF($A49="","",IF(M49="","",IF($K$4="Media aritmética",(M49&lt;=$B49)*($G$5/$B$5)+(M49&gt;$B49)*0,IF(ROUND(AVERAGE($C49,$E49,$G49,$I49,$K49,$M49,$O49,$Q49,$S49,$U49,$W49,$Y49,$AA49,$AC49,$AE49),2)-$B49/2&lt;=M49,IF(ROUND(AVERAGE($C49,$E49,$G49,$I49,$K49,$M49,$O49,$Q49,$S49,$U49,$W49,$Y49,$AA49,$AC49,$AE49),2)+$B49/2&gt;M49,($G$5/$B$5),0),0))))</f>
        <v/>
      </c>
      <c r="O49" s="141" t="str">
        <f>IF($O$8="Habilitado",IF($A49="","",ROUND(VLOOKUP($A49,'Presupuesto Consolidado'!#REF!,6,FALSE),2)),"")</f>
        <v/>
      </c>
      <c r="P49" s="142" t="str">
        <f t="shared" ref="P49" si="260">IF($A49="","",IF(O49="","",IF($K$4="Media aritmética",(O49&lt;=$B49)*($G$5/$B$5)+(O49&gt;$B49)*0,IF(ROUND(AVERAGE($C49,$E49,$G49,$I49,$K49,$M49,$O49,$Q49,$S49,$U49,$W49,$Y49,$AA49,$AC49,$AE49),2)-$B49/2&lt;=O49,IF(ROUND(AVERAGE($C49,$E49,$G49,$I49,$K49,$M49,$O49,$Q49,$S49,$U49,$W49,$Y49,$AA49,$AC49,$AE49),2)+$B49/2&gt;O49,($G$5/$B$5),0),0))))</f>
        <v/>
      </c>
      <c r="Q49" s="141" t="str">
        <f>IF($Q$8="Habilitado",IF($A49="","",ROUND(VLOOKUP($A49,'Presupuesto Consolidado'!#REF!,6,FALSE),2)),"")</f>
        <v/>
      </c>
      <c r="R49" s="142" t="str">
        <f t="shared" ref="R49" si="261">IF($A49="","",IF(Q49="","",IF($K$4="Media aritmética",(Q49&lt;=$B49)*($G$5/$B$5)+(Q49&gt;$B49)*0,IF(ROUND(AVERAGE($C49,$E49,$G49,$I49,$K49,$M49,$O49,$Q49,$S49,$U49,$W49,$Y49,$AA49,$AC49,$AE49),2)-$B49/2&lt;=Q49,IF(ROUND(AVERAGE($C49,$E49,$G49,$I49,$K49,$M49,$O49,$Q49,$S49,$U49,$W49,$Y49,$AA49,$AC49,$AE49),2)+$B49/2&gt;Q49,($G$5/$B$5),0),0))))</f>
        <v/>
      </c>
      <c r="S49" s="141" t="str">
        <f>IF($S$8="Habilitado",IF($A49="","",ROUND(VLOOKUP($A49,'Presupuesto Consolidado'!#REF!,6,FALSE),2)),"")</f>
        <v/>
      </c>
      <c r="T49" s="142" t="str">
        <f t="shared" ref="T49" si="262">IF($A49="","",IF(S49="","",IF($K$4="Media aritmética",(S49&lt;=$B49)*($G$5/$B$5)+(S49&gt;$B49)*0,IF(ROUND(AVERAGE($C49,$E49,$G49,$I49,$K49,$M49,$O49,$Q49,$S49,$U49,$W49,$Y49,$AA49,$AC49,$AE49),2)-$B49/2&lt;=S49,IF(ROUND(AVERAGE($C49,$E49,$G49,$I49,$K49,$M49,$O49,$Q49,$S49,$U49,$W49,$Y49,$AA49,$AC49,$AE49),2)+$B49/2&gt;S49,($G$5/$B$5),0),0))))</f>
        <v/>
      </c>
      <c r="U49" s="141" t="str">
        <f>IF($U$8="Habilitado",IF($A49="","",ROUND(VLOOKUP($A49,'Presupuesto Consolidado'!#REF!,6,FALSE),2)),"")</f>
        <v/>
      </c>
      <c r="V49" s="142" t="str">
        <f t="shared" ref="V49" si="263">IF($A49="","",IF(U49="","",IF($K$4="Media aritmética",(U49&lt;=$B49)*($G$5/$B$5)+(U49&gt;$B49)*0,IF(ROUND(AVERAGE($C49,$E49,$G49,$I49,$K49,$M49,$O49,$Q49,$S49,$U49,$W49,$Y49,$AA49,$AC49,$AE49),2)-$B49/2&lt;=U49,IF(ROUND(AVERAGE($C49,$E49,$G49,$I49,$K49,$M49,$O49,$Q49,$S49,$U49,$W49,$Y49,$AA49,$AC49,$AE49),2)+$B49/2&gt;U49,($G$5/$B$5),0),0))))</f>
        <v/>
      </c>
      <c r="W49" s="141" t="str">
        <f>IF($W$8="Habilitado",IF($A49="","",ROUND(VLOOKUP($A49,'Presupuesto Consolidado'!#REF!,6,FALSE),2)),"")</f>
        <v/>
      </c>
      <c r="X49" s="142" t="str">
        <f t="shared" ref="X49" si="264">IF($A49="","",IF(W49="","",IF($K$4="Media aritmética",(W49&lt;=$B49)*($G$5/$B$5)+(W49&gt;$B49)*0,IF(ROUND(AVERAGE($C49,$E49,$G49,$I49,$K49,$M49,$O49,$Q49,$S49,$U49,$W49,$Y49,$AA49,$AC49,$AE49),2)-$B49/2&lt;=W49,IF(ROUND(AVERAGE($C49,$E49,$G49,$I49,$K49,$M49,$O49,$Q49,$S49,$U49,$W49,$Y49,$AA49,$AC49,$AE49),2)+$B49/2&gt;W49,($G$5/$B$5),0),0))))</f>
        <v/>
      </c>
      <c r="Y49" s="141" t="str">
        <f>IF($Y$8="Habilitado",IF($A49="","",ROUND(VLOOKUP($A49,'Presupuesto Consolidado'!#REF!,6,FALSE),2)),"")</f>
        <v/>
      </c>
      <c r="Z49" s="142" t="str">
        <f t="shared" ref="Z49" si="265">IF($A49="","",IF(Y49="","",IF($K$4="Media aritmética",(Y49&lt;=$B49)*($G$5/$B$5)+(Y49&gt;$B49)*0,IF(ROUND(AVERAGE($C49,$E49,$G49,$I49,$K49,$M49,$O49,$Q49,$S49,$U49,$W49,$Y49,$AA49,$AC49,$AE49),2)-$B49/2&lt;=Y49,IF(ROUND(AVERAGE($C49,$E49,$G49,$I49,$K49,$M49,$O49,$Q49,$S49,$U49,$W49,$Y49,$AA49,$AC49,$AE49),2)+$B49/2&gt;Y49,($G$5/$B$5),0),0))))</f>
        <v/>
      </c>
      <c r="AA49" s="141" t="str">
        <f>IF($AA$8="Habilitado",IF($A49="","",ROUND(VLOOKUP($A49,'Presupuesto Consolidado'!#REF!,6,FALSE),2)),"")</f>
        <v/>
      </c>
      <c r="AB49" s="142" t="str">
        <f t="shared" ref="AB49" si="266">IF($A49="","",IF(AA49="","",IF($K$4="Media aritmética",(AA49&lt;=$B49)*($G$5/$B$5)+(AA49&gt;$B49)*0,IF(ROUND(AVERAGE($C49,$E49,$G49,$I49,$K49,$M49,$O49,$Q49,$S49,$U49,$W49,$Y49,$AA49,$AC49,$AE49),2)-$B49/2&lt;=AA49,IF(ROUND(AVERAGE($C49,$E49,$G49,$I49,$K49,$M49,$O49,$Q49,$S49,$U49,$W49,$Y49,$AA49,$AC49,$AE49),2)+$B49/2&gt;AA49,($G$5/$B$5),0),0))))</f>
        <v/>
      </c>
      <c r="AC49" s="141" t="str">
        <f>IF($AC$8="Habilitado",IF($A49="","",ROUND(VLOOKUP($A49,'Presupuesto Consolidado'!#REF!,6,FALSE),2)),"")</f>
        <v/>
      </c>
      <c r="AD49" s="142" t="str">
        <f t="shared" ref="AD49" si="267">IF($A49="","",IF(AC49="","",IF($K$4="Media aritmética",(AC49&lt;=$B49)*($G$5/$B$5)+(AC49&gt;$B49)*0,IF(ROUND(AVERAGE($C49,$E49,$G49,$I49,$K49,$M49,$O49,$Q49,$S49,$U49,$W49,$Y49,$AA49,$AC49,$AE49),2)-$B49/2&lt;=AC49,IF(ROUND(AVERAGE($C49,$E49,$G49,$I49,$K49,$M49,$O49,$Q49,$S49,$U49,$W49,$Y49,$AA49,$AC49,$AE49),2)+$B49/2&gt;AC49,($G$5/$B$5),0),0))))</f>
        <v/>
      </c>
      <c r="AE49" s="141" t="str">
        <f>IF($AE$8="Habilitado",IF($A49="","",ROUND(VLOOKUP($A49,'Presupuesto Consolidado'!#REF!,6,FALSE),2)),"")</f>
        <v/>
      </c>
      <c r="AF49" s="142" t="str">
        <f t="shared" ref="AF49" si="268">IF($A49="","",IF(AE49="","",IF($K$4="Media aritmética",(AE49&lt;=$B49)*($G$5/$B$5)+(AE49&gt;$B49)*0,IF(ROUND(AVERAGE($C49,$E49,$G49,$I49,$K49,$M49,$O49,$Q49,$S49,$U49,$W49,$Y49,$AA49,$AC49,$AE49),2)-$B49/2&lt;=AE49,IF(ROUND(AVERAGE($C49,$E49,$G49,$I49,$K49,$M49,$O49,$Q49,$S49,$U49,$W49,$Y49,$AA49,$AC49,$AE49),2)+$B49/2&gt;AE49,($G$5/$B$5),0),0))))</f>
        <v/>
      </c>
    </row>
    <row r="50" spans="1:32" s="135" customFormat="1" ht="21" customHeight="1">
      <c r="A50" s="132" t="str">
        <f>+'Presupuesto Consolidado'!A14</f>
        <v>2.3</v>
      </c>
      <c r="B50" s="140">
        <f t="shared" si="241"/>
        <v>2295640</v>
      </c>
      <c r="C50" s="141">
        <f>IF($C$8="Habilitado",IF($A50="","",ROUND(VLOOKUP($A50,'Presupuesto Consolidado'!$A$9:$F$600,6,FALSE),2)),"")</f>
        <v>2295640</v>
      </c>
      <c r="D50" s="142">
        <f t="shared" si="242"/>
        <v>0.45714285714285713</v>
      </c>
      <c r="E50" s="141" t="str">
        <f>IF($E$8="Habilitado",IF($A50="","",ROUND(VLOOKUP($A50,'Presupuesto Consolidado'!$I$9:$N$600,6,FALSE),2)),"")</f>
        <v/>
      </c>
      <c r="F50" s="142" t="str">
        <f t="shared" si="242"/>
        <v/>
      </c>
      <c r="G50" s="141" t="str">
        <f>IF($G$8="Habilitado",IF($A50="","",ROUND(VLOOKUP($A50,'Presupuesto Consolidado'!$Q$9:$V$600,6,FALSE),2)),"")</f>
        <v/>
      </c>
      <c r="H50" s="142" t="str">
        <f t="shared" ref="H50" si="269">IF($A50="","",IF(G50="","",IF($K$4="Media aritmética",(G50&lt;=$B50)*($G$5/$B$5)+(G50&gt;$B50)*0,IF(ROUND(AVERAGE($C50,$E50,$G50,$I50,$K50,$M50,$O50,$Q50,$S50,$U50,$W50,$Y50,$AA50,$AC50,$AE50),2)-$B50/2&lt;=G50,IF(ROUND(AVERAGE($C50,$E50,$G50,$I50,$K50,$M50,$O50,$Q50,$S50,$U50,$W50,$Y50,$AA50,$AC50,$AE50),2)+$B50/2&gt;G50,($G$5/$B$5),0),0))))</f>
        <v/>
      </c>
      <c r="I50" s="141" t="str">
        <f>IF($I$8="Habilitado",IF($A50="","",ROUND(VLOOKUP($A50,'Presupuesto Consolidado'!$Y$9:$AD$600,6,FALSE),2)),"")</f>
        <v/>
      </c>
      <c r="J50" s="142" t="str">
        <f t="shared" ref="J50" si="270">IF($A50="","",IF(I50="","",IF($K$4="Media aritmética",(I50&lt;=$B50)*($G$5/$B$5)+(I50&gt;$B50)*0,IF(ROUND(AVERAGE($C50,$E50,$G50,$I50,$K50,$M50,$O50,$Q50,$S50,$U50,$W50,$Y50,$AA50,$AC50,$AE50),2)-$B50/2&lt;=I50,IF(ROUND(AVERAGE($C50,$E50,$G50,$I50,$K50,$M50,$O50,$Q50,$S50,$U50,$W50,$Y50,$AA50,$AC50,$AE50),2)+$B50/2&gt;I50,($G$5/$B$5),0),0))))</f>
        <v/>
      </c>
      <c r="K50" s="141" t="str">
        <f>IF($K$8="Habilitado",IF($A50="","",ROUND(VLOOKUP($A50,'Presupuesto Consolidado'!#REF!,6,FALSE),2)),"")</f>
        <v/>
      </c>
      <c r="L50" s="142" t="str">
        <f t="shared" ref="L50" si="271">IF($A50="","",IF(K50="","",IF($K$4="Media aritmética",(K50&lt;=$B50)*($G$5/$B$5)+(K50&gt;$B50)*0,IF(ROUND(AVERAGE($C50,$E50,$G50,$I50,$K50,$M50,$O50,$Q50,$S50,$U50,$W50,$Y50,$AA50,$AC50,$AE50),2)-$B50/2&lt;=K50,IF(ROUND(AVERAGE($C50,$E50,$G50,$I50,$K50,$M50,$O50,$Q50,$S50,$U50,$W50,$Y50,$AA50,$AC50,$AE50),2)+$B50/2&gt;K50,($G$5/$B$5),0),0))))</f>
        <v/>
      </c>
      <c r="M50" s="141" t="str">
        <f>IF($M$8="Habilitado",IF($A50="","",ROUND(VLOOKUP($A50,'Presupuesto Consolidado'!#REF!,6,FALSE),2)),"")</f>
        <v/>
      </c>
      <c r="N50" s="142" t="str">
        <f t="shared" ref="N50" si="272">IF($A50="","",IF(M50="","",IF($K$4="Media aritmética",(M50&lt;=$B50)*($G$5/$B$5)+(M50&gt;$B50)*0,IF(ROUND(AVERAGE($C50,$E50,$G50,$I50,$K50,$M50,$O50,$Q50,$S50,$U50,$W50,$Y50,$AA50,$AC50,$AE50),2)-$B50/2&lt;=M50,IF(ROUND(AVERAGE($C50,$E50,$G50,$I50,$K50,$M50,$O50,$Q50,$S50,$U50,$W50,$Y50,$AA50,$AC50,$AE50),2)+$B50/2&gt;M50,($G$5/$B$5),0),0))))</f>
        <v/>
      </c>
      <c r="O50" s="141" t="str">
        <f>IF($O$8="Habilitado",IF($A50="","",ROUND(VLOOKUP($A50,'Presupuesto Consolidado'!#REF!,6,FALSE),2)),"")</f>
        <v/>
      </c>
      <c r="P50" s="142" t="str">
        <f t="shared" ref="P50" si="273">IF($A50="","",IF(O50="","",IF($K$4="Media aritmética",(O50&lt;=$B50)*($G$5/$B$5)+(O50&gt;$B50)*0,IF(ROUND(AVERAGE($C50,$E50,$G50,$I50,$K50,$M50,$O50,$Q50,$S50,$U50,$W50,$Y50,$AA50,$AC50,$AE50),2)-$B50/2&lt;=O50,IF(ROUND(AVERAGE($C50,$E50,$G50,$I50,$K50,$M50,$O50,$Q50,$S50,$U50,$W50,$Y50,$AA50,$AC50,$AE50),2)+$B50/2&gt;O50,($G$5/$B$5),0),0))))</f>
        <v/>
      </c>
      <c r="Q50" s="141" t="str">
        <f>IF($Q$8="Habilitado",IF($A50="","",ROUND(VLOOKUP($A50,'Presupuesto Consolidado'!#REF!,6,FALSE),2)),"")</f>
        <v/>
      </c>
      <c r="R50" s="142" t="str">
        <f t="shared" ref="R50" si="274">IF($A50="","",IF(Q50="","",IF($K$4="Media aritmética",(Q50&lt;=$B50)*($G$5/$B$5)+(Q50&gt;$B50)*0,IF(ROUND(AVERAGE($C50,$E50,$G50,$I50,$K50,$M50,$O50,$Q50,$S50,$U50,$W50,$Y50,$AA50,$AC50,$AE50),2)-$B50/2&lt;=Q50,IF(ROUND(AVERAGE($C50,$E50,$G50,$I50,$K50,$M50,$O50,$Q50,$S50,$U50,$W50,$Y50,$AA50,$AC50,$AE50),2)+$B50/2&gt;Q50,($G$5/$B$5),0),0))))</f>
        <v/>
      </c>
      <c r="S50" s="141" t="str">
        <f>IF($S$8="Habilitado",IF($A50="","",ROUND(VLOOKUP($A50,'Presupuesto Consolidado'!#REF!,6,FALSE),2)),"")</f>
        <v/>
      </c>
      <c r="T50" s="142" t="str">
        <f t="shared" ref="T50" si="275">IF($A50="","",IF(S50="","",IF($K$4="Media aritmética",(S50&lt;=$B50)*($G$5/$B$5)+(S50&gt;$B50)*0,IF(ROUND(AVERAGE($C50,$E50,$G50,$I50,$K50,$M50,$O50,$Q50,$S50,$U50,$W50,$Y50,$AA50,$AC50,$AE50),2)-$B50/2&lt;=S50,IF(ROUND(AVERAGE($C50,$E50,$G50,$I50,$K50,$M50,$O50,$Q50,$S50,$U50,$W50,$Y50,$AA50,$AC50,$AE50),2)+$B50/2&gt;S50,($G$5/$B$5),0),0))))</f>
        <v/>
      </c>
      <c r="U50" s="141" t="str">
        <f>IF($U$8="Habilitado",IF($A50="","",ROUND(VLOOKUP($A50,'Presupuesto Consolidado'!#REF!,6,FALSE),2)),"")</f>
        <v/>
      </c>
      <c r="V50" s="142" t="str">
        <f t="shared" ref="V50" si="276">IF($A50="","",IF(U50="","",IF($K$4="Media aritmética",(U50&lt;=$B50)*($G$5/$B$5)+(U50&gt;$B50)*0,IF(ROUND(AVERAGE($C50,$E50,$G50,$I50,$K50,$M50,$O50,$Q50,$S50,$U50,$W50,$Y50,$AA50,$AC50,$AE50),2)-$B50/2&lt;=U50,IF(ROUND(AVERAGE($C50,$E50,$G50,$I50,$K50,$M50,$O50,$Q50,$S50,$U50,$W50,$Y50,$AA50,$AC50,$AE50),2)+$B50/2&gt;U50,($G$5/$B$5),0),0))))</f>
        <v/>
      </c>
      <c r="W50" s="141" t="str">
        <f>IF($W$8="Habilitado",IF($A50="","",ROUND(VLOOKUP($A50,'Presupuesto Consolidado'!#REF!,6,FALSE),2)),"")</f>
        <v/>
      </c>
      <c r="X50" s="142" t="str">
        <f t="shared" ref="X50" si="277">IF($A50="","",IF(W50="","",IF($K$4="Media aritmética",(W50&lt;=$B50)*($G$5/$B$5)+(W50&gt;$B50)*0,IF(ROUND(AVERAGE($C50,$E50,$G50,$I50,$K50,$M50,$O50,$Q50,$S50,$U50,$W50,$Y50,$AA50,$AC50,$AE50),2)-$B50/2&lt;=W50,IF(ROUND(AVERAGE($C50,$E50,$G50,$I50,$K50,$M50,$O50,$Q50,$S50,$U50,$W50,$Y50,$AA50,$AC50,$AE50),2)+$B50/2&gt;W50,($G$5/$B$5),0),0))))</f>
        <v/>
      </c>
      <c r="Y50" s="141" t="str">
        <f>IF($Y$8="Habilitado",IF($A50="","",ROUND(VLOOKUP($A50,'Presupuesto Consolidado'!#REF!,6,FALSE),2)),"")</f>
        <v/>
      </c>
      <c r="Z50" s="142" t="str">
        <f t="shared" ref="Z50" si="278">IF($A50="","",IF(Y50="","",IF($K$4="Media aritmética",(Y50&lt;=$B50)*($G$5/$B$5)+(Y50&gt;$B50)*0,IF(ROUND(AVERAGE($C50,$E50,$G50,$I50,$K50,$M50,$O50,$Q50,$S50,$U50,$W50,$Y50,$AA50,$AC50,$AE50),2)-$B50/2&lt;=Y50,IF(ROUND(AVERAGE($C50,$E50,$G50,$I50,$K50,$M50,$O50,$Q50,$S50,$U50,$W50,$Y50,$AA50,$AC50,$AE50),2)+$B50/2&gt;Y50,($G$5/$B$5),0),0))))</f>
        <v/>
      </c>
      <c r="AA50" s="141" t="str">
        <f>IF($AA$8="Habilitado",IF($A50="","",ROUND(VLOOKUP($A50,'Presupuesto Consolidado'!#REF!,6,FALSE),2)),"")</f>
        <v/>
      </c>
      <c r="AB50" s="142" t="str">
        <f t="shared" ref="AB50" si="279">IF($A50="","",IF(AA50="","",IF($K$4="Media aritmética",(AA50&lt;=$B50)*($G$5/$B$5)+(AA50&gt;$B50)*0,IF(ROUND(AVERAGE($C50,$E50,$G50,$I50,$K50,$M50,$O50,$Q50,$S50,$U50,$W50,$Y50,$AA50,$AC50,$AE50),2)-$B50/2&lt;=AA50,IF(ROUND(AVERAGE($C50,$E50,$G50,$I50,$K50,$M50,$O50,$Q50,$S50,$U50,$W50,$Y50,$AA50,$AC50,$AE50),2)+$B50/2&gt;AA50,($G$5/$B$5),0),0))))</f>
        <v/>
      </c>
      <c r="AC50" s="141" t="str">
        <f>IF($AC$8="Habilitado",IF($A50="","",ROUND(VLOOKUP($A50,'Presupuesto Consolidado'!#REF!,6,FALSE),2)),"")</f>
        <v/>
      </c>
      <c r="AD50" s="142" t="str">
        <f t="shared" ref="AD50" si="280">IF($A50="","",IF(AC50="","",IF($K$4="Media aritmética",(AC50&lt;=$B50)*($G$5/$B$5)+(AC50&gt;$B50)*0,IF(ROUND(AVERAGE($C50,$E50,$G50,$I50,$K50,$M50,$O50,$Q50,$S50,$U50,$W50,$Y50,$AA50,$AC50,$AE50),2)-$B50/2&lt;=AC50,IF(ROUND(AVERAGE($C50,$E50,$G50,$I50,$K50,$M50,$O50,$Q50,$S50,$U50,$W50,$Y50,$AA50,$AC50,$AE50),2)+$B50/2&gt;AC50,($G$5/$B$5),0),0))))</f>
        <v/>
      </c>
      <c r="AE50" s="141" t="str">
        <f>IF($AE$8="Habilitado",IF($A50="","",ROUND(VLOOKUP($A50,'Presupuesto Consolidado'!#REF!,6,FALSE),2)),"")</f>
        <v/>
      </c>
      <c r="AF50" s="142" t="str">
        <f t="shared" ref="AF50" si="281">IF($A50="","",IF(AE50="","",IF($K$4="Media aritmética",(AE50&lt;=$B50)*($G$5/$B$5)+(AE50&gt;$B50)*0,IF(ROUND(AVERAGE($C50,$E50,$G50,$I50,$K50,$M50,$O50,$Q50,$S50,$U50,$W50,$Y50,$AA50,$AC50,$AE50),2)-$B50/2&lt;=AE50,IF(ROUND(AVERAGE($C50,$E50,$G50,$I50,$K50,$M50,$O50,$Q50,$S50,$U50,$W50,$Y50,$AA50,$AC50,$AE50),2)+$B50/2&gt;AE50,($G$5/$B$5),0),0))))</f>
        <v/>
      </c>
    </row>
    <row r="51" spans="1:32" s="135" customFormat="1" ht="21" customHeight="1">
      <c r="A51" s="132" t="str">
        <f>+'Presupuesto Consolidado'!A19</f>
        <v>4.1</v>
      </c>
      <c r="B51" s="140">
        <f t="shared" si="241"/>
        <v>4374000</v>
      </c>
      <c r="C51" s="141">
        <f>IF($C$8="Habilitado",IF($A51="","",ROUND(VLOOKUP($A51,'Presupuesto Consolidado'!$A$9:$F$600,6,FALSE),2)),"")</f>
        <v>4374000</v>
      </c>
      <c r="D51" s="142">
        <f t="shared" si="242"/>
        <v>0.45714285714285713</v>
      </c>
      <c r="E51" s="141" t="str">
        <f>IF($E$8="Habilitado",IF($A51="","",ROUND(VLOOKUP($A51,'Presupuesto Consolidado'!$I$9:$N$600,6,FALSE),2)),"")</f>
        <v/>
      </c>
      <c r="F51" s="142" t="str">
        <f t="shared" si="242"/>
        <v/>
      </c>
      <c r="G51" s="141" t="str">
        <f>IF($G$8="Habilitado",IF($A51="","",ROUND(VLOOKUP($A51,'Presupuesto Consolidado'!$Q$9:$V$600,6,FALSE),2)),"")</f>
        <v/>
      </c>
      <c r="H51" s="142" t="str">
        <f t="shared" ref="H51" si="282">IF($A51="","",IF(G51="","",IF($K$4="Media aritmética",(G51&lt;=$B51)*($G$5/$B$5)+(G51&gt;$B51)*0,IF(ROUND(AVERAGE($C51,$E51,$G51,$I51,$K51,$M51,$O51,$Q51,$S51,$U51,$W51,$Y51,$AA51,$AC51,$AE51),2)-$B51/2&lt;=G51,IF(ROUND(AVERAGE($C51,$E51,$G51,$I51,$K51,$M51,$O51,$Q51,$S51,$U51,$W51,$Y51,$AA51,$AC51,$AE51),2)+$B51/2&gt;G51,($G$5/$B$5),0),0))))</f>
        <v/>
      </c>
      <c r="I51" s="141" t="str">
        <f>IF($I$8="Habilitado",IF($A51="","",ROUND(VLOOKUP($A51,'Presupuesto Consolidado'!$Y$9:$AD$600,6,FALSE),2)),"")</f>
        <v/>
      </c>
      <c r="J51" s="142" t="str">
        <f t="shared" ref="J51" si="283">IF($A51="","",IF(I51="","",IF($K$4="Media aritmética",(I51&lt;=$B51)*($G$5/$B$5)+(I51&gt;$B51)*0,IF(ROUND(AVERAGE($C51,$E51,$G51,$I51,$K51,$M51,$O51,$Q51,$S51,$U51,$W51,$Y51,$AA51,$AC51,$AE51),2)-$B51/2&lt;=I51,IF(ROUND(AVERAGE($C51,$E51,$G51,$I51,$K51,$M51,$O51,$Q51,$S51,$U51,$W51,$Y51,$AA51,$AC51,$AE51),2)+$B51/2&gt;I51,($G$5/$B$5),0),0))))</f>
        <v/>
      </c>
      <c r="K51" s="141" t="str">
        <f>IF($K$8="Habilitado",IF($A51="","",ROUND(VLOOKUP($A51,'Presupuesto Consolidado'!#REF!,6,FALSE),2)),"")</f>
        <v/>
      </c>
      <c r="L51" s="142" t="str">
        <f t="shared" ref="L51" si="284">IF($A51="","",IF(K51="","",IF($K$4="Media aritmética",(K51&lt;=$B51)*($G$5/$B$5)+(K51&gt;$B51)*0,IF(ROUND(AVERAGE($C51,$E51,$G51,$I51,$K51,$M51,$O51,$Q51,$S51,$U51,$W51,$Y51,$AA51,$AC51,$AE51),2)-$B51/2&lt;=K51,IF(ROUND(AVERAGE($C51,$E51,$G51,$I51,$K51,$M51,$O51,$Q51,$S51,$U51,$W51,$Y51,$AA51,$AC51,$AE51),2)+$B51/2&gt;K51,($G$5/$B$5),0),0))))</f>
        <v/>
      </c>
      <c r="M51" s="141" t="str">
        <f>IF($M$8="Habilitado",IF($A51="","",ROUND(VLOOKUP($A51,'Presupuesto Consolidado'!#REF!,6,FALSE),2)),"")</f>
        <v/>
      </c>
      <c r="N51" s="142" t="str">
        <f t="shared" ref="N51" si="285">IF($A51="","",IF(M51="","",IF($K$4="Media aritmética",(M51&lt;=$B51)*($G$5/$B$5)+(M51&gt;$B51)*0,IF(ROUND(AVERAGE($C51,$E51,$G51,$I51,$K51,$M51,$O51,$Q51,$S51,$U51,$W51,$Y51,$AA51,$AC51,$AE51),2)-$B51/2&lt;=M51,IF(ROUND(AVERAGE($C51,$E51,$G51,$I51,$K51,$M51,$O51,$Q51,$S51,$U51,$W51,$Y51,$AA51,$AC51,$AE51),2)+$B51/2&gt;M51,($G$5/$B$5),0),0))))</f>
        <v/>
      </c>
      <c r="O51" s="141" t="str">
        <f>IF($O$8="Habilitado",IF($A51="","",ROUND(VLOOKUP($A51,'Presupuesto Consolidado'!#REF!,6,FALSE),2)),"")</f>
        <v/>
      </c>
      <c r="P51" s="142" t="str">
        <f t="shared" ref="P51" si="286">IF($A51="","",IF(O51="","",IF($K$4="Media aritmética",(O51&lt;=$B51)*($G$5/$B$5)+(O51&gt;$B51)*0,IF(ROUND(AVERAGE($C51,$E51,$G51,$I51,$K51,$M51,$O51,$Q51,$S51,$U51,$W51,$Y51,$AA51,$AC51,$AE51),2)-$B51/2&lt;=O51,IF(ROUND(AVERAGE($C51,$E51,$G51,$I51,$K51,$M51,$O51,$Q51,$S51,$U51,$W51,$Y51,$AA51,$AC51,$AE51),2)+$B51/2&gt;O51,($G$5/$B$5),0),0))))</f>
        <v/>
      </c>
      <c r="Q51" s="141" t="str">
        <f>IF($Q$8="Habilitado",IF($A51="","",ROUND(VLOOKUP($A51,'Presupuesto Consolidado'!#REF!,6,FALSE),2)),"")</f>
        <v/>
      </c>
      <c r="R51" s="142" t="str">
        <f t="shared" ref="R51" si="287">IF($A51="","",IF(Q51="","",IF($K$4="Media aritmética",(Q51&lt;=$B51)*($G$5/$B$5)+(Q51&gt;$B51)*0,IF(ROUND(AVERAGE($C51,$E51,$G51,$I51,$K51,$M51,$O51,$Q51,$S51,$U51,$W51,$Y51,$AA51,$AC51,$AE51),2)-$B51/2&lt;=Q51,IF(ROUND(AVERAGE($C51,$E51,$G51,$I51,$K51,$M51,$O51,$Q51,$S51,$U51,$W51,$Y51,$AA51,$AC51,$AE51),2)+$B51/2&gt;Q51,($G$5/$B$5),0),0))))</f>
        <v/>
      </c>
      <c r="S51" s="141" t="str">
        <f>IF($S$8="Habilitado",IF($A51="","",ROUND(VLOOKUP($A51,'Presupuesto Consolidado'!#REF!,6,FALSE),2)),"")</f>
        <v/>
      </c>
      <c r="T51" s="142" t="str">
        <f t="shared" ref="T51" si="288">IF($A51="","",IF(S51="","",IF($K$4="Media aritmética",(S51&lt;=$B51)*($G$5/$B$5)+(S51&gt;$B51)*0,IF(ROUND(AVERAGE($C51,$E51,$G51,$I51,$K51,$M51,$O51,$Q51,$S51,$U51,$W51,$Y51,$AA51,$AC51,$AE51),2)-$B51/2&lt;=S51,IF(ROUND(AVERAGE($C51,$E51,$G51,$I51,$K51,$M51,$O51,$Q51,$S51,$U51,$W51,$Y51,$AA51,$AC51,$AE51),2)+$B51/2&gt;S51,($G$5/$B$5),0),0))))</f>
        <v/>
      </c>
      <c r="U51" s="141" t="str">
        <f>IF($U$8="Habilitado",IF($A51="","",ROUND(VLOOKUP($A51,'Presupuesto Consolidado'!#REF!,6,FALSE),2)),"")</f>
        <v/>
      </c>
      <c r="V51" s="142" t="str">
        <f t="shared" ref="V51" si="289">IF($A51="","",IF(U51="","",IF($K$4="Media aritmética",(U51&lt;=$B51)*($G$5/$B$5)+(U51&gt;$B51)*0,IF(ROUND(AVERAGE($C51,$E51,$G51,$I51,$K51,$M51,$O51,$Q51,$S51,$U51,$W51,$Y51,$AA51,$AC51,$AE51),2)-$B51/2&lt;=U51,IF(ROUND(AVERAGE($C51,$E51,$G51,$I51,$K51,$M51,$O51,$Q51,$S51,$U51,$W51,$Y51,$AA51,$AC51,$AE51),2)+$B51/2&gt;U51,($G$5/$B$5),0),0))))</f>
        <v/>
      </c>
      <c r="W51" s="141" t="str">
        <f>IF($W$8="Habilitado",IF($A51="","",ROUND(VLOOKUP($A51,'Presupuesto Consolidado'!#REF!,6,FALSE),2)),"")</f>
        <v/>
      </c>
      <c r="X51" s="142" t="str">
        <f t="shared" ref="X51" si="290">IF($A51="","",IF(W51="","",IF($K$4="Media aritmética",(W51&lt;=$B51)*($G$5/$B$5)+(W51&gt;$B51)*0,IF(ROUND(AVERAGE($C51,$E51,$G51,$I51,$K51,$M51,$O51,$Q51,$S51,$U51,$W51,$Y51,$AA51,$AC51,$AE51),2)-$B51/2&lt;=W51,IF(ROUND(AVERAGE($C51,$E51,$G51,$I51,$K51,$M51,$O51,$Q51,$S51,$U51,$W51,$Y51,$AA51,$AC51,$AE51),2)+$B51/2&gt;W51,($G$5/$B$5),0),0))))</f>
        <v/>
      </c>
      <c r="Y51" s="141" t="str">
        <f>IF($Y$8="Habilitado",IF($A51="","",ROUND(VLOOKUP($A51,'Presupuesto Consolidado'!#REF!,6,FALSE),2)),"")</f>
        <v/>
      </c>
      <c r="Z51" s="142" t="str">
        <f t="shared" ref="Z51" si="291">IF($A51="","",IF(Y51="","",IF($K$4="Media aritmética",(Y51&lt;=$B51)*($G$5/$B$5)+(Y51&gt;$B51)*0,IF(ROUND(AVERAGE($C51,$E51,$G51,$I51,$K51,$M51,$O51,$Q51,$S51,$U51,$W51,$Y51,$AA51,$AC51,$AE51),2)-$B51/2&lt;=Y51,IF(ROUND(AVERAGE($C51,$E51,$G51,$I51,$K51,$M51,$O51,$Q51,$S51,$U51,$W51,$Y51,$AA51,$AC51,$AE51),2)+$B51/2&gt;Y51,($G$5/$B$5),0),0))))</f>
        <v/>
      </c>
      <c r="AA51" s="141" t="str">
        <f>IF($AA$8="Habilitado",IF($A51="","",ROUND(VLOOKUP($A51,'Presupuesto Consolidado'!#REF!,6,FALSE),2)),"")</f>
        <v/>
      </c>
      <c r="AB51" s="142" t="str">
        <f t="shared" ref="AB51" si="292">IF($A51="","",IF(AA51="","",IF($K$4="Media aritmética",(AA51&lt;=$B51)*($G$5/$B$5)+(AA51&gt;$B51)*0,IF(ROUND(AVERAGE($C51,$E51,$G51,$I51,$K51,$M51,$O51,$Q51,$S51,$U51,$W51,$Y51,$AA51,$AC51,$AE51),2)-$B51/2&lt;=AA51,IF(ROUND(AVERAGE($C51,$E51,$G51,$I51,$K51,$M51,$O51,$Q51,$S51,$U51,$W51,$Y51,$AA51,$AC51,$AE51),2)+$B51/2&gt;AA51,($G$5/$B$5),0),0))))</f>
        <v/>
      </c>
      <c r="AC51" s="141" t="str">
        <f>IF($AC$8="Habilitado",IF($A51="","",ROUND(VLOOKUP($A51,'Presupuesto Consolidado'!#REF!,6,FALSE),2)),"")</f>
        <v/>
      </c>
      <c r="AD51" s="142" t="str">
        <f t="shared" ref="AD51" si="293">IF($A51="","",IF(AC51="","",IF($K$4="Media aritmética",(AC51&lt;=$B51)*($G$5/$B$5)+(AC51&gt;$B51)*0,IF(ROUND(AVERAGE($C51,$E51,$G51,$I51,$K51,$M51,$O51,$Q51,$S51,$U51,$W51,$Y51,$AA51,$AC51,$AE51),2)-$B51/2&lt;=AC51,IF(ROUND(AVERAGE($C51,$E51,$G51,$I51,$K51,$M51,$O51,$Q51,$S51,$U51,$W51,$Y51,$AA51,$AC51,$AE51),2)+$B51/2&gt;AC51,($G$5/$B$5),0),0))))</f>
        <v/>
      </c>
      <c r="AE51" s="141" t="str">
        <f>IF($AE$8="Habilitado",IF($A51="","",ROUND(VLOOKUP($A51,'Presupuesto Consolidado'!#REF!,6,FALSE),2)),"")</f>
        <v/>
      </c>
      <c r="AF51" s="142" t="str">
        <f t="shared" ref="AF51" si="294">IF($A51="","",IF(AE51="","",IF($K$4="Media aritmética",(AE51&lt;=$B51)*($G$5/$B$5)+(AE51&gt;$B51)*0,IF(ROUND(AVERAGE($C51,$E51,$G51,$I51,$K51,$M51,$O51,$Q51,$S51,$U51,$W51,$Y51,$AA51,$AC51,$AE51),2)-$B51/2&lt;=AE51,IF(ROUND(AVERAGE($C51,$E51,$G51,$I51,$K51,$M51,$O51,$Q51,$S51,$U51,$W51,$Y51,$AA51,$AC51,$AE51),2)+$B51/2&gt;AE51,($G$5/$B$5),0),0))))</f>
        <v/>
      </c>
    </row>
    <row r="52" spans="1:32" s="135" customFormat="1" ht="21" customHeight="1">
      <c r="A52" s="132" t="str">
        <f>+'Presupuesto Consolidado'!A20</f>
        <v>4.2</v>
      </c>
      <c r="B52" s="140">
        <f t="shared" si="241"/>
        <v>2441880</v>
      </c>
      <c r="C52" s="141">
        <f>IF($C$8="Habilitado",IF($A52="","",ROUND(VLOOKUP($A52,'Presupuesto Consolidado'!$A$9:$F$600,6,FALSE),2)),"")</f>
        <v>2441880</v>
      </c>
      <c r="D52" s="142">
        <f t="shared" si="242"/>
        <v>0.45714285714285713</v>
      </c>
      <c r="E52" s="141" t="str">
        <f>IF($E$8="Habilitado",IF($A52="","",ROUND(VLOOKUP($A52,'Presupuesto Consolidado'!$I$9:$N$600,6,FALSE),2)),"")</f>
        <v/>
      </c>
      <c r="F52" s="142" t="str">
        <f t="shared" si="242"/>
        <v/>
      </c>
      <c r="G52" s="141" t="str">
        <f>IF($G$8="Habilitado",IF($A52="","",ROUND(VLOOKUP($A52,'Presupuesto Consolidado'!$Q$9:$V$600,6,FALSE),2)),"")</f>
        <v/>
      </c>
      <c r="H52" s="142" t="str">
        <f t="shared" ref="H52" si="295">IF($A52="","",IF(G52="","",IF($K$4="Media aritmética",(G52&lt;=$B52)*($G$5/$B$5)+(G52&gt;$B52)*0,IF(ROUND(AVERAGE($C52,$E52,$G52,$I52,$K52,$M52,$O52,$Q52,$S52,$U52,$W52,$Y52,$AA52,$AC52,$AE52),2)-$B52/2&lt;=G52,IF(ROUND(AVERAGE($C52,$E52,$G52,$I52,$K52,$M52,$O52,$Q52,$S52,$U52,$W52,$Y52,$AA52,$AC52,$AE52),2)+$B52/2&gt;G52,($G$5/$B$5),0),0))))</f>
        <v/>
      </c>
      <c r="I52" s="141" t="str">
        <f>IF($I$8="Habilitado",IF($A52="","",ROUND(VLOOKUP($A52,'Presupuesto Consolidado'!$Y$9:$AD$600,6,FALSE),2)),"")</f>
        <v/>
      </c>
      <c r="J52" s="142" t="str">
        <f t="shared" ref="J52" si="296">IF($A52="","",IF(I52="","",IF($K$4="Media aritmética",(I52&lt;=$B52)*($G$5/$B$5)+(I52&gt;$B52)*0,IF(ROUND(AVERAGE($C52,$E52,$G52,$I52,$K52,$M52,$O52,$Q52,$S52,$U52,$W52,$Y52,$AA52,$AC52,$AE52),2)-$B52/2&lt;=I52,IF(ROUND(AVERAGE($C52,$E52,$G52,$I52,$K52,$M52,$O52,$Q52,$S52,$U52,$W52,$Y52,$AA52,$AC52,$AE52),2)+$B52/2&gt;I52,($G$5/$B$5),0),0))))</f>
        <v/>
      </c>
      <c r="K52" s="141" t="str">
        <f>IF($K$8="Habilitado",IF($A52="","",ROUND(VLOOKUP($A52,'Presupuesto Consolidado'!#REF!,6,FALSE),2)),"")</f>
        <v/>
      </c>
      <c r="L52" s="142" t="str">
        <f t="shared" ref="L52" si="297">IF($A52="","",IF(K52="","",IF($K$4="Media aritmética",(K52&lt;=$B52)*($G$5/$B$5)+(K52&gt;$B52)*0,IF(ROUND(AVERAGE($C52,$E52,$G52,$I52,$K52,$M52,$O52,$Q52,$S52,$U52,$W52,$Y52,$AA52,$AC52,$AE52),2)-$B52/2&lt;=K52,IF(ROUND(AVERAGE($C52,$E52,$G52,$I52,$K52,$M52,$O52,$Q52,$S52,$U52,$W52,$Y52,$AA52,$AC52,$AE52),2)+$B52/2&gt;K52,($G$5/$B$5),0),0))))</f>
        <v/>
      </c>
      <c r="M52" s="141" t="str">
        <f>IF($M$8="Habilitado",IF($A52="","",ROUND(VLOOKUP($A52,'Presupuesto Consolidado'!#REF!,6,FALSE),2)),"")</f>
        <v/>
      </c>
      <c r="N52" s="142" t="str">
        <f t="shared" ref="N52" si="298">IF($A52="","",IF(M52="","",IF($K$4="Media aritmética",(M52&lt;=$B52)*($G$5/$B$5)+(M52&gt;$B52)*0,IF(ROUND(AVERAGE($C52,$E52,$G52,$I52,$K52,$M52,$O52,$Q52,$S52,$U52,$W52,$Y52,$AA52,$AC52,$AE52),2)-$B52/2&lt;=M52,IF(ROUND(AVERAGE($C52,$E52,$G52,$I52,$K52,$M52,$O52,$Q52,$S52,$U52,$W52,$Y52,$AA52,$AC52,$AE52),2)+$B52/2&gt;M52,($G$5/$B$5),0),0))))</f>
        <v/>
      </c>
      <c r="O52" s="141" t="str">
        <f>IF($O$8="Habilitado",IF($A52="","",ROUND(VLOOKUP($A52,'Presupuesto Consolidado'!#REF!,6,FALSE),2)),"")</f>
        <v/>
      </c>
      <c r="P52" s="142" t="str">
        <f t="shared" ref="P52" si="299">IF($A52="","",IF(O52="","",IF($K$4="Media aritmética",(O52&lt;=$B52)*($G$5/$B$5)+(O52&gt;$B52)*0,IF(ROUND(AVERAGE($C52,$E52,$G52,$I52,$K52,$M52,$O52,$Q52,$S52,$U52,$W52,$Y52,$AA52,$AC52,$AE52),2)-$B52/2&lt;=O52,IF(ROUND(AVERAGE($C52,$E52,$G52,$I52,$K52,$M52,$O52,$Q52,$S52,$U52,$W52,$Y52,$AA52,$AC52,$AE52),2)+$B52/2&gt;O52,($G$5/$B$5),0),0))))</f>
        <v/>
      </c>
      <c r="Q52" s="141" t="str">
        <f>IF($Q$8="Habilitado",IF($A52="","",ROUND(VLOOKUP($A52,'Presupuesto Consolidado'!#REF!,6,FALSE),2)),"")</f>
        <v/>
      </c>
      <c r="R52" s="142" t="str">
        <f t="shared" ref="R52" si="300">IF($A52="","",IF(Q52="","",IF($K$4="Media aritmética",(Q52&lt;=$B52)*($G$5/$B$5)+(Q52&gt;$B52)*0,IF(ROUND(AVERAGE($C52,$E52,$G52,$I52,$K52,$M52,$O52,$Q52,$S52,$U52,$W52,$Y52,$AA52,$AC52,$AE52),2)-$B52/2&lt;=Q52,IF(ROUND(AVERAGE($C52,$E52,$G52,$I52,$K52,$M52,$O52,$Q52,$S52,$U52,$W52,$Y52,$AA52,$AC52,$AE52),2)+$B52/2&gt;Q52,($G$5/$B$5),0),0))))</f>
        <v/>
      </c>
      <c r="S52" s="141" t="str">
        <f>IF($S$8="Habilitado",IF($A52="","",ROUND(VLOOKUP($A52,'Presupuesto Consolidado'!#REF!,6,FALSE),2)),"")</f>
        <v/>
      </c>
      <c r="T52" s="142" t="str">
        <f t="shared" ref="T52" si="301">IF($A52="","",IF(S52="","",IF($K$4="Media aritmética",(S52&lt;=$B52)*($G$5/$B$5)+(S52&gt;$B52)*0,IF(ROUND(AVERAGE($C52,$E52,$G52,$I52,$K52,$M52,$O52,$Q52,$S52,$U52,$W52,$Y52,$AA52,$AC52,$AE52),2)-$B52/2&lt;=S52,IF(ROUND(AVERAGE($C52,$E52,$G52,$I52,$K52,$M52,$O52,$Q52,$S52,$U52,$W52,$Y52,$AA52,$AC52,$AE52),2)+$B52/2&gt;S52,($G$5/$B$5),0),0))))</f>
        <v/>
      </c>
      <c r="U52" s="141" t="str">
        <f>IF($U$8="Habilitado",IF($A52="","",ROUND(VLOOKUP($A52,'Presupuesto Consolidado'!#REF!,6,FALSE),2)),"")</f>
        <v/>
      </c>
      <c r="V52" s="142" t="str">
        <f t="shared" ref="V52" si="302">IF($A52="","",IF(U52="","",IF($K$4="Media aritmética",(U52&lt;=$B52)*($G$5/$B$5)+(U52&gt;$B52)*0,IF(ROUND(AVERAGE($C52,$E52,$G52,$I52,$K52,$M52,$O52,$Q52,$S52,$U52,$W52,$Y52,$AA52,$AC52,$AE52),2)-$B52/2&lt;=U52,IF(ROUND(AVERAGE($C52,$E52,$G52,$I52,$K52,$M52,$O52,$Q52,$S52,$U52,$W52,$Y52,$AA52,$AC52,$AE52),2)+$B52/2&gt;U52,($G$5/$B$5),0),0))))</f>
        <v/>
      </c>
      <c r="W52" s="141" t="str">
        <f>IF($W$8="Habilitado",IF($A52="","",ROUND(VLOOKUP($A52,'Presupuesto Consolidado'!#REF!,6,FALSE),2)),"")</f>
        <v/>
      </c>
      <c r="X52" s="142" t="str">
        <f t="shared" ref="X52" si="303">IF($A52="","",IF(W52="","",IF($K$4="Media aritmética",(W52&lt;=$B52)*($G$5/$B$5)+(W52&gt;$B52)*0,IF(ROUND(AVERAGE($C52,$E52,$G52,$I52,$K52,$M52,$O52,$Q52,$S52,$U52,$W52,$Y52,$AA52,$AC52,$AE52),2)-$B52/2&lt;=W52,IF(ROUND(AVERAGE($C52,$E52,$G52,$I52,$K52,$M52,$O52,$Q52,$S52,$U52,$W52,$Y52,$AA52,$AC52,$AE52),2)+$B52/2&gt;W52,($G$5/$B$5),0),0))))</f>
        <v/>
      </c>
      <c r="Y52" s="141" t="str">
        <f>IF($Y$8="Habilitado",IF($A52="","",ROUND(VLOOKUP($A52,'Presupuesto Consolidado'!#REF!,6,FALSE),2)),"")</f>
        <v/>
      </c>
      <c r="Z52" s="142" t="str">
        <f t="shared" ref="Z52" si="304">IF($A52="","",IF(Y52="","",IF($K$4="Media aritmética",(Y52&lt;=$B52)*($G$5/$B$5)+(Y52&gt;$B52)*0,IF(ROUND(AVERAGE($C52,$E52,$G52,$I52,$K52,$M52,$O52,$Q52,$S52,$U52,$W52,$Y52,$AA52,$AC52,$AE52),2)-$B52/2&lt;=Y52,IF(ROUND(AVERAGE($C52,$E52,$G52,$I52,$K52,$M52,$O52,$Q52,$S52,$U52,$W52,$Y52,$AA52,$AC52,$AE52),2)+$B52/2&gt;Y52,($G$5/$B$5),0),0))))</f>
        <v/>
      </c>
      <c r="AA52" s="141" t="str">
        <f>IF($AA$8="Habilitado",IF($A52="","",ROUND(VLOOKUP($A52,'Presupuesto Consolidado'!#REF!,6,FALSE),2)),"")</f>
        <v/>
      </c>
      <c r="AB52" s="142" t="str">
        <f t="shared" ref="AB52" si="305">IF($A52="","",IF(AA52="","",IF($K$4="Media aritmética",(AA52&lt;=$B52)*($G$5/$B$5)+(AA52&gt;$B52)*0,IF(ROUND(AVERAGE($C52,$E52,$G52,$I52,$K52,$M52,$O52,$Q52,$S52,$U52,$W52,$Y52,$AA52,$AC52,$AE52),2)-$B52/2&lt;=AA52,IF(ROUND(AVERAGE($C52,$E52,$G52,$I52,$K52,$M52,$O52,$Q52,$S52,$U52,$W52,$Y52,$AA52,$AC52,$AE52),2)+$B52/2&gt;AA52,($G$5/$B$5),0),0))))</f>
        <v/>
      </c>
      <c r="AC52" s="141" t="str">
        <f>IF($AC$8="Habilitado",IF($A52="","",ROUND(VLOOKUP($A52,'Presupuesto Consolidado'!#REF!,6,FALSE),2)),"")</f>
        <v/>
      </c>
      <c r="AD52" s="142" t="str">
        <f t="shared" ref="AD52" si="306">IF($A52="","",IF(AC52="","",IF($K$4="Media aritmética",(AC52&lt;=$B52)*($G$5/$B$5)+(AC52&gt;$B52)*0,IF(ROUND(AVERAGE($C52,$E52,$G52,$I52,$K52,$M52,$O52,$Q52,$S52,$U52,$W52,$Y52,$AA52,$AC52,$AE52),2)-$B52/2&lt;=AC52,IF(ROUND(AVERAGE($C52,$E52,$G52,$I52,$K52,$M52,$O52,$Q52,$S52,$U52,$W52,$Y52,$AA52,$AC52,$AE52),2)+$B52/2&gt;AC52,($G$5/$B$5),0),0))))</f>
        <v/>
      </c>
      <c r="AE52" s="141" t="str">
        <f>IF($AE$8="Habilitado",IF($A52="","",ROUND(VLOOKUP($A52,'Presupuesto Consolidado'!#REF!,6,FALSE),2)),"")</f>
        <v/>
      </c>
      <c r="AF52" s="142" t="str">
        <f t="shared" ref="AF52" si="307">IF($A52="","",IF(AE52="","",IF($K$4="Media aritmética",(AE52&lt;=$B52)*($G$5/$B$5)+(AE52&gt;$B52)*0,IF(ROUND(AVERAGE($C52,$E52,$G52,$I52,$K52,$M52,$O52,$Q52,$S52,$U52,$W52,$Y52,$AA52,$AC52,$AE52),2)-$B52/2&lt;=AE52,IF(ROUND(AVERAGE($C52,$E52,$G52,$I52,$K52,$M52,$O52,$Q52,$S52,$U52,$W52,$Y52,$AA52,$AC52,$AE52),2)+$B52/2&gt;AE52,($G$5/$B$5),0),0))))</f>
        <v/>
      </c>
    </row>
    <row r="53" spans="1:32" s="135" customFormat="1" ht="21" customHeight="1">
      <c r="A53" s="132" t="str">
        <f>+'Presupuesto Consolidado'!A21</f>
        <v>4.3</v>
      </c>
      <c r="B53" s="140">
        <f t="shared" si="241"/>
        <v>2325600</v>
      </c>
      <c r="C53" s="141">
        <f>IF($C$8="Habilitado",IF($A53="","",ROUND(VLOOKUP($A53,'Presupuesto Consolidado'!$A$9:$F$600,6,FALSE),2)),"")</f>
        <v>2325600</v>
      </c>
      <c r="D53" s="142">
        <f t="shared" si="242"/>
        <v>0.45714285714285713</v>
      </c>
      <c r="E53" s="141" t="str">
        <f>IF($E$8="Habilitado",IF($A53="","",ROUND(VLOOKUP($A53,'Presupuesto Consolidado'!$I$9:$N$600,6,FALSE),2)),"")</f>
        <v/>
      </c>
      <c r="F53" s="142" t="str">
        <f t="shared" si="242"/>
        <v/>
      </c>
      <c r="G53" s="141" t="str">
        <f>IF($G$8="Habilitado",IF($A53="","",ROUND(VLOOKUP($A53,'Presupuesto Consolidado'!$Q$9:$V$600,6,FALSE),2)),"")</f>
        <v/>
      </c>
      <c r="H53" s="142" t="str">
        <f t="shared" ref="H53" si="308">IF($A53="","",IF(G53="","",IF($K$4="Media aritmética",(G53&lt;=$B53)*($G$5/$B$5)+(G53&gt;$B53)*0,IF(ROUND(AVERAGE($C53,$E53,$G53,$I53,$K53,$M53,$O53,$Q53,$S53,$U53,$W53,$Y53,$AA53,$AC53,$AE53),2)-$B53/2&lt;=G53,IF(ROUND(AVERAGE($C53,$E53,$G53,$I53,$K53,$M53,$O53,$Q53,$S53,$U53,$W53,$Y53,$AA53,$AC53,$AE53),2)+$B53/2&gt;G53,($G$5/$B$5),0),0))))</f>
        <v/>
      </c>
      <c r="I53" s="141" t="str">
        <f>IF($I$8="Habilitado",IF($A53="","",ROUND(VLOOKUP($A53,'Presupuesto Consolidado'!$Y$9:$AD$600,6,FALSE),2)),"")</f>
        <v/>
      </c>
      <c r="J53" s="142" t="str">
        <f t="shared" ref="J53" si="309">IF($A53="","",IF(I53="","",IF($K$4="Media aritmética",(I53&lt;=$B53)*($G$5/$B$5)+(I53&gt;$B53)*0,IF(ROUND(AVERAGE($C53,$E53,$G53,$I53,$K53,$M53,$O53,$Q53,$S53,$U53,$W53,$Y53,$AA53,$AC53,$AE53),2)-$B53/2&lt;=I53,IF(ROUND(AVERAGE($C53,$E53,$G53,$I53,$K53,$M53,$O53,$Q53,$S53,$U53,$W53,$Y53,$AA53,$AC53,$AE53),2)+$B53/2&gt;I53,($G$5/$B$5),0),0))))</f>
        <v/>
      </c>
      <c r="K53" s="141" t="str">
        <f>IF($K$8="Habilitado",IF($A53="","",ROUND(VLOOKUP($A53,'Presupuesto Consolidado'!#REF!,6,FALSE),2)),"")</f>
        <v/>
      </c>
      <c r="L53" s="142" t="str">
        <f t="shared" ref="L53" si="310">IF($A53="","",IF(K53="","",IF($K$4="Media aritmética",(K53&lt;=$B53)*($G$5/$B$5)+(K53&gt;$B53)*0,IF(ROUND(AVERAGE($C53,$E53,$G53,$I53,$K53,$M53,$O53,$Q53,$S53,$U53,$W53,$Y53,$AA53,$AC53,$AE53),2)-$B53/2&lt;=K53,IF(ROUND(AVERAGE($C53,$E53,$G53,$I53,$K53,$M53,$O53,$Q53,$S53,$U53,$W53,$Y53,$AA53,$AC53,$AE53),2)+$B53/2&gt;K53,($G$5/$B$5),0),0))))</f>
        <v/>
      </c>
      <c r="M53" s="141" t="str">
        <f>IF($M$8="Habilitado",IF($A53="","",ROUND(VLOOKUP($A53,'Presupuesto Consolidado'!#REF!,6,FALSE),2)),"")</f>
        <v/>
      </c>
      <c r="N53" s="142" t="str">
        <f t="shared" ref="N53" si="311">IF($A53="","",IF(M53="","",IF($K$4="Media aritmética",(M53&lt;=$B53)*($G$5/$B$5)+(M53&gt;$B53)*0,IF(ROUND(AVERAGE($C53,$E53,$G53,$I53,$K53,$M53,$O53,$Q53,$S53,$U53,$W53,$Y53,$AA53,$AC53,$AE53),2)-$B53/2&lt;=M53,IF(ROUND(AVERAGE($C53,$E53,$G53,$I53,$K53,$M53,$O53,$Q53,$S53,$U53,$W53,$Y53,$AA53,$AC53,$AE53),2)+$B53/2&gt;M53,($G$5/$B$5),0),0))))</f>
        <v/>
      </c>
      <c r="O53" s="141" t="str">
        <f>IF($O$8="Habilitado",IF($A53="","",ROUND(VLOOKUP($A53,'Presupuesto Consolidado'!#REF!,6,FALSE),2)),"")</f>
        <v/>
      </c>
      <c r="P53" s="142" t="str">
        <f t="shared" ref="P53" si="312">IF($A53="","",IF(O53="","",IF($K$4="Media aritmética",(O53&lt;=$B53)*($G$5/$B$5)+(O53&gt;$B53)*0,IF(ROUND(AVERAGE($C53,$E53,$G53,$I53,$K53,$M53,$O53,$Q53,$S53,$U53,$W53,$Y53,$AA53,$AC53,$AE53),2)-$B53/2&lt;=O53,IF(ROUND(AVERAGE($C53,$E53,$G53,$I53,$K53,$M53,$O53,$Q53,$S53,$U53,$W53,$Y53,$AA53,$AC53,$AE53),2)+$B53/2&gt;O53,($G$5/$B$5),0),0))))</f>
        <v/>
      </c>
      <c r="Q53" s="141" t="str">
        <f>IF($Q$8="Habilitado",IF($A53="","",ROUND(VLOOKUP($A53,'Presupuesto Consolidado'!#REF!,6,FALSE),2)),"")</f>
        <v/>
      </c>
      <c r="R53" s="142" t="str">
        <f t="shared" ref="R53" si="313">IF($A53="","",IF(Q53="","",IF($K$4="Media aritmética",(Q53&lt;=$B53)*($G$5/$B$5)+(Q53&gt;$B53)*0,IF(ROUND(AVERAGE($C53,$E53,$G53,$I53,$K53,$M53,$O53,$Q53,$S53,$U53,$W53,$Y53,$AA53,$AC53,$AE53),2)-$B53/2&lt;=Q53,IF(ROUND(AVERAGE($C53,$E53,$G53,$I53,$K53,$M53,$O53,$Q53,$S53,$U53,$W53,$Y53,$AA53,$AC53,$AE53),2)+$B53/2&gt;Q53,($G$5/$B$5),0),0))))</f>
        <v/>
      </c>
      <c r="S53" s="141" t="str">
        <f>IF($S$8="Habilitado",IF($A53="","",ROUND(VLOOKUP($A53,'Presupuesto Consolidado'!#REF!,6,FALSE),2)),"")</f>
        <v/>
      </c>
      <c r="T53" s="142" t="str">
        <f t="shared" ref="T53" si="314">IF($A53="","",IF(S53="","",IF($K$4="Media aritmética",(S53&lt;=$B53)*($G$5/$B$5)+(S53&gt;$B53)*0,IF(ROUND(AVERAGE($C53,$E53,$G53,$I53,$K53,$M53,$O53,$Q53,$S53,$U53,$W53,$Y53,$AA53,$AC53,$AE53),2)-$B53/2&lt;=S53,IF(ROUND(AVERAGE($C53,$E53,$G53,$I53,$K53,$M53,$O53,$Q53,$S53,$U53,$W53,$Y53,$AA53,$AC53,$AE53),2)+$B53/2&gt;S53,($G$5/$B$5),0),0))))</f>
        <v/>
      </c>
      <c r="U53" s="141" t="str">
        <f>IF($U$8="Habilitado",IF($A53="","",ROUND(VLOOKUP($A53,'Presupuesto Consolidado'!#REF!,6,FALSE),2)),"")</f>
        <v/>
      </c>
      <c r="V53" s="142" t="str">
        <f t="shared" ref="V53" si="315">IF($A53="","",IF(U53="","",IF($K$4="Media aritmética",(U53&lt;=$B53)*($G$5/$B$5)+(U53&gt;$B53)*0,IF(ROUND(AVERAGE($C53,$E53,$G53,$I53,$K53,$M53,$O53,$Q53,$S53,$U53,$W53,$Y53,$AA53,$AC53,$AE53),2)-$B53/2&lt;=U53,IF(ROUND(AVERAGE($C53,$E53,$G53,$I53,$K53,$M53,$O53,$Q53,$S53,$U53,$W53,$Y53,$AA53,$AC53,$AE53),2)+$B53/2&gt;U53,($G$5/$B$5),0),0))))</f>
        <v/>
      </c>
      <c r="W53" s="141" t="str">
        <f>IF($W$8="Habilitado",IF($A53="","",ROUND(VLOOKUP($A53,'Presupuesto Consolidado'!#REF!,6,FALSE),2)),"")</f>
        <v/>
      </c>
      <c r="X53" s="142" t="str">
        <f t="shared" ref="X53" si="316">IF($A53="","",IF(W53="","",IF($K$4="Media aritmética",(W53&lt;=$B53)*($G$5/$B$5)+(W53&gt;$B53)*0,IF(ROUND(AVERAGE($C53,$E53,$G53,$I53,$K53,$M53,$O53,$Q53,$S53,$U53,$W53,$Y53,$AA53,$AC53,$AE53),2)-$B53/2&lt;=W53,IF(ROUND(AVERAGE($C53,$E53,$G53,$I53,$K53,$M53,$O53,$Q53,$S53,$U53,$W53,$Y53,$AA53,$AC53,$AE53),2)+$B53/2&gt;W53,($G$5/$B$5),0),0))))</f>
        <v/>
      </c>
      <c r="Y53" s="141" t="str">
        <f>IF($Y$8="Habilitado",IF($A53="","",ROUND(VLOOKUP($A53,'Presupuesto Consolidado'!#REF!,6,FALSE),2)),"")</f>
        <v/>
      </c>
      <c r="Z53" s="142" t="str">
        <f t="shared" ref="Z53" si="317">IF($A53="","",IF(Y53="","",IF($K$4="Media aritmética",(Y53&lt;=$B53)*($G$5/$B$5)+(Y53&gt;$B53)*0,IF(ROUND(AVERAGE($C53,$E53,$G53,$I53,$K53,$M53,$O53,$Q53,$S53,$U53,$W53,$Y53,$AA53,$AC53,$AE53),2)-$B53/2&lt;=Y53,IF(ROUND(AVERAGE($C53,$E53,$G53,$I53,$K53,$M53,$O53,$Q53,$S53,$U53,$W53,$Y53,$AA53,$AC53,$AE53),2)+$B53/2&gt;Y53,($G$5/$B$5),0),0))))</f>
        <v/>
      </c>
      <c r="AA53" s="141" t="str">
        <f>IF($AA$8="Habilitado",IF($A53="","",ROUND(VLOOKUP($A53,'Presupuesto Consolidado'!#REF!,6,FALSE),2)),"")</f>
        <v/>
      </c>
      <c r="AB53" s="142" t="str">
        <f t="shared" ref="AB53" si="318">IF($A53="","",IF(AA53="","",IF($K$4="Media aritmética",(AA53&lt;=$B53)*($G$5/$B$5)+(AA53&gt;$B53)*0,IF(ROUND(AVERAGE($C53,$E53,$G53,$I53,$K53,$M53,$O53,$Q53,$S53,$U53,$W53,$Y53,$AA53,$AC53,$AE53),2)-$B53/2&lt;=AA53,IF(ROUND(AVERAGE($C53,$E53,$G53,$I53,$K53,$M53,$O53,$Q53,$S53,$U53,$W53,$Y53,$AA53,$AC53,$AE53),2)+$B53/2&gt;AA53,($G$5/$B$5),0),0))))</f>
        <v/>
      </c>
      <c r="AC53" s="141" t="str">
        <f>IF($AC$8="Habilitado",IF($A53="","",ROUND(VLOOKUP($A53,'Presupuesto Consolidado'!#REF!,6,FALSE),2)),"")</f>
        <v/>
      </c>
      <c r="AD53" s="142" t="str">
        <f t="shared" ref="AD53" si="319">IF($A53="","",IF(AC53="","",IF($K$4="Media aritmética",(AC53&lt;=$B53)*($G$5/$B$5)+(AC53&gt;$B53)*0,IF(ROUND(AVERAGE($C53,$E53,$G53,$I53,$K53,$M53,$O53,$Q53,$S53,$U53,$W53,$Y53,$AA53,$AC53,$AE53),2)-$B53/2&lt;=AC53,IF(ROUND(AVERAGE($C53,$E53,$G53,$I53,$K53,$M53,$O53,$Q53,$S53,$U53,$W53,$Y53,$AA53,$AC53,$AE53),2)+$B53/2&gt;AC53,($G$5/$B$5),0),0))))</f>
        <v/>
      </c>
      <c r="AE53" s="141" t="str">
        <f>IF($AE$8="Habilitado",IF($A53="","",ROUND(VLOOKUP($A53,'Presupuesto Consolidado'!#REF!,6,FALSE),2)),"")</f>
        <v/>
      </c>
      <c r="AF53" s="142" t="str">
        <f t="shared" ref="AF53" si="320">IF($A53="","",IF(AE53="","",IF($K$4="Media aritmética",(AE53&lt;=$B53)*($G$5/$B$5)+(AE53&gt;$B53)*0,IF(ROUND(AVERAGE($C53,$E53,$G53,$I53,$K53,$M53,$O53,$Q53,$S53,$U53,$W53,$Y53,$AA53,$AC53,$AE53),2)-$B53/2&lt;=AE53,IF(ROUND(AVERAGE($C53,$E53,$G53,$I53,$K53,$M53,$O53,$Q53,$S53,$U53,$W53,$Y53,$AA53,$AC53,$AE53),2)+$B53/2&gt;AE53,($G$5/$B$5),0),0))))</f>
        <v/>
      </c>
    </row>
    <row r="54" spans="1:32" s="135" customFormat="1" ht="21" customHeight="1">
      <c r="A54" s="132" t="str">
        <f>+'Presupuesto Consolidado'!A23</f>
        <v>5.1</v>
      </c>
      <c r="B54" s="140">
        <f t="shared" si="241"/>
        <v>5761800</v>
      </c>
      <c r="C54" s="141">
        <f>IF($C$8="Habilitado",IF($A54="","",ROUND(VLOOKUP($A54,'Presupuesto Consolidado'!$A$9:$F$600,6,FALSE),2)),"")</f>
        <v>5761800</v>
      </c>
      <c r="D54" s="142">
        <f t="shared" si="242"/>
        <v>0.45714285714285713</v>
      </c>
      <c r="E54" s="141" t="str">
        <f>IF($E$8="Habilitado",IF($A54="","",ROUND(VLOOKUP($A54,'Presupuesto Consolidado'!$I$9:$N$600,6,FALSE),2)),"")</f>
        <v/>
      </c>
      <c r="F54" s="142" t="str">
        <f t="shared" si="242"/>
        <v/>
      </c>
      <c r="G54" s="141" t="str">
        <f>IF($G$8="Habilitado",IF($A54="","",ROUND(VLOOKUP($A54,'Presupuesto Consolidado'!$Q$9:$V$600,6,FALSE),2)),"")</f>
        <v/>
      </c>
      <c r="H54" s="142" t="str">
        <f t="shared" ref="H54" si="321">IF($A54="","",IF(G54="","",IF($K$4="Media aritmética",(G54&lt;=$B54)*($G$5/$B$5)+(G54&gt;$B54)*0,IF(ROUND(AVERAGE($C54,$E54,$G54,$I54,$K54,$M54,$O54,$Q54,$S54,$U54,$W54,$Y54,$AA54,$AC54,$AE54),2)-$B54/2&lt;=G54,IF(ROUND(AVERAGE($C54,$E54,$G54,$I54,$K54,$M54,$O54,$Q54,$S54,$U54,$W54,$Y54,$AA54,$AC54,$AE54),2)+$B54/2&gt;G54,($G$5/$B$5),0),0))))</f>
        <v/>
      </c>
      <c r="I54" s="141" t="str">
        <f>IF($I$8="Habilitado",IF($A54="","",ROUND(VLOOKUP($A54,'Presupuesto Consolidado'!$Y$9:$AD$600,6,FALSE),2)),"")</f>
        <v/>
      </c>
      <c r="J54" s="142" t="str">
        <f t="shared" ref="J54" si="322">IF($A54="","",IF(I54="","",IF($K$4="Media aritmética",(I54&lt;=$B54)*($G$5/$B$5)+(I54&gt;$B54)*0,IF(ROUND(AVERAGE($C54,$E54,$G54,$I54,$K54,$M54,$O54,$Q54,$S54,$U54,$W54,$Y54,$AA54,$AC54,$AE54),2)-$B54/2&lt;=I54,IF(ROUND(AVERAGE($C54,$E54,$G54,$I54,$K54,$M54,$O54,$Q54,$S54,$U54,$W54,$Y54,$AA54,$AC54,$AE54),2)+$B54/2&gt;I54,($G$5/$B$5),0),0))))</f>
        <v/>
      </c>
      <c r="K54" s="141" t="str">
        <f>IF($K$8="Habilitado",IF($A54="","",ROUND(VLOOKUP($A54,'Presupuesto Consolidado'!#REF!,6,FALSE),2)),"")</f>
        <v/>
      </c>
      <c r="L54" s="142" t="str">
        <f t="shared" ref="L54" si="323">IF($A54="","",IF(K54="","",IF($K$4="Media aritmética",(K54&lt;=$B54)*($G$5/$B$5)+(K54&gt;$B54)*0,IF(ROUND(AVERAGE($C54,$E54,$G54,$I54,$K54,$M54,$O54,$Q54,$S54,$U54,$W54,$Y54,$AA54,$AC54,$AE54),2)-$B54/2&lt;=K54,IF(ROUND(AVERAGE($C54,$E54,$G54,$I54,$K54,$M54,$O54,$Q54,$S54,$U54,$W54,$Y54,$AA54,$AC54,$AE54),2)+$B54/2&gt;K54,($G$5/$B$5),0),0))))</f>
        <v/>
      </c>
      <c r="M54" s="141" t="str">
        <f>IF($M$8="Habilitado",IF($A54="","",ROUND(VLOOKUP($A54,'Presupuesto Consolidado'!#REF!,6,FALSE),2)),"")</f>
        <v/>
      </c>
      <c r="N54" s="142" t="str">
        <f t="shared" ref="N54" si="324">IF($A54="","",IF(M54="","",IF($K$4="Media aritmética",(M54&lt;=$B54)*($G$5/$B$5)+(M54&gt;$B54)*0,IF(ROUND(AVERAGE($C54,$E54,$G54,$I54,$K54,$M54,$O54,$Q54,$S54,$U54,$W54,$Y54,$AA54,$AC54,$AE54),2)-$B54/2&lt;=M54,IF(ROUND(AVERAGE($C54,$E54,$G54,$I54,$K54,$M54,$O54,$Q54,$S54,$U54,$W54,$Y54,$AA54,$AC54,$AE54),2)+$B54/2&gt;M54,($G$5/$B$5),0),0))))</f>
        <v/>
      </c>
      <c r="O54" s="141" t="str">
        <f>IF($O$8="Habilitado",IF($A54="","",ROUND(VLOOKUP($A54,'Presupuesto Consolidado'!#REF!,6,FALSE),2)),"")</f>
        <v/>
      </c>
      <c r="P54" s="142" t="str">
        <f t="shared" ref="P54" si="325">IF($A54="","",IF(O54="","",IF($K$4="Media aritmética",(O54&lt;=$B54)*($G$5/$B$5)+(O54&gt;$B54)*0,IF(ROUND(AVERAGE($C54,$E54,$G54,$I54,$K54,$M54,$O54,$Q54,$S54,$U54,$W54,$Y54,$AA54,$AC54,$AE54),2)-$B54/2&lt;=O54,IF(ROUND(AVERAGE($C54,$E54,$G54,$I54,$K54,$M54,$O54,$Q54,$S54,$U54,$W54,$Y54,$AA54,$AC54,$AE54),2)+$B54/2&gt;O54,($G$5/$B$5),0),0))))</f>
        <v/>
      </c>
      <c r="Q54" s="141" t="str">
        <f>IF($Q$8="Habilitado",IF($A54="","",ROUND(VLOOKUP($A54,'Presupuesto Consolidado'!#REF!,6,FALSE),2)),"")</f>
        <v/>
      </c>
      <c r="R54" s="142" t="str">
        <f t="shared" ref="R54" si="326">IF($A54="","",IF(Q54="","",IF($K$4="Media aritmética",(Q54&lt;=$B54)*($G$5/$B$5)+(Q54&gt;$B54)*0,IF(ROUND(AVERAGE($C54,$E54,$G54,$I54,$K54,$M54,$O54,$Q54,$S54,$U54,$W54,$Y54,$AA54,$AC54,$AE54),2)-$B54/2&lt;=Q54,IF(ROUND(AVERAGE($C54,$E54,$G54,$I54,$K54,$M54,$O54,$Q54,$S54,$U54,$W54,$Y54,$AA54,$AC54,$AE54),2)+$B54/2&gt;Q54,($G$5/$B$5),0),0))))</f>
        <v/>
      </c>
      <c r="S54" s="141" t="str">
        <f>IF($S$8="Habilitado",IF($A54="","",ROUND(VLOOKUP($A54,'Presupuesto Consolidado'!#REF!,6,FALSE),2)),"")</f>
        <v/>
      </c>
      <c r="T54" s="142" t="str">
        <f t="shared" ref="T54" si="327">IF($A54="","",IF(S54="","",IF($K$4="Media aritmética",(S54&lt;=$B54)*($G$5/$B$5)+(S54&gt;$B54)*0,IF(ROUND(AVERAGE($C54,$E54,$G54,$I54,$K54,$M54,$O54,$Q54,$S54,$U54,$W54,$Y54,$AA54,$AC54,$AE54),2)-$B54/2&lt;=S54,IF(ROUND(AVERAGE($C54,$E54,$G54,$I54,$K54,$M54,$O54,$Q54,$S54,$U54,$W54,$Y54,$AA54,$AC54,$AE54),2)+$B54/2&gt;S54,($G$5/$B$5),0),0))))</f>
        <v/>
      </c>
      <c r="U54" s="141" t="str">
        <f>IF($U$8="Habilitado",IF($A54="","",ROUND(VLOOKUP($A54,'Presupuesto Consolidado'!#REF!,6,FALSE),2)),"")</f>
        <v/>
      </c>
      <c r="V54" s="142" t="str">
        <f t="shared" ref="V54" si="328">IF($A54="","",IF(U54="","",IF($K$4="Media aritmética",(U54&lt;=$B54)*($G$5/$B$5)+(U54&gt;$B54)*0,IF(ROUND(AVERAGE($C54,$E54,$G54,$I54,$K54,$M54,$O54,$Q54,$S54,$U54,$W54,$Y54,$AA54,$AC54,$AE54),2)-$B54/2&lt;=U54,IF(ROUND(AVERAGE($C54,$E54,$G54,$I54,$K54,$M54,$O54,$Q54,$S54,$U54,$W54,$Y54,$AA54,$AC54,$AE54),2)+$B54/2&gt;U54,($G$5/$B$5),0),0))))</f>
        <v/>
      </c>
      <c r="W54" s="141" t="str">
        <f>IF($W$8="Habilitado",IF($A54="","",ROUND(VLOOKUP($A54,'Presupuesto Consolidado'!#REF!,6,FALSE),2)),"")</f>
        <v/>
      </c>
      <c r="X54" s="142" t="str">
        <f t="shared" ref="X54" si="329">IF($A54="","",IF(W54="","",IF($K$4="Media aritmética",(W54&lt;=$B54)*($G$5/$B$5)+(W54&gt;$B54)*0,IF(ROUND(AVERAGE($C54,$E54,$G54,$I54,$K54,$M54,$O54,$Q54,$S54,$U54,$W54,$Y54,$AA54,$AC54,$AE54),2)-$B54/2&lt;=W54,IF(ROUND(AVERAGE($C54,$E54,$G54,$I54,$K54,$M54,$O54,$Q54,$S54,$U54,$W54,$Y54,$AA54,$AC54,$AE54),2)+$B54/2&gt;W54,($G$5/$B$5),0),0))))</f>
        <v/>
      </c>
      <c r="Y54" s="141" t="str">
        <f>IF($Y$8="Habilitado",IF($A54="","",ROUND(VLOOKUP($A54,'Presupuesto Consolidado'!#REF!,6,FALSE),2)),"")</f>
        <v/>
      </c>
      <c r="Z54" s="142" t="str">
        <f t="shared" ref="Z54" si="330">IF($A54="","",IF(Y54="","",IF($K$4="Media aritmética",(Y54&lt;=$B54)*($G$5/$B$5)+(Y54&gt;$B54)*0,IF(ROUND(AVERAGE($C54,$E54,$G54,$I54,$K54,$M54,$O54,$Q54,$S54,$U54,$W54,$Y54,$AA54,$AC54,$AE54),2)-$B54/2&lt;=Y54,IF(ROUND(AVERAGE($C54,$E54,$G54,$I54,$K54,$M54,$O54,$Q54,$S54,$U54,$W54,$Y54,$AA54,$AC54,$AE54),2)+$B54/2&gt;Y54,($G$5/$B$5),0),0))))</f>
        <v/>
      </c>
      <c r="AA54" s="141" t="str">
        <f>IF($AA$8="Habilitado",IF($A54="","",ROUND(VLOOKUP($A54,'Presupuesto Consolidado'!#REF!,6,FALSE),2)),"")</f>
        <v/>
      </c>
      <c r="AB54" s="142" t="str">
        <f t="shared" ref="AB54" si="331">IF($A54="","",IF(AA54="","",IF($K$4="Media aritmética",(AA54&lt;=$B54)*($G$5/$B$5)+(AA54&gt;$B54)*0,IF(ROUND(AVERAGE($C54,$E54,$G54,$I54,$K54,$M54,$O54,$Q54,$S54,$U54,$W54,$Y54,$AA54,$AC54,$AE54),2)-$B54/2&lt;=AA54,IF(ROUND(AVERAGE($C54,$E54,$G54,$I54,$K54,$M54,$O54,$Q54,$S54,$U54,$W54,$Y54,$AA54,$AC54,$AE54),2)+$B54/2&gt;AA54,($G$5/$B$5),0),0))))</f>
        <v/>
      </c>
      <c r="AC54" s="141" t="str">
        <f>IF($AC$8="Habilitado",IF($A54="","",ROUND(VLOOKUP($A54,'Presupuesto Consolidado'!#REF!,6,FALSE),2)),"")</f>
        <v/>
      </c>
      <c r="AD54" s="142" t="str">
        <f t="shared" ref="AD54" si="332">IF($A54="","",IF(AC54="","",IF($K$4="Media aritmética",(AC54&lt;=$B54)*($G$5/$B$5)+(AC54&gt;$B54)*0,IF(ROUND(AVERAGE($C54,$E54,$G54,$I54,$K54,$M54,$O54,$Q54,$S54,$U54,$W54,$Y54,$AA54,$AC54,$AE54),2)-$B54/2&lt;=AC54,IF(ROUND(AVERAGE($C54,$E54,$G54,$I54,$K54,$M54,$O54,$Q54,$S54,$U54,$W54,$Y54,$AA54,$AC54,$AE54),2)+$B54/2&gt;AC54,($G$5/$B$5),0),0))))</f>
        <v/>
      </c>
      <c r="AE54" s="141" t="str">
        <f>IF($AE$8="Habilitado",IF($A54="","",ROUND(VLOOKUP($A54,'Presupuesto Consolidado'!#REF!,6,FALSE),2)),"")</f>
        <v/>
      </c>
      <c r="AF54" s="142" t="str">
        <f t="shared" ref="AF54" si="333">IF($A54="","",IF(AE54="","",IF($K$4="Media aritmética",(AE54&lt;=$B54)*($G$5/$B$5)+(AE54&gt;$B54)*0,IF(ROUND(AVERAGE($C54,$E54,$G54,$I54,$K54,$M54,$O54,$Q54,$S54,$U54,$W54,$Y54,$AA54,$AC54,$AE54),2)-$B54/2&lt;=AE54,IF(ROUND(AVERAGE($C54,$E54,$G54,$I54,$K54,$M54,$O54,$Q54,$S54,$U54,$W54,$Y54,$AA54,$AC54,$AE54),2)+$B54/2&gt;AE54,($G$5/$B$5),0),0))))</f>
        <v/>
      </c>
    </row>
    <row r="55" spans="1:32" s="135" customFormat="1" ht="21" customHeight="1">
      <c r="A55" s="132" t="str">
        <f>+'Presupuesto Consolidado'!A24</f>
        <v>5.2</v>
      </c>
      <c r="B55" s="140">
        <f t="shared" si="241"/>
        <v>2331000</v>
      </c>
      <c r="C55" s="141">
        <f>IF($C$8="Habilitado",IF($A55="","",ROUND(VLOOKUP($A55,'Presupuesto Consolidado'!$A$9:$F$600,6,FALSE),2)),"")</f>
        <v>2331000</v>
      </c>
      <c r="D55" s="142">
        <f t="shared" si="242"/>
        <v>0.45714285714285713</v>
      </c>
      <c r="E55" s="141" t="str">
        <f>IF($E$8="Habilitado",IF($A55="","",ROUND(VLOOKUP($A55,'Presupuesto Consolidado'!$I$9:$N$600,6,FALSE),2)),"")</f>
        <v/>
      </c>
      <c r="F55" s="142" t="str">
        <f t="shared" si="242"/>
        <v/>
      </c>
      <c r="G55" s="141" t="str">
        <f>IF($G$8="Habilitado",IF($A55="","",ROUND(VLOOKUP($A55,'Presupuesto Consolidado'!$Q$9:$V$600,6,FALSE),2)),"")</f>
        <v/>
      </c>
      <c r="H55" s="142" t="str">
        <f t="shared" ref="H55" si="334">IF($A55="","",IF(G55="","",IF($K$4="Media aritmética",(G55&lt;=$B55)*($G$5/$B$5)+(G55&gt;$B55)*0,IF(ROUND(AVERAGE($C55,$E55,$G55,$I55,$K55,$M55,$O55,$Q55,$S55,$U55,$W55,$Y55,$AA55,$AC55,$AE55),2)-$B55/2&lt;=G55,IF(ROUND(AVERAGE($C55,$E55,$G55,$I55,$K55,$M55,$O55,$Q55,$S55,$U55,$W55,$Y55,$AA55,$AC55,$AE55),2)+$B55/2&gt;G55,($G$5/$B$5),0),0))))</f>
        <v/>
      </c>
      <c r="I55" s="141" t="str">
        <f>IF($I$8="Habilitado",IF($A55="","",ROUND(VLOOKUP($A55,'Presupuesto Consolidado'!$Y$9:$AD$600,6,FALSE),2)),"")</f>
        <v/>
      </c>
      <c r="J55" s="142" t="str">
        <f t="shared" ref="J55" si="335">IF($A55="","",IF(I55="","",IF($K$4="Media aritmética",(I55&lt;=$B55)*($G$5/$B$5)+(I55&gt;$B55)*0,IF(ROUND(AVERAGE($C55,$E55,$G55,$I55,$K55,$M55,$O55,$Q55,$S55,$U55,$W55,$Y55,$AA55,$AC55,$AE55),2)-$B55/2&lt;=I55,IF(ROUND(AVERAGE($C55,$E55,$G55,$I55,$K55,$M55,$O55,$Q55,$S55,$U55,$W55,$Y55,$AA55,$AC55,$AE55),2)+$B55/2&gt;I55,($G$5/$B$5),0),0))))</f>
        <v/>
      </c>
      <c r="K55" s="141" t="str">
        <f>IF($K$8="Habilitado",IF($A55="","",ROUND(VLOOKUP($A55,'Presupuesto Consolidado'!#REF!,6,FALSE),2)),"")</f>
        <v/>
      </c>
      <c r="L55" s="142" t="str">
        <f t="shared" ref="L55" si="336">IF($A55="","",IF(K55="","",IF($K$4="Media aritmética",(K55&lt;=$B55)*($G$5/$B$5)+(K55&gt;$B55)*0,IF(ROUND(AVERAGE($C55,$E55,$G55,$I55,$K55,$M55,$O55,$Q55,$S55,$U55,$W55,$Y55,$AA55,$AC55,$AE55),2)-$B55/2&lt;=K55,IF(ROUND(AVERAGE($C55,$E55,$G55,$I55,$K55,$M55,$O55,$Q55,$S55,$U55,$W55,$Y55,$AA55,$AC55,$AE55),2)+$B55/2&gt;K55,($G$5/$B$5),0),0))))</f>
        <v/>
      </c>
      <c r="M55" s="141" t="str">
        <f>IF($M$8="Habilitado",IF($A55="","",ROUND(VLOOKUP($A55,'Presupuesto Consolidado'!#REF!,6,FALSE),2)),"")</f>
        <v/>
      </c>
      <c r="N55" s="142" t="str">
        <f t="shared" ref="N55" si="337">IF($A55="","",IF(M55="","",IF($K$4="Media aritmética",(M55&lt;=$B55)*($G$5/$B$5)+(M55&gt;$B55)*0,IF(ROUND(AVERAGE($C55,$E55,$G55,$I55,$K55,$M55,$O55,$Q55,$S55,$U55,$W55,$Y55,$AA55,$AC55,$AE55),2)-$B55/2&lt;=M55,IF(ROUND(AVERAGE($C55,$E55,$G55,$I55,$K55,$M55,$O55,$Q55,$S55,$U55,$W55,$Y55,$AA55,$AC55,$AE55),2)+$B55/2&gt;M55,($G$5/$B$5),0),0))))</f>
        <v/>
      </c>
      <c r="O55" s="141" t="str">
        <f>IF($O$8="Habilitado",IF($A55="","",ROUND(VLOOKUP($A55,'Presupuesto Consolidado'!#REF!,6,FALSE),2)),"")</f>
        <v/>
      </c>
      <c r="P55" s="142" t="str">
        <f t="shared" ref="P55" si="338">IF($A55="","",IF(O55="","",IF($K$4="Media aritmética",(O55&lt;=$B55)*($G$5/$B$5)+(O55&gt;$B55)*0,IF(ROUND(AVERAGE($C55,$E55,$G55,$I55,$K55,$M55,$O55,$Q55,$S55,$U55,$W55,$Y55,$AA55,$AC55,$AE55),2)-$B55/2&lt;=O55,IF(ROUND(AVERAGE($C55,$E55,$G55,$I55,$K55,$M55,$O55,$Q55,$S55,$U55,$W55,$Y55,$AA55,$AC55,$AE55),2)+$B55/2&gt;O55,($G$5/$B$5),0),0))))</f>
        <v/>
      </c>
      <c r="Q55" s="141" t="str">
        <f>IF($Q$8="Habilitado",IF($A55="","",ROUND(VLOOKUP($A55,'Presupuesto Consolidado'!#REF!,6,FALSE),2)),"")</f>
        <v/>
      </c>
      <c r="R55" s="142" t="str">
        <f t="shared" ref="R55" si="339">IF($A55="","",IF(Q55="","",IF($K$4="Media aritmética",(Q55&lt;=$B55)*($G$5/$B$5)+(Q55&gt;$B55)*0,IF(ROUND(AVERAGE($C55,$E55,$G55,$I55,$K55,$M55,$O55,$Q55,$S55,$U55,$W55,$Y55,$AA55,$AC55,$AE55),2)-$B55/2&lt;=Q55,IF(ROUND(AVERAGE($C55,$E55,$G55,$I55,$K55,$M55,$O55,$Q55,$S55,$U55,$W55,$Y55,$AA55,$AC55,$AE55),2)+$B55/2&gt;Q55,($G$5/$B$5),0),0))))</f>
        <v/>
      </c>
      <c r="S55" s="141" t="str">
        <f>IF($S$8="Habilitado",IF($A55="","",ROUND(VLOOKUP($A55,'Presupuesto Consolidado'!#REF!,6,FALSE),2)),"")</f>
        <v/>
      </c>
      <c r="T55" s="142" t="str">
        <f t="shared" ref="T55" si="340">IF($A55="","",IF(S55="","",IF($K$4="Media aritmética",(S55&lt;=$B55)*($G$5/$B$5)+(S55&gt;$B55)*0,IF(ROUND(AVERAGE($C55,$E55,$G55,$I55,$K55,$M55,$O55,$Q55,$S55,$U55,$W55,$Y55,$AA55,$AC55,$AE55),2)-$B55/2&lt;=S55,IF(ROUND(AVERAGE($C55,$E55,$G55,$I55,$K55,$M55,$O55,$Q55,$S55,$U55,$W55,$Y55,$AA55,$AC55,$AE55),2)+$B55/2&gt;S55,($G$5/$B$5),0),0))))</f>
        <v/>
      </c>
      <c r="U55" s="141" t="str">
        <f>IF($U$8="Habilitado",IF($A55="","",ROUND(VLOOKUP($A55,'Presupuesto Consolidado'!#REF!,6,FALSE),2)),"")</f>
        <v/>
      </c>
      <c r="V55" s="142" t="str">
        <f t="shared" ref="V55" si="341">IF($A55="","",IF(U55="","",IF($K$4="Media aritmética",(U55&lt;=$B55)*($G$5/$B$5)+(U55&gt;$B55)*0,IF(ROUND(AVERAGE($C55,$E55,$G55,$I55,$K55,$M55,$O55,$Q55,$S55,$U55,$W55,$Y55,$AA55,$AC55,$AE55),2)-$B55/2&lt;=U55,IF(ROUND(AVERAGE($C55,$E55,$G55,$I55,$K55,$M55,$O55,$Q55,$S55,$U55,$W55,$Y55,$AA55,$AC55,$AE55),2)+$B55/2&gt;U55,($G$5/$B$5),0),0))))</f>
        <v/>
      </c>
      <c r="W55" s="141" t="str">
        <f>IF($W$8="Habilitado",IF($A55="","",ROUND(VLOOKUP($A55,'Presupuesto Consolidado'!#REF!,6,FALSE),2)),"")</f>
        <v/>
      </c>
      <c r="X55" s="142" t="str">
        <f t="shared" ref="X55" si="342">IF($A55="","",IF(W55="","",IF($K$4="Media aritmética",(W55&lt;=$B55)*($G$5/$B$5)+(W55&gt;$B55)*0,IF(ROUND(AVERAGE($C55,$E55,$G55,$I55,$K55,$M55,$O55,$Q55,$S55,$U55,$W55,$Y55,$AA55,$AC55,$AE55),2)-$B55/2&lt;=W55,IF(ROUND(AVERAGE($C55,$E55,$G55,$I55,$K55,$M55,$O55,$Q55,$S55,$U55,$W55,$Y55,$AA55,$AC55,$AE55),2)+$B55/2&gt;W55,($G$5/$B$5),0),0))))</f>
        <v/>
      </c>
      <c r="Y55" s="141" t="str">
        <f>IF($Y$8="Habilitado",IF($A55="","",ROUND(VLOOKUP($A55,'Presupuesto Consolidado'!#REF!,6,FALSE),2)),"")</f>
        <v/>
      </c>
      <c r="Z55" s="142" t="str">
        <f t="shared" ref="Z55" si="343">IF($A55="","",IF(Y55="","",IF($K$4="Media aritmética",(Y55&lt;=$B55)*($G$5/$B$5)+(Y55&gt;$B55)*0,IF(ROUND(AVERAGE($C55,$E55,$G55,$I55,$K55,$M55,$O55,$Q55,$S55,$U55,$W55,$Y55,$AA55,$AC55,$AE55),2)-$B55/2&lt;=Y55,IF(ROUND(AVERAGE($C55,$E55,$G55,$I55,$K55,$M55,$O55,$Q55,$S55,$U55,$W55,$Y55,$AA55,$AC55,$AE55),2)+$B55/2&gt;Y55,($G$5/$B$5),0),0))))</f>
        <v/>
      </c>
      <c r="AA55" s="141" t="str">
        <f>IF($AA$8="Habilitado",IF($A55="","",ROUND(VLOOKUP($A55,'Presupuesto Consolidado'!#REF!,6,FALSE),2)),"")</f>
        <v/>
      </c>
      <c r="AB55" s="142" t="str">
        <f t="shared" ref="AB55" si="344">IF($A55="","",IF(AA55="","",IF($K$4="Media aritmética",(AA55&lt;=$B55)*($G$5/$B$5)+(AA55&gt;$B55)*0,IF(ROUND(AVERAGE($C55,$E55,$G55,$I55,$K55,$M55,$O55,$Q55,$S55,$U55,$W55,$Y55,$AA55,$AC55,$AE55),2)-$B55/2&lt;=AA55,IF(ROUND(AVERAGE($C55,$E55,$G55,$I55,$K55,$M55,$O55,$Q55,$S55,$U55,$W55,$Y55,$AA55,$AC55,$AE55),2)+$B55/2&gt;AA55,($G$5/$B$5),0),0))))</f>
        <v/>
      </c>
      <c r="AC55" s="141" t="str">
        <f>IF($AC$8="Habilitado",IF($A55="","",ROUND(VLOOKUP($A55,'Presupuesto Consolidado'!#REF!,6,FALSE),2)),"")</f>
        <v/>
      </c>
      <c r="AD55" s="142" t="str">
        <f t="shared" ref="AD55" si="345">IF($A55="","",IF(AC55="","",IF($K$4="Media aritmética",(AC55&lt;=$B55)*($G$5/$B$5)+(AC55&gt;$B55)*0,IF(ROUND(AVERAGE($C55,$E55,$G55,$I55,$K55,$M55,$O55,$Q55,$S55,$U55,$W55,$Y55,$AA55,$AC55,$AE55),2)-$B55/2&lt;=AC55,IF(ROUND(AVERAGE($C55,$E55,$G55,$I55,$K55,$M55,$O55,$Q55,$S55,$U55,$W55,$Y55,$AA55,$AC55,$AE55),2)+$B55/2&gt;AC55,($G$5/$B$5),0),0))))</f>
        <v/>
      </c>
      <c r="AE55" s="141" t="str">
        <f>IF($AE$8="Habilitado",IF($A55="","",ROUND(VLOOKUP($A55,'Presupuesto Consolidado'!#REF!,6,FALSE),2)),"")</f>
        <v/>
      </c>
      <c r="AF55" s="142" t="str">
        <f t="shared" ref="AF55" si="346">IF($A55="","",IF(AE55="","",IF($K$4="Media aritmética",(AE55&lt;=$B55)*($G$5/$B$5)+(AE55&gt;$B55)*0,IF(ROUND(AVERAGE($C55,$E55,$G55,$I55,$K55,$M55,$O55,$Q55,$S55,$U55,$W55,$Y55,$AA55,$AC55,$AE55),2)-$B55/2&lt;=AE55,IF(ROUND(AVERAGE($C55,$E55,$G55,$I55,$K55,$M55,$O55,$Q55,$S55,$U55,$W55,$Y55,$AA55,$AC55,$AE55),2)+$B55/2&gt;AE55,($G$5/$B$5),0),0))))</f>
        <v/>
      </c>
    </row>
    <row r="56" spans="1:32" s="135" customFormat="1" ht="21" customHeight="1">
      <c r="A56" s="132" t="str">
        <f>+'Presupuesto Consolidado'!A26</f>
        <v>5.4</v>
      </c>
      <c r="B56" s="140">
        <f t="shared" si="241"/>
        <v>3979296</v>
      </c>
      <c r="C56" s="141">
        <f>IF($C$8="Habilitado",IF($A56="","",ROUND(VLOOKUP($A56,'Presupuesto Consolidado'!$A$9:$F$600,6,FALSE),2)),"")</f>
        <v>3979296</v>
      </c>
      <c r="D56" s="142">
        <f t="shared" si="242"/>
        <v>0.45714285714285713</v>
      </c>
      <c r="E56" s="141" t="str">
        <f>IF($E$8="Habilitado",IF($A56="","",ROUND(VLOOKUP($A56,'Presupuesto Consolidado'!$I$9:$N$600,6,FALSE),2)),"")</f>
        <v/>
      </c>
      <c r="F56" s="142" t="str">
        <f t="shared" si="242"/>
        <v/>
      </c>
      <c r="G56" s="141" t="str">
        <f>IF($G$8="Habilitado",IF($A56="","",ROUND(VLOOKUP($A56,'Presupuesto Consolidado'!$Q$9:$V$600,6,FALSE),2)),"")</f>
        <v/>
      </c>
      <c r="H56" s="142" t="str">
        <f t="shared" ref="H56" si="347">IF($A56="","",IF(G56="","",IF($K$4="Media aritmética",(G56&lt;=$B56)*($G$5/$B$5)+(G56&gt;$B56)*0,IF(ROUND(AVERAGE($C56,$E56,$G56,$I56,$K56,$M56,$O56,$Q56,$S56,$U56,$W56,$Y56,$AA56,$AC56,$AE56),2)-$B56/2&lt;=G56,IF(ROUND(AVERAGE($C56,$E56,$G56,$I56,$K56,$M56,$O56,$Q56,$S56,$U56,$W56,$Y56,$AA56,$AC56,$AE56),2)+$B56/2&gt;G56,($G$5/$B$5),0),0))))</f>
        <v/>
      </c>
      <c r="I56" s="141" t="str">
        <f>IF($I$8="Habilitado",IF($A56="","",ROUND(VLOOKUP($A56,'Presupuesto Consolidado'!$Y$9:$AD$600,6,FALSE),2)),"")</f>
        <v/>
      </c>
      <c r="J56" s="142" t="str">
        <f t="shared" ref="J56" si="348">IF($A56="","",IF(I56="","",IF($K$4="Media aritmética",(I56&lt;=$B56)*($G$5/$B$5)+(I56&gt;$B56)*0,IF(ROUND(AVERAGE($C56,$E56,$G56,$I56,$K56,$M56,$O56,$Q56,$S56,$U56,$W56,$Y56,$AA56,$AC56,$AE56),2)-$B56/2&lt;=I56,IF(ROUND(AVERAGE($C56,$E56,$G56,$I56,$K56,$M56,$O56,$Q56,$S56,$U56,$W56,$Y56,$AA56,$AC56,$AE56),2)+$B56/2&gt;I56,($G$5/$B$5),0),0))))</f>
        <v/>
      </c>
      <c r="K56" s="141" t="str">
        <f>IF($K$8="Habilitado",IF($A56="","",ROUND(VLOOKUP($A56,'Presupuesto Consolidado'!#REF!,6,FALSE),2)),"")</f>
        <v/>
      </c>
      <c r="L56" s="142" t="str">
        <f t="shared" ref="L56" si="349">IF($A56="","",IF(K56="","",IF($K$4="Media aritmética",(K56&lt;=$B56)*($G$5/$B$5)+(K56&gt;$B56)*0,IF(ROUND(AVERAGE($C56,$E56,$G56,$I56,$K56,$M56,$O56,$Q56,$S56,$U56,$W56,$Y56,$AA56,$AC56,$AE56),2)-$B56/2&lt;=K56,IF(ROUND(AVERAGE($C56,$E56,$G56,$I56,$K56,$M56,$O56,$Q56,$S56,$U56,$W56,$Y56,$AA56,$AC56,$AE56),2)+$B56/2&gt;K56,($G$5/$B$5),0),0))))</f>
        <v/>
      </c>
      <c r="M56" s="141" t="str">
        <f>IF($M$8="Habilitado",IF($A56="","",ROUND(VLOOKUP($A56,'Presupuesto Consolidado'!#REF!,6,FALSE),2)),"")</f>
        <v/>
      </c>
      <c r="N56" s="142" t="str">
        <f t="shared" ref="N56" si="350">IF($A56="","",IF(M56="","",IF($K$4="Media aritmética",(M56&lt;=$B56)*($G$5/$B$5)+(M56&gt;$B56)*0,IF(ROUND(AVERAGE($C56,$E56,$G56,$I56,$K56,$M56,$O56,$Q56,$S56,$U56,$W56,$Y56,$AA56,$AC56,$AE56),2)-$B56/2&lt;=M56,IF(ROUND(AVERAGE($C56,$E56,$G56,$I56,$K56,$M56,$O56,$Q56,$S56,$U56,$W56,$Y56,$AA56,$AC56,$AE56),2)+$B56/2&gt;M56,($G$5/$B$5),0),0))))</f>
        <v/>
      </c>
      <c r="O56" s="141" t="str">
        <f>IF($O$8="Habilitado",IF($A56="","",ROUND(VLOOKUP($A56,'Presupuesto Consolidado'!#REF!,6,FALSE),2)),"")</f>
        <v/>
      </c>
      <c r="P56" s="142" t="str">
        <f t="shared" ref="P56" si="351">IF($A56="","",IF(O56="","",IF($K$4="Media aritmética",(O56&lt;=$B56)*($G$5/$B$5)+(O56&gt;$B56)*0,IF(ROUND(AVERAGE($C56,$E56,$G56,$I56,$K56,$M56,$O56,$Q56,$S56,$U56,$W56,$Y56,$AA56,$AC56,$AE56),2)-$B56/2&lt;=O56,IF(ROUND(AVERAGE($C56,$E56,$G56,$I56,$K56,$M56,$O56,$Q56,$S56,$U56,$W56,$Y56,$AA56,$AC56,$AE56),2)+$B56/2&gt;O56,($G$5/$B$5),0),0))))</f>
        <v/>
      </c>
      <c r="Q56" s="141" t="str">
        <f>IF($Q$8="Habilitado",IF($A56="","",ROUND(VLOOKUP($A56,'Presupuesto Consolidado'!#REF!,6,FALSE),2)),"")</f>
        <v/>
      </c>
      <c r="R56" s="142" t="str">
        <f t="shared" ref="R56" si="352">IF($A56="","",IF(Q56="","",IF($K$4="Media aritmética",(Q56&lt;=$B56)*($G$5/$B$5)+(Q56&gt;$B56)*0,IF(ROUND(AVERAGE($C56,$E56,$G56,$I56,$K56,$M56,$O56,$Q56,$S56,$U56,$W56,$Y56,$AA56,$AC56,$AE56),2)-$B56/2&lt;=Q56,IF(ROUND(AVERAGE($C56,$E56,$G56,$I56,$K56,$M56,$O56,$Q56,$S56,$U56,$W56,$Y56,$AA56,$AC56,$AE56),2)+$B56/2&gt;Q56,($G$5/$B$5),0),0))))</f>
        <v/>
      </c>
      <c r="S56" s="141" t="str">
        <f>IF($S$8="Habilitado",IF($A56="","",ROUND(VLOOKUP($A56,'Presupuesto Consolidado'!#REF!,6,FALSE),2)),"")</f>
        <v/>
      </c>
      <c r="T56" s="142" t="str">
        <f t="shared" ref="T56" si="353">IF($A56="","",IF(S56="","",IF($K$4="Media aritmética",(S56&lt;=$B56)*($G$5/$B$5)+(S56&gt;$B56)*0,IF(ROUND(AVERAGE($C56,$E56,$G56,$I56,$K56,$M56,$O56,$Q56,$S56,$U56,$W56,$Y56,$AA56,$AC56,$AE56),2)-$B56/2&lt;=S56,IF(ROUND(AVERAGE($C56,$E56,$G56,$I56,$K56,$M56,$O56,$Q56,$S56,$U56,$W56,$Y56,$AA56,$AC56,$AE56),2)+$B56/2&gt;S56,($G$5/$B$5),0),0))))</f>
        <v/>
      </c>
      <c r="U56" s="141" t="str">
        <f>IF($U$8="Habilitado",IF($A56="","",ROUND(VLOOKUP($A56,'Presupuesto Consolidado'!#REF!,6,FALSE),2)),"")</f>
        <v/>
      </c>
      <c r="V56" s="142" t="str">
        <f t="shared" ref="V56" si="354">IF($A56="","",IF(U56="","",IF($K$4="Media aritmética",(U56&lt;=$B56)*($G$5/$B$5)+(U56&gt;$B56)*0,IF(ROUND(AVERAGE($C56,$E56,$G56,$I56,$K56,$M56,$O56,$Q56,$S56,$U56,$W56,$Y56,$AA56,$AC56,$AE56),2)-$B56/2&lt;=U56,IF(ROUND(AVERAGE($C56,$E56,$G56,$I56,$K56,$M56,$O56,$Q56,$S56,$U56,$W56,$Y56,$AA56,$AC56,$AE56),2)+$B56/2&gt;U56,($G$5/$B$5),0),0))))</f>
        <v/>
      </c>
      <c r="W56" s="141" t="str">
        <f>IF($W$8="Habilitado",IF($A56="","",ROUND(VLOOKUP($A56,'Presupuesto Consolidado'!#REF!,6,FALSE),2)),"")</f>
        <v/>
      </c>
      <c r="X56" s="142" t="str">
        <f t="shared" ref="X56" si="355">IF($A56="","",IF(W56="","",IF($K$4="Media aritmética",(W56&lt;=$B56)*($G$5/$B$5)+(W56&gt;$B56)*0,IF(ROUND(AVERAGE($C56,$E56,$G56,$I56,$K56,$M56,$O56,$Q56,$S56,$U56,$W56,$Y56,$AA56,$AC56,$AE56),2)-$B56/2&lt;=W56,IF(ROUND(AVERAGE($C56,$E56,$G56,$I56,$K56,$M56,$O56,$Q56,$S56,$U56,$W56,$Y56,$AA56,$AC56,$AE56),2)+$B56/2&gt;W56,($G$5/$B$5),0),0))))</f>
        <v/>
      </c>
      <c r="Y56" s="141" t="str">
        <f>IF($Y$8="Habilitado",IF($A56="","",ROUND(VLOOKUP($A56,'Presupuesto Consolidado'!#REF!,6,FALSE),2)),"")</f>
        <v/>
      </c>
      <c r="Z56" s="142" t="str">
        <f t="shared" ref="Z56" si="356">IF($A56="","",IF(Y56="","",IF($K$4="Media aritmética",(Y56&lt;=$B56)*($G$5/$B$5)+(Y56&gt;$B56)*0,IF(ROUND(AVERAGE($C56,$E56,$G56,$I56,$K56,$M56,$O56,$Q56,$S56,$U56,$W56,$Y56,$AA56,$AC56,$AE56),2)-$B56/2&lt;=Y56,IF(ROUND(AVERAGE($C56,$E56,$G56,$I56,$K56,$M56,$O56,$Q56,$S56,$U56,$W56,$Y56,$AA56,$AC56,$AE56),2)+$B56/2&gt;Y56,($G$5/$B$5),0),0))))</f>
        <v/>
      </c>
      <c r="AA56" s="141" t="str">
        <f>IF($AA$8="Habilitado",IF($A56="","",ROUND(VLOOKUP($A56,'Presupuesto Consolidado'!#REF!,6,FALSE),2)),"")</f>
        <v/>
      </c>
      <c r="AB56" s="142" t="str">
        <f t="shared" ref="AB56" si="357">IF($A56="","",IF(AA56="","",IF($K$4="Media aritmética",(AA56&lt;=$B56)*($G$5/$B$5)+(AA56&gt;$B56)*0,IF(ROUND(AVERAGE($C56,$E56,$G56,$I56,$K56,$M56,$O56,$Q56,$S56,$U56,$W56,$Y56,$AA56,$AC56,$AE56),2)-$B56/2&lt;=AA56,IF(ROUND(AVERAGE($C56,$E56,$G56,$I56,$K56,$M56,$O56,$Q56,$S56,$U56,$W56,$Y56,$AA56,$AC56,$AE56),2)+$B56/2&gt;AA56,($G$5/$B$5),0),0))))</f>
        <v/>
      </c>
      <c r="AC56" s="141" t="str">
        <f>IF($AC$8="Habilitado",IF($A56="","",ROUND(VLOOKUP($A56,'Presupuesto Consolidado'!#REF!,6,FALSE),2)),"")</f>
        <v/>
      </c>
      <c r="AD56" s="142" t="str">
        <f t="shared" ref="AD56" si="358">IF($A56="","",IF(AC56="","",IF($K$4="Media aritmética",(AC56&lt;=$B56)*($G$5/$B$5)+(AC56&gt;$B56)*0,IF(ROUND(AVERAGE($C56,$E56,$G56,$I56,$K56,$M56,$O56,$Q56,$S56,$U56,$W56,$Y56,$AA56,$AC56,$AE56),2)-$B56/2&lt;=AC56,IF(ROUND(AVERAGE($C56,$E56,$G56,$I56,$K56,$M56,$O56,$Q56,$S56,$U56,$W56,$Y56,$AA56,$AC56,$AE56),2)+$B56/2&gt;AC56,($G$5/$B$5),0),0))))</f>
        <v/>
      </c>
      <c r="AE56" s="141" t="str">
        <f>IF($AE$8="Habilitado",IF($A56="","",ROUND(VLOOKUP($A56,'Presupuesto Consolidado'!#REF!,6,FALSE),2)),"")</f>
        <v/>
      </c>
      <c r="AF56" s="142" t="str">
        <f t="shared" ref="AF56" si="359">IF($A56="","",IF(AE56="","",IF($K$4="Media aritmética",(AE56&lt;=$B56)*($G$5/$B$5)+(AE56&gt;$B56)*0,IF(ROUND(AVERAGE($C56,$E56,$G56,$I56,$K56,$M56,$O56,$Q56,$S56,$U56,$W56,$Y56,$AA56,$AC56,$AE56),2)-$B56/2&lt;=AE56,IF(ROUND(AVERAGE($C56,$E56,$G56,$I56,$K56,$M56,$O56,$Q56,$S56,$U56,$W56,$Y56,$AA56,$AC56,$AE56),2)+$B56/2&gt;AE56,($G$5/$B$5),0),0))))</f>
        <v/>
      </c>
    </row>
    <row r="57" spans="1:32" s="135" customFormat="1" ht="21" customHeight="1">
      <c r="A57" s="132" t="str">
        <f>+'Presupuesto Consolidado'!A28</f>
        <v>6.1</v>
      </c>
      <c r="B57" s="140">
        <f t="shared" si="241"/>
        <v>7398000</v>
      </c>
      <c r="C57" s="141">
        <f>IF($C$8="Habilitado",IF($A57="","",ROUND(VLOOKUP($A57,'Presupuesto Consolidado'!$A$9:$F$600,6,FALSE),2)),"")</f>
        <v>7398000</v>
      </c>
      <c r="D57" s="142">
        <f t="shared" si="242"/>
        <v>0.45714285714285713</v>
      </c>
      <c r="E57" s="141" t="str">
        <f>IF($E$8="Habilitado",IF($A57="","",ROUND(VLOOKUP($A57,'Presupuesto Consolidado'!$I$9:$N$600,6,FALSE),2)),"")</f>
        <v/>
      </c>
      <c r="F57" s="142" t="str">
        <f t="shared" si="242"/>
        <v/>
      </c>
      <c r="G57" s="141" t="str">
        <f>IF($G$8="Habilitado",IF($A57="","",ROUND(VLOOKUP($A57,'Presupuesto Consolidado'!$Q$9:$V$600,6,FALSE),2)),"")</f>
        <v/>
      </c>
      <c r="H57" s="142" t="str">
        <f t="shared" ref="H57" si="360">IF($A57="","",IF(G57="","",IF($K$4="Media aritmética",(G57&lt;=$B57)*($G$5/$B$5)+(G57&gt;$B57)*0,IF(ROUND(AVERAGE($C57,$E57,$G57,$I57,$K57,$M57,$O57,$Q57,$S57,$U57,$W57,$Y57,$AA57,$AC57,$AE57),2)-$B57/2&lt;=G57,IF(ROUND(AVERAGE($C57,$E57,$G57,$I57,$K57,$M57,$O57,$Q57,$S57,$U57,$W57,$Y57,$AA57,$AC57,$AE57),2)+$B57/2&gt;G57,($G$5/$B$5),0),0))))</f>
        <v/>
      </c>
      <c r="I57" s="141" t="str">
        <f>IF($I$8="Habilitado",IF($A57="","",ROUND(VLOOKUP($A57,'Presupuesto Consolidado'!$Y$9:$AD$600,6,FALSE),2)),"")</f>
        <v/>
      </c>
      <c r="J57" s="142" t="str">
        <f t="shared" ref="J57" si="361">IF($A57="","",IF(I57="","",IF($K$4="Media aritmética",(I57&lt;=$B57)*($G$5/$B$5)+(I57&gt;$B57)*0,IF(ROUND(AVERAGE($C57,$E57,$G57,$I57,$K57,$M57,$O57,$Q57,$S57,$U57,$W57,$Y57,$AA57,$AC57,$AE57),2)-$B57/2&lt;=I57,IF(ROUND(AVERAGE($C57,$E57,$G57,$I57,$K57,$M57,$O57,$Q57,$S57,$U57,$W57,$Y57,$AA57,$AC57,$AE57),2)+$B57/2&gt;I57,($G$5/$B$5),0),0))))</f>
        <v/>
      </c>
      <c r="K57" s="141" t="str">
        <f>IF($K$8="Habilitado",IF($A57="","",ROUND(VLOOKUP($A57,'Presupuesto Consolidado'!#REF!,6,FALSE),2)),"")</f>
        <v/>
      </c>
      <c r="L57" s="142" t="str">
        <f t="shared" ref="L57" si="362">IF($A57="","",IF(K57="","",IF($K$4="Media aritmética",(K57&lt;=$B57)*($G$5/$B$5)+(K57&gt;$B57)*0,IF(ROUND(AVERAGE($C57,$E57,$G57,$I57,$K57,$M57,$O57,$Q57,$S57,$U57,$W57,$Y57,$AA57,$AC57,$AE57),2)-$B57/2&lt;=K57,IF(ROUND(AVERAGE($C57,$E57,$G57,$I57,$K57,$M57,$O57,$Q57,$S57,$U57,$W57,$Y57,$AA57,$AC57,$AE57),2)+$B57/2&gt;K57,($G$5/$B$5),0),0))))</f>
        <v/>
      </c>
      <c r="M57" s="141" t="str">
        <f>IF($M$8="Habilitado",IF($A57="","",ROUND(VLOOKUP($A57,'Presupuesto Consolidado'!#REF!,6,FALSE),2)),"")</f>
        <v/>
      </c>
      <c r="N57" s="142" t="str">
        <f t="shared" ref="N57" si="363">IF($A57="","",IF(M57="","",IF($K$4="Media aritmética",(M57&lt;=$B57)*($G$5/$B$5)+(M57&gt;$B57)*0,IF(ROUND(AVERAGE($C57,$E57,$G57,$I57,$K57,$M57,$O57,$Q57,$S57,$U57,$W57,$Y57,$AA57,$AC57,$AE57),2)-$B57/2&lt;=M57,IF(ROUND(AVERAGE($C57,$E57,$G57,$I57,$K57,$M57,$O57,$Q57,$S57,$U57,$W57,$Y57,$AA57,$AC57,$AE57),2)+$B57/2&gt;M57,($G$5/$B$5),0),0))))</f>
        <v/>
      </c>
      <c r="O57" s="141" t="str">
        <f>IF($O$8="Habilitado",IF($A57="","",ROUND(VLOOKUP($A57,'Presupuesto Consolidado'!#REF!,6,FALSE),2)),"")</f>
        <v/>
      </c>
      <c r="P57" s="142" t="str">
        <f t="shared" ref="P57" si="364">IF($A57="","",IF(O57="","",IF($K$4="Media aritmética",(O57&lt;=$B57)*($G$5/$B$5)+(O57&gt;$B57)*0,IF(ROUND(AVERAGE($C57,$E57,$G57,$I57,$K57,$M57,$O57,$Q57,$S57,$U57,$W57,$Y57,$AA57,$AC57,$AE57),2)-$B57/2&lt;=O57,IF(ROUND(AVERAGE($C57,$E57,$G57,$I57,$K57,$M57,$O57,$Q57,$S57,$U57,$W57,$Y57,$AA57,$AC57,$AE57),2)+$B57/2&gt;O57,($G$5/$B$5),0),0))))</f>
        <v/>
      </c>
      <c r="Q57" s="141" t="str">
        <f>IF($Q$8="Habilitado",IF($A57="","",ROUND(VLOOKUP($A57,'Presupuesto Consolidado'!#REF!,6,FALSE),2)),"")</f>
        <v/>
      </c>
      <c r="R57" s="142" t="str">
        <f t="shared" ref="R57" si="365">IF($A57="","",IF(Q57="","",IF($K$4="Media aritmética",(Q57&lt;=$B57)*($G$5/$B$5)+(Q57&gt;$B57)*0,IF(ROUND(AVERAGE($C57,$E57,$G57,$I57,$K57,$M57,$O57,$Q57,$S57,$U57,$W57,$Y57,$AA57,$AC57,$AE57),2)-$B57/2&lt;=Q57,IF(ROUND(AVERAGE($C57,$E57,$G57,$I57,$K57,$M57,$O57,$Q57,$S57,$U57,$W57,$Y57,$AA57,$AC57,$AE57),2)+$B57/2&gt;Q57,($G$5/$B$5),0),0))))</f>
        <v/>
      </c>
      <c r="S57" s="141" t="str">
        <f>IF($S$8="Habilitado",IF($A57="","",ROUND(VLOOKUP($A57,'Presupuesto Consolidado'!#REF!,6,FALSE),2)),"")</f>
        <v/>
      </c>
      <c r="T57" s="142" t="str">
        <f t="shared" ref="T57" si="366">IF($A57="","",IF(S57="","",IF($K$4="Media aritmética",(S57&lt;=$B57)*($G$5/$B$5)+(S57&gt;$B57)*0,IF(ROUND(AVERAGE($C57,$E57,$G57,$I57,$K57,$M57,$O57,$Q57,$S57,$U57,$W57,$Y57,$AA57,$AC57,$AE57),2)-$B57/2&lt;=S57,IF(ROUND(AVERAGE($C57,$E57,$G57,$I57,$K57,$M57,$O57,$Q57,$S57,$U57,$W57,$Y57,$AA57,$AC57,$AE57),2)+$B57/2&gt;S57,($G$5/$B$5),0),0))))</f>
        <v/>
      </c>
      <c r="U57" s="141" t="str">
        <f>IF($U$8="Habilitado",IF($A57="","",ROUND(VLOOKUP($A57,'Presupuesto Consolidado'!#REF!,6,FALSE),2)),"")</f>
        <v/>
      </c>
      <c r="V57" s="142" t="str">
        <f t="shared" ref="V57" si="367">IF($A57="","",IF(U57="","",IF($K$4="Media aritmética",(U57&lt;=$B57)*($G$5/$B$5)+(U57&gt;$B57)*0,IF(ROUND(AVERAGE($C57,$E57,$G57,$I57,$K57,$M57,$O57,$Q57,$S57,$U57,$W57,$Y57,$AA57,$AC57,$AE57),2)-$B57/2&lt;=U57,IF(ROUND(AVERAGE($C57,$E57,$G57,$I57,$K57,$M57,$O57,$Q57,$S57,$U57,$W57,$Y57,$AA57,$AC57,$AE57),2)+$B57/2&gt;U57,($G$5/$B$5),0),0))))</f>
        <v/>
      </c>
      <c r="W57" s="141" t="str">
        <f>IF($W$8="Habilitado",IF($A57="","",ROUND(VLOOKUP($A57,'Presupuesto Consolidado'!#REF!,6,FALSE),2)),"")</f>
        <v/>
      </c>
      <c r="X57" s="142" t="str">
        <f t="shared" ref="X57" si="368">IF($A57="","",IF(W57="","",IF($K$4="Media aritmética",(W57&lt;=$B57)*($G$5/$B$5)+(W57&gt;$B57)*0,IF(ROUND(AVERAGE($C57,$E57,$G57,$I57,$K57,$M57,$O57,$Q57,$S57,$U57,$W57,$Y57,$AA57,$AC57,$AE57),2)-$B57/2&lt;=W57,IF(ROUND(AVERAGE($C57,$E57,$G57,$I57,$K57,$M57,$O57,$Q57,$S57,$U57,$W57,$Y57,$AA57,$AC57,$AE57),2)+$B57/2&gt;W57,($G$5/$B$5),0),0))))</f>
        <v/>
      </c>
      <c r="Y57" s="141" t="str">
        <f>IF($Y$8="Habilitado",IF($A57="","",ROUND(VLOOKUP($A57,'Presupuesto Consolidado'!#REF!,6,FALSE),2)),"")</f>
        <v/>
      </c>
      <c r="Z57" s="142" t="str">
        <f t="shared" ref="Z57" si="369">IF($A57="","",IF(Y57="","",IF($K$4="Media aritmética",(Y57&lt;=$B57)*($G$5/$B$5)+(Y57&gt;$B57)*0,IF(ROUND(AVERAGE($C57,$E57,$G57,$I57,$K57,$M57,$O57,$Q57,$S57,$U57,$W57,$Y57,$AA57,$AC57,$AE57),2)-$B57/2&lt;=Y57,IF(ROUND(AVERAGE($C57,$E57,$G57,$I57,$K57,$M57,$O57,$Q57,$S57,$U57,$W57,$Y57,$AA57,$AC57,$AE57),2)+$B57/2&gt;Y57,($G$5/$B$5),0),0))))</f>
        <v/>
      </c>
      <c r="AA57" s="141" t="str">
        <f>IF($AA$8="Habilitado",IF($A57="","",ROUND(VLOOKUP($A57,'Presupuesto Consolidado'!#REF!,6,FALSE),2)),"")</f>
        <v/>
      </c>
      <c r="AB57" s="142" t="str">
        <f t="shared" ref="AB57" si="370">IF($A57="","",IF(AA57="","",IF($K$4="Media aritmética",(AA57&lt;=$B57)*($G$5/$B$5)+(AA57&gt;$B57)*0,IF(ROUND(AVERAGE($C57,$E57,$G57,$I57,$K57,$M57,$O57,$Q57,$S57,$U57,$W57,$Y57,$AA57,$AC57,$AE57),2)-$B57/2&lt;=AA57,IF(ROUND(AVERAGE($C57,$E57,$G57,$I57,$K57,$M57,$O57,$Q57,$S57,$U57,$W57,$Y57,$AA57,$AC57,$AE57),2)+$B57/2&gt;AA57,($G$5/$B$5),0),0))))</f>
        <v/>
      </c>
      <c r="AC57" s="141" t="str">
        <f>IF($AC$8="Habilitado",IF($A57="","",ROUND(VLOOKUP($A57,'Presupuesto Consolidado'!#REF!,6,FALSE),2)),"")</f>
        <v/>
      </c>
      <c r="AD57" s="142" t="str">
        <f t="shared" ref="AD57" si="371">IF($A57="","",IF(AC57="","",IF($K$4="Media aritmética",(AC57&lt;=$B57)*($G$5/$B$5)+(AC57&gt;$B57)*0,IF(ROUND(AVERAGE($C57,$E57,$G57,$I57,$K57,$M57,$O57,$Q57,$S57,$U57,$W57,$Y57,$AA57,$AC57,$AE57),2)-$B57/2&lt;=AC57,IF(ROUND(AVERAGE($C57,$E57,$G57,$I57,$K57,$M57,$O57,$Q57,$S57,$U57,$W57,$Y57,$AA57,$AC57,$AE57),2)+$B57/2&gt;AC57,($G$5/$B$5),0),0))))</f>
        <v/>
      </c>
      <c r="AE57" s="141" t="str">
        <f>IF($AE$8="Habilitado",IF($A57="","",ROUND(VLOOKUP($A57,'Presupuesto Consolidado'!#REF!,6,FALSE),2)),"")</f>
        <v/>
      </c>
      <c r="AF57" s="142" t="str">
        <f t="shared" ref="AF57" si="372">IF($A57="","",IF(AE57="","",IF($K$4="Media aritmética",(AE57&lt;=$B57)*($G$5/$B$5)+(AE57&gt;$B57)*0,IF(ROUND(AVERAGE($C57,$E57,$G57,$I57,$K57,$M57,$O57,$Q57,$S57,$U57,$W57,$Y57,$AA57,$AC57,$AE57),2)-$B57/2&lt;=AE57,IF(ROUND(AVERAGE($C57,$E57,$G57,$I57,$K57,$M57,$O57,$Q57,$S57,$U57,$W57,$Y57,$AA57,$AC57,$AE57),2)+$B57/2&gt;AE57,($G$5/$B$5),0),0))))</f>
        <v/>
      </c>
    </row>
    <row r="58" spans="1:32" s="135" customFormat="1" ht="21" customHeight="1">
      <c r="A58" s="132" t="str">
        <f>+'Presupuesto Consolidado'!A30</f>
        <v>6.3</v>
      </c>
      <c r="B58" s="140">
        <f t="shared" si="241"/>
        <v>1260000</v>
      </c>
      <c r="C58" s="141">
        <f>IF($C$8="Habilitado",IF($A58="","",ROUND(VLOOKUP($A58,'Presupuesto Consolidado'!$A$9:$F$600,6,FALSE),2)),"")</f>
        <v>1260000</v>
      </c>
      <c r="D58" s="142">
        <f t="shared" si="242"/>
        <v>0.45714285714285713</v>
      </c>
      <c r="E58" s="141" t="str">
        <f>IF($E$8="Habilitado",IF($A58="","",ROUND(VLOOKUP($A58,'Presupuesto Consolidado'!$I$9:$N$600,6,FALSE),2)),"")</f>
        <v/>
      </c>
      <c r="F58" s="142" t="str">
        <f t="shared" si="242"/>
        <v/>
      </c>
      <c r="G58" s="141" t="str">
        <f>IF($G$8="Habilitado",IF($A58="","",ROUND(VLOOKUP($A58,'Presupuesto Consolidado'!$Q$9:$V$600,6,FALSE),2)),"")</f>
        <v/>
      </c>
      <c r="H58" s="142" t="str">
        <f t="shared" ref="H58" si="373">IF($A58="","",IF(G58="","",IF($K$4="Media aritmética",(G58&lt;=$B58)*($G$5/$B$5)+(G58&gt;$B58)*0,IF(ROUND(AVERAGE($C58,$E58,$G58,$I58,$K58,$M58,$O58,$Q58,$S58,$U58,$W58,$Y58,$AA58,$AC58,$AE58),2)-$B58/2&lt;=G58,IF(ROUND(AVERAGE($C58,$E58,$G58,$I58,$K58,$M58,$O58,$Q58,$S58,$U58,$W58,$Y58,$AA58,$AC58,$AE58),2)+$B58/2&gt;G58,($G$5/$B$5),0),0))))</f>
        <v/>
      </c>
      <c r="I58" s="141" t="str">
        <f>IF($I$8="Habilitado",IF($A58="","",ROUND(VLOOKUP($A58,'Presupuesto Consolidado'!$Y$9:$AD$600,6,FALSE),2)),"")</f>
        <v/>
      </c>
      <c r="J58" s="142" t="str">
        <f t="shared" ref="J58" si="374">IF($A58="","",IF(I58="","",IF($K$4="Media aritmética",(I58&lt;=$B58)*($G$5/$B$5)+(I58&gt;$B58)*0,IF(ROUND(AVERAGE($C58,$E58,$G58,$I58,$K58,$M58,$O58,$Q58,$S58,$U58,$W58,$Y58,$AA58,$AC58,$AE58),2)-$B58/2&lt;=I58,IF(ROUND(AVERAGE($C58,$E58,$G58,$I58,$K58,$M58,$O58,$Q58,$S58,$U58,$W58,$Y58,$AA58,$AC58,$AE58),2)+$B58/2&gt;I58,($G$5/$B$5),0),0))))</f>
        <v/>
      </c>
      <c r="K58" s="141" t="str">
        <f>IF($K$8="Habilitado",IF($A58="","",ROUND(VLOOKUP($A58,'Presupuesto Consolidado'!#REF!,6,FALSE),2)),"")</f>
        <v/>
      </c>
      <c r="L58" s="142" t="str">
        <f t="shared" ref="L58" si="375">IF($A58="","",IF(K58="","",IF($K$4="Media aritmética",(K58&lt;=$B58)*($G$5/$B$5)+(K58&gt;$B58)*0,IF(ROUND(AVERAGE($C58,$E58,$G58,$I58,$K58,$M58,$O58,$Q58,$S58,$U58,$W58,$Y58,$AA58,$AC58,$AE58),2)-$B58/2&lt;=K58,IF(ROUND(AVERAGE($C58,$E58,$G58,$I58,$K58,$M58,$O58,$Q58,$S58,$U58,$W58,$Y58,$AA58,$AC58,$AE58),2)+$B58/2&gt;K58,($G$5/$B$5),0),0))))</f>
        <v/>
      </c>
      <c r="M58" s="141" t="str">
        <f>IF($M$8="Habilitado",IF($A58="","",ROUND(VLOOKUP($A58,'Presupuesto Consolidado'!#REF!,6,FALSE),2)),"")</f>
        <v/>
      </c>
      <c r="N58" s="142" t="str">
        <f t="shared" ref="N58" si="376">IF($A58="","",IF(M58="","",IF($K$4="Media aritmética",(M58&lt;=$B58)*($G$5/$B$5)+(M58&gt;$B58)*0,IF(ROUND(AVERAGE($C58,$E58,$G58,$I58,$K58,$M58,$O58,$Q58,$S58,$U58,$W58,$Y58,$AA58,$AC58,$AE58),2)-$B58/2&lt;=M58,IF(ROUND(AVERAGE($C58,$E58,$G58,$I58,$K58,$M58,$O58,$Q58,$S58,$U58,$W58,$Y58,$AA58,$AC58,$AE58),2)+$B58/2&gt;M58,($G$5/$B$5),0),0))))</f>
        <v/>
      </c>
      <c r="O58" s="141" t="str">
        <f>IF($O$8="Habilitado",IF($A58="","",ROUND(VLOOKUP($A58,'Presupuesto Consolidado'!#REF!,6,FALSE),2)),"")</f>
        <v/>
      </c>
      <c r="P58" s="142" t="str">
        <f t="shared" ref="P58" si="377">IF($A58="","",IF(O58="","",IF($K$4="Media aritmética",(O58&lt;=$B58)*($G$5/$B$5)+(O58&gt;$B58)*0,IF(ROUND(AVERAGE($C58,$E58,$G58,$I58,$K58,$M58,$O58,$Q58,$S58,$U58,$W58,$Y58,$AA58,$AC58,$AE58),2)-$B58/2&lt;=O58,IF(ROUND(AVERAGE($C58,$E58,$G58,$I58,$K58,$M58,$O58,$Q58,$S58,$U58,$W58,$Y58,$AA58,$AC58,$AE58),2)+$B58/2&gt;O58,($G$5/$B$5),0),0))))</f>
        <v/>
      </c>
      <c r="Q58" s="141" t="str">
        <f>IF($Q$8="Habilitado",IF($A58="","",ROUND(VLOOKUP($A58,'Presupuesto Consolidado'!#REF!,6,FALSE),2)),"")</f>
        <v/>
      </c>
      <c r="R58" s="142" t="str">
        <f t="shared" ref="R58" si="378">IF($A58="","",IF(Q58="","",IF($K$4="Media aritmética",(Q58&lt;=$B58)*($G$5/$B$5)+(Q58&gt;$B58)*0,IF(ROUND(AVERAGE($C58,$E58,$G58,$I58,$K58,$M58,$O58,$Q58,$S58,$U58,$W58,$Y58,$AA58,$AC58,$AE58),2)-$B58/2&lt;=Q58,IF(ROUND(AVERAGE($C58,$E58,$G58,$I58,$K58,$M58,$O58,$Q58,$S58,$U58,$W58,$Y58,$AA58,$AC58,$AE58),2)+$B58/2&gt;Q58,($G$5/$B$5),0),0))))</f>
        <v/>
      </c>
      <c r="S58" s="141" t="str">
        <f>IF($S$8="Habilitado",IF($A58="","",ROUND(VLOOKUP($A58,'Presupuesto Consolidado'!#REF!,6,FALSE),2)),"")</f>
        <v/>
      </c>
      <c r="T58" s="142" t="str">
        <f t="shared" ref="T58" si="379">IF($A58="","",IF(S58="","",IF($K$4="Media aritmética",(S58&lt;=$B58)*($G$5/$B$5)+(S58&gt;$B58)*0,IF(ROUND(AVERAGE($C58,$E58,$G58,$I58,$K58,$M58,$O58,$Q58,$S58,$U58,$W58,$Y58,$AA58,$AC58,$AE58),2)-$B58/2&lt;=S58,IF(ROUND(AVERAGE($C58,$E58,$G58,$I58,$K58,$M58,$O58,$Q58,$S58,$U58,$W58,$Y58,$AA58,$AC58,$AE58),2)+$B58/2&gt;S58,($G$5/$B$5),0),0))))</f>
        <v/>
      </c>
      <c r="U58" s="141" t="str">
        <f>IF($U$8="Habilitado",IF($A58="","",ROUND(VLOOKUP($A58,'Presupuesto Consolidado'!#REF!,6,FALSE),2)),"")</f>
        <v/>
      </c>
      <c r="V58" s="142" t="str">
        <f t="shared" ref="V58" si="380">IF($A58="","",IF(U58="","",IF($K$4="Media aritmética",(U58&lt;=$B58)*($G$5/$B$5)+(U58&gt;$B58)*0,IF(ROUND(AVERAGE($C58,$E58,$G58,$I58,$K58,$M58,$O58,$Q58,$S58,$U58,$W58,$Y58,$AA58,$AC58,$AE58),2)-$B58/2&lt;=U58,IF(ROUND(AVERAGE($C58,$E58,$G58,$I58,$K58,$M58,$O58,$Q58,$S58,$U58,$W58,$Y58,$AA58,$AC58,$AE58),2)+$B58/2&gt;U58,($G$5/$B$5),0),0))))</f>
        <v/>
      </c>
      <c r="W58" s="141" t="str">
        <f>IF($W$8="Habilitado",IF($A58="","",ROUND(VLOOKUP($A58,'Presupuesto Consolidado'!#REF!,6,FALSE),2)),"")</f>
        <v/>
      </c>
      <c r="X58" s="142" t="str">
        <f t="shared" ref="X58" si="381">IF($A58="","",IF(W58="","",IF($K$4="Media aritmética",(W58&lt;=$B58)*($G$5/$B$5)+(W58&gt;$B58)*0,IF(ROUND(AVERAGE($C58,$E58,$G58,$I58,$K58,$M58,$O58,$Q58,$S58,$U58,$W58,$Y58,$AA58,$AC58,$AE58),2)-$B58/2&lt;=W58,IF(ROUND(AVERAGE($C58,$E58,$G58,$I58,$K58,$M58,$O58,$Q58,$S58,$U58,$W58,$Y58,$AA58,$AC58,$AE58),2)+$B58/2&gt;W58,($G$5/$B$5),0),0))))</f>
        <v/>
      </c>
      <c r="Y58" s="141" t="str">
        <f>IF($Y$8="Habilitado",IF($A58="","",ROUND(VLOOKUP($A58,'Presupuesto Consolidado'!#REF!,6,FALSE),2)),"")</f>
        <v/>
      </c>
      <c r="Z58" s="142" t="str">
        <f t="shared" ref="Z58" si="382">IF($A58="","",IF(Y58="","",IF($K$4="Media aritmética",(Y58&lt;=$B58)*($G$5/$B$5)+(Y58&gt;$B58)*0,IF(ROUND(AVERAGE($C58,$E58,$G58,$I58,$K58,$M58,$O58,$Q58,$S58,$U58,$W58,$Y58,$AA58,$AC58,$AE58),2)-$B58/2&lt;=Y58,IF(ROUND(AVERAGE($C58,$E58,$G58,$I58,$K58,$M58,$O58,$Q58,$S58,$U58,$W58,$Y58,$AA58,$AC58,$AE58),2)+$B58/2&gt;Y58,($G$5/$B$5),0),0))))</f>
        <v/>
      </c>
      <c r="AA58" s="141" t="str">
        <f>IF($AA$8="Habilitado",IF($A58="","",ROUND(VLOOKUP($A58,'Presupuesto Consolidado'!#REF!,6,FALSE),2)),"")</f>
        <v/>
      </c>
      <c r="AB58" s="142" t="str">
        <f t="shared" ref="AB58" si="383">IF($A58="","",IF(AA58="","",IF($K$4="Media aritmética",(AA58&lt;=$B58)*($G$5/$B$5)+(AA58&gt;$B58)*0,IF(ROUND(AVERAGE($C58,$E58,$G58,$I58,$K58,$M58,$O58,$Q58,$S58,$U58,$W58,$Y58,$AA58,$AC58,$AE58),2)-$B58/2&lt;=AA58,IF(ROUND(AVERAGE($C58,$E58,$G58,$I58,$K58,$M58,$O58,$Q58,$S58,$U58,$W58,$Y58,$AA58,$AC58,$AE58),2)+$B58/2&gt;AA58,($G$5/$B$5),0),0))))</f>
        <v/>
      </c>
      <c r="AC58" s="141" t="str">
        <f>IF($AC$8="Habilitado",IF($A58="","",ROUND(VLOOKUP($A58,'Presupuesto Consolidado'!#REF!,6,FALSE),2)),"")</f>
        <v/>
      </c>
      <c r="AD58" s="142" t="str">
        <f t="shared" ref="AD58" si="384">IF($A58="","",IF(AC58="","",IF($K$4="Media aritmética",(AC58&lt;=$B58)*($G$5/$B$5)+(AC58&gt;$B58)*0,IF(ROUND(AVERAGE($C58,$E58,$G58,$I58,$K58,$M58,$O58,$Q58,$S58,$U58,$W58,$Y58,$AA58,$AC58,$AE58),2)-$B58/2&lt;=AC58,IF(ROUND(AVERAGE($C58,$E58,$G58,$I58,$K58,$M58,$O58,$Q58,$S58,$U58,$W58,$Y58,$AA58,$AC58,$AE58),2)+$B58/2&gt;AC58,($G$5/$B$5),0),0))))</f>
        <v/>
      </c>
      <c r="AE58" s="141" t="str">
        <f>IF($AE$8="Habilitado",IF($A58="","",ROUND(VLOOKUP($A58,'Presupuesto Consolidado'!#REF!,6,FALSE),2)),"")</f>
        <v/>
      </c>
      <c r="AF58" s="142" t="str">
        <f t="shared" ref="AF58" si="385">IF($A58="","",IF(AE58="","",IF($K$4="Media aritmética",(AE58&lt;=$B58)*($G$5/$B$5)+(AE58&gt;$B58)*0,IF(ROUND(AVERAGE($C58,$E58,$G58,$I58,$K58,$M58,$O58,$Q58,$S58,$U58,$W58,$Y58,$AA58,$AC58,$AE58),2)-$B58/2&lt;=AE58,IF(ROUND(AVERAGE($C58,$E58,$G58,$I58,$K58,$M58,$O58,$Q58,$S58,$U58,$W58,$Y58,$AA58,$AC58,$AE58),2)+$B58/2&gt;AE58,($G$5/$B$5),0),0))))</f>
        <v/>
      </c>
    </row>
    <row r="59" spans="1:32" s="135" customFormat="1" ht="21" customHeight="1">
      <c r="A59" s="132" t="str">
        <f>+'Presupuesto Consolidado'!A32</f>
        <v>7.1</v>
      </c>
      <c r="B59" s="140">
        <f t="shared" si="241"/>
        <v>3792240</v>
      </c>
      <c r="C59" s="141">
        <f>IF($C$8="Habilitado",IF($A59="","",ROUND(VLOOKUP($A59,'Presupuesto Consolidado'!$A$9:$F$600,6,FALSE),2)),"")</f>
        <v>3792240</v>
      </c>
      <c r="D59" s="142">
        <f t="shared" si="242"/>
        <v>0.45714285714285713</v>
      </c>
      <c r="E59" s="141" t="str">
        <f>IF($E$8="Habilitado",IF($A59="","",ROUND(VLOOKUP($A59,'Presupuesto Consolidado'!$I$9:$N$600,6,FALSE),2)),"")</f>
        <v/>
      </c>
      <c r="F59" s="142" t="str">
        <f t="shared" si="242"/>
        <v/>
      </c>
      <c r="G59" s="141" t="str">
        <f>IF($G$8="Habilitado",IF($A59="","",ROUND(VLOOKUP($A59,'Presupuesto Consolidado'!$Q$9:$V$600,6,FALSE),2)),"")</f>
        <v/>
      </c>
      <c r="H59" s="142" t="str">
        <f t="shared" ref="H59" si="386">IF($A59="","",IF(G59="","",IF($K$4="Media aritmética",(G59&lt;=$B59)*($G$5/$B$5)+(G59&gt;$B59)*0,IF(ROUND(AVERAGE($C59,$E59,$G59,$I59,$K59,$M59,$O59,$Q59,$S59,$U59,$W59,$Y59,$AA59,$AC59,$AE59),2)-$B59/2&lt;=G59,IF(ROUND(AVERAGE($C59,$E59,$G59,$I59,$K59,$M59,$O59,$Q59,$S59,$U59,$W59,$Y59,$AA59,$AC59,$AE59),2)+$B59/2&gt;G59,($G$5/$B$5),0),0))))</f>
        <v/>
      </c>
      <c r="I59" s="141" t="str">
        <f>IF($I$8="Habilitado",IF($A59="","",ROUND(VLOOKUP($A59,'Presupuesto Consolidado'!$Y$9:$AD$600,6,FALSE),2)),"")</f>
        <v/>
      </c>
      <c r="J59" s="142" t="str">
        <f t="shared" ref="J59" si="387">IF($A59="","",IF(I59="","",IF($K$4="Media aritmética",(I59&lt;=$B59)*($G$5/$B$5)+(I59&gt;$B59)*0,IF(ROUND(AVERAGE($C59,$E59,$G59,$I59,$K59,$M59,$O59,$Q59,$S59,$U59,$W59,$Y59,$AA59,$AC59,$AE59),2)-$B59/2&lt;=I59,IF(ROUND(AVERAGE($C59,$E59,$G59,$I59,$K59,$M59,$O59,$Q59,$S59,$U59,$W59,$Y59,$AA59,$AC59,$AE59),2)+$B59/2&gt;I59,($G$5/$B$5),0),0))))</f>
        <v/>
      </c>
      <c r="K59" s="141" t="str">
        <f>IF($K$8="Habilitado",IF($A59="","",ROUND(VLOOKUP($A59,'Presupuesto Consolidado'!#REF!,6,FALSE),2)),"")</f>
        <v/>
      </c>
      <c r="L59" s="142" t="str">
        <f t="shared" ref="L59" si="388">IF($A59="","",IF(K59="","",IF($K$4="Media aritmética",(K59&lt;=$B59)*($G$5/$B$5)+(K59&gt;$B59)*0,IF(ROUND(AVERAGE($C59,$E59,$G59,$I59,$K59,$M59,$O59,$Q59,$S59,$U59,$W59,$Y59,$AA59,$AC59,$AE59),2)-$B59/2&lt;=K59,IF(ROUND(AVERAGE($C59,$E59,$G59,$I59,$K59,$M59,$O59,$Q59,$S59,$U59,$W59,$Y59,$AA59,$AC59,$AE59),2)+$B59/2&gt;K59,($G$5/$B$5),0),0))))</f>
        <v/>
      </c>
      <c r="M59" s="141" t="str">
        <f>IF($M$8="Habilitado",IF($A59="","",ROUND(VLOOKUP($A59,'Presupuesto Consolidado'!#REF!,6,FALSE),2)),"")</f>
        <v/>
      </c>
      <c r="N59" s="142" t="str">
        <f t="shared" ref="N59" si="389">IF($A59="","",IF(M59="","",IF($K$4="Media aritmética",(M59&lt;=$B59)*($G$5/$B$5)+(M59&gt;$B59)*0,IF(ROUND(AVERAGE($C59,$E59,$G59,$I59,$K59,$M59,$O59,$Q59,$S59,$U59,$W59,$Y59,$AA59,$AC59,$AE59),2)-$B59/2&lt;=M59,IF(ROUND(AVERAGE($C59,$E59,$G59,$I59,$K59,$M59,$O59,$Q59,$S59,$U59,$W59,$Y59,$AA59,$AC59,$AE59),2)+$B59/2&gt;M59,($G$5/$B$5),0),0))))</f>
        <v/>
      </c>
      <c r="O59" s="141" t="str">
        <f>IF($O$8="Habilitado",IF($A59="","",ROUND(VLOOKUP($A59,'Presupuesto Consolidado'!#REF!,6,FALSE),2)),"")</f>
        <v/>
      </c>
      <c r="P59" s="142" t="str">
        <f t="shared" ref="P59" si="390">IF($A59="","",IF(O59="","",IF($K$4="Media aritmética",(O59&lt;=$B59)*($G$5/$B$5)+(O59&gt;$B59)*0,IF(ROUND(AVERAGE($C59,$E59,$G59,$I59,$K59,$M59,$O59,$Q59,$S59,$U59,$W59,$Y59,$AA59,$AC59,$AE59),2)-$B59/2&lt;=O59,IF(ROUND(AVERAGE($C59,$E59,$G59,$I59,$K59,$M59,$O59,$Q59,$S59,$U59,$W59,$Y59,$AA59,$AC59,$AE59),2)+$B59/2&gt;O59,($G$5/$B$5),0),0))))</f>
        <v/>
      </c>
      <c r="Q59" s="141" t="str">
        <f>IF($Q$8="Habilitado",IF($A59="","",ROUND(VLOOKUP($A59,'Presupuesto Consolidado'!#REF!,6,FALSE),2)),"")</f>
        <v/>
      </c>
      <c r="R59" s="142" t="str">
        <f t="shared" ref="R59" si="391">IF($A59="","",IF(Q59="","",IF($K$4="Media aritmética",(Q59&lt;=$B59)*($G$5/$B$5)+(Q59&gt;$B59)*0,IF(ROUND(AVERAGE($C59,$E59,$G59,$I59,$K59,$M59,$O59,$Q59,$S59,$U59,$W59,$Y59,$AA59,$AC59,$AE59),2)-$B59/2&lt;=Q59,IF(ROUND(AVERAGE($C59,$E59,$G59,$I59,$K59,$M59,$O59,$Q59,$S59,$U59,$W59,$Y59,$AA59,$AC59,$AE59),2)+$B59/2&gt;Q59,($G$5/$B$5),0),0))))</f>
        <v/>
      </c>
      <c r="S59" s="141" t="str">
        <f>IF($S$8="Habilitado",IF($A59="","",ROUND(VLOOKUP($A59,'Presupuesto Consolidado'!#REF!,6,FALSE),2)),"")</f>
        <v/>
      </c>
      <c r="T59" s="142" t="str">
        <f t="shared" ref="T59" si="392">IF($A59="","",IF(S59="","",IF($K$4="Media aritmética",(S59&lt;=$B59)*($G$5/$B$5)+(S59&gt;$B59)*0,IF(ROUND(AVERAGE($C59,$E59,$G59,$I59,$K59,$M59,$O59,$Q59,$S59,$U59,$W59,$Y59,$AA59,$AC59,$AE59),2)-$B59/2&lt;=S59,IF(ROUND(AVERAGE($C59,$E59,$G59,$I59,$K59,$M59,$O59,$Q59,$S59,$U59,$W59,$Y59,$AA59,$AC59,$AE59),2)+$B59/2&gt;S59,($G$5/$B$5),0),0))))</f>
        <v/>
      </c>
      <c r="U59" s="141" t="str">
        <f>IF($U$8="Habilitado",IF($A59="","",ROUND(VLOOKUP($A59,'Presupuesto Consolidado'!#REF!,6,FALSE),2)),"")</f>
        <v/>
      </c>
      <c r="V59" s="142" t="str">
        <f t="shared" ref="V59" si="393">IF($A59="","",IF(U59="","",IF($K$4="Media aritmética",(U59&lt;=$B59)*($G$5/$B$5)+(U59&gt;$B59)*0,IF(ROUND(AVERAGE($C59,$E59,$G59,$I59,$K59,$M59,$O59,$Q59,$S59,$U59,$W59,$Y59,$AA59,$AC59,$AE59),2)-$B59/2&lt;=U59,IF(ROUND(AVERAGE($C59,$E59,$G59,$I59,$K59,$M59,$O59,$Q59,$S59,$U59,$W59,$Y59,$AA59,$AC59,$AE59),2)+$B59/2&gt;U59,($G$5/$B$5),0),0))))</f>
        <v/>
      </c>
      <c r="W59" s="141" t="str">
        <f>IF($W$8="Habilitado",IF($A59="","",ROUND(VLOOKUP($A59,'Presupuesto Consolidado'!#REF!,6,FALSE),2)),"")</f>
        <v/>
      </c>
      <c r="X59" s="142" t="str">
        <f t="shared" ref="X59" si="394">IF($A59="","",IF(W59="","",IF($K$4="Media aritmética",(W59&lt;=$B59)*($G$5/$B$5)+(W59&gt;$B59)*0,IF(ROUND(AVERAGE($C59,$E59,$G59,$I59,$K59,$M59,$O59,$Q59,$S59,$U59,$W59,$Y59,$AA59,$AC59,$AE59),2)-$B59/2&lt;=W59,IF(ROUND(AVERAGE($C59,$E59,$G59,$I59,$K59,$M59,$O59,$Q59,$S59,$U59,$W59,$Y59,$AA59,$AC59,$AE59),2)+$B59/2&gt;W59,($G$5/$B$5),0),0))))</f>
        <v/>
      </c>
      <c r="Y59" s="141" t="str">
        <f>IF($Y$8="Habilitado",IF($A59="","",ROUND(VLOOKUP($A59,'Presupuesto Consolidado'!#REF!,6,FALSE),2)),"")</f>
        <v/>
      </c>
      <c r="Z59" s="142" t="str">
        <f t="shared" ref="Z59" si="395">IF($A59="","",IF(Y59="","",IF($K$4="Media aritmética",(Y59&lt;=$B59)*($G$5/$B$5)+(Y59&gt;$B59)*0,IF(ROUND(AVERAGE($C59,$E59,$G59,$I59,$K59,$M59,$O59,$Q59,$S59,$U59,$W59,$Y59,$AA59,$AC59,$AE59),2)-$B59/2&lt;=Y59,IF(ROUND(AVERAGE($C59,$E59,$G59,$I59,$K59,$M59,$O59,$Q59,$S59,$U59,$W59,$Y59,$AA59,$AC59,$AE59),2)+$B59/2&gt;Y59,($G$5/$B$5),0),0))))</f>
        <v/>
      </c>
      <c r="AA59" s="141" t="str">
        <f>IF($AA$8="Habilitado",IF($A59="","",ROUND(VLOOKUP($A59,'Presupuesto Consolidado'!#REF!,6,FALSE),2)),"")</f>
        <v/>
      </c>
      <c r="AB59" s="142" t="str">
        <f t="shared" ref="AB59" si="396">IF($A59="","",IF(AA59="","",IF($K$4="Media aritmética",(AA59&lt;=$B59)*($G$5/$B$5)+(AA59&gt;$B59)*0,IF(ROUND(AVERAGE($C59,$E59,$G59,$I59,$K59,$M59,$O59,$Q59,$S59,$U59,$W59,$Y59,$AA59,$AC59,$AE59),2)-$B59/2&lt;=AA59,IF(ROUND(AVERAGE($C59,$E59,$G59,$I59,$K59,$M59,$O59,$Q59,$S59,$U59,$W59,$Y59,$AA59,$AC59,$AE59),2)+$B59/2&gt;AA59,($G$5/$B$5),0),0))))</f>
        <v/>
      </c>
      <c r="AC59" s="141" t="str">
        <f>IF($AC$8="Habilitado",IF($A59="","",ROUND(VLOOKUP($A59,'Presupuesto Consolidado'!#REF!,6,FALSE),2)),"")</f>
        <v/>
      </c>
      <c r="AD59" s="142" t="str">
        <f t="shared" ref="AD59" si="397">IF($A59="","",IF(AC59="","",IF($K$4="Media aritmética",(AC59&lt;=$B59)*($G$5/$B$5)+(AC59&gt;$B59)*0,IF(ROUND(AVERAGE($C59,$E59,$G59,$I59,$K59,$M59,$O59,$Q59,$S59,$U59,$W59,$Y59,$AA59,$AC59,$AE59),2)-$B59/2&lt;=AC59,IF(ROUND(AVERAGE($C59,$E59,$G59,$I59,$K59,$M59,$O59,$Q59,$S59,$U59,$W59,$Y59,$AA59,$AC59,$AE59),2)+$B59/2&gt;AC59,($G$5/$B$5),0),0))))</f>
        <v/>
      </c>
      <c r="AE59" s="141" t="str">
        <f>IF($AE$8="Habilitado",IF($A59="","",ROUND(VLOOKUP($A59,'Presupuesto Consolidado'!#REF!,6,FALSE),2)),"")</f>
        <v/>
      </c>
      <c r="AF59" s="142" t="str">
        <f t="shared" ref="AF59" si="398">IF($A59="","",IF(AE59="","",IF($K$4="Media aritmética",(AE59&lt;=$B59)*($G$5/$B$5)+(AE59&gt;$B59)*0,IF(ROUND(AVERAGE($C59,$E59,$G59,$I59,$K59,$M59,$O59,$Q59,$S59,$U59,$W59,$Y59,$AA59,$AC59,$AE59),2)-$B59/2&lt;=AE59,IF(ROUND(AVERAGE($C59,$E59,$G59,$I59,$K59,$M59,$O59,$Q59,$S59,$U59,$W59,$Y59,$AA59,$AC59,$AE59),2)+$B59/2&gt;AE59,($G$5/$B$5),0),0))))</f>
        <v/>
      </c>
    </row>
    <row r="60" spans="1:32" s="135" customFormat="1" ht="21" customHeight="1">
      <c r="A60" s="132" t="str">
        <f>+'Presupuesto Consolidado'!A33</f>
        <v>7.2</v>
      </c>
      <c r="B60" s="140">
        <f t="shared" si="241"/>
        <v>5535000</v>
      </c>
      <c r="C60" s="141">
        <f>IF($C$8="Habilitado",IF($A60="","",ROUND(VLOOKUP($A60,'Presupuesto Consolidado'!$A$9:$F$600,6,FALSE),2)),"")</f>
        <v>5535000</v>
      </c>
      <c r="D60" s="142">
        <f t="shared" si="242"/>
        <v>0.45714285714285713</v>
      </c>
      <c r="E60" s="141" t="str">
        <f>IF($E$8="Habilitado",IF($A60="","",ROUND(VLOOKUP($A60,'Presupuesto Consolidado'!$I$9:$N$600,6,FALSE),2)),"")</f>
        <v/>
      </c>
      <c r="F60" s="142" t="str">
        <f t="shared" si="242"/>
        <v/>
      </c>
      <c r="G60" s="141" t="str">
        <f>IF($G$8="Habilitado",IF($A60="","",ROUND(VLOOKUP($A60,'Presupuesto Consolidado'!$Q$9:$V$600,6,FALSE),2)),"")</f>
        <v/>
      </c>
      <c r="H60" s="142" t="str">
        <f t="shared" ref="H60" si="399">IF($A60="","",IF(G60="","",IF($K$4="Media aritmética",(G60&lt;=$B60)*($G$5/$B$5)+(G60&gt;$B60)*0,IF(ROUND(AVERAGE($C60,$E60,$G60,$I60,$K60,$M60,$O60,$Q60,$S60,$U60,$W60,$Y60,$AA60,$AC60,$AE60),2)-$B60/2&lt;=G60,IF(ROUND(AVERAGE($C60,$E60,$G60,$I60,$K60,$M60,$O60,$Q60,$S60,$U60,$W60,$Y60,$AA60,$AC60,$AE60),2)+$B60/2&gt;G60,($G$5/$B$5),0),0))))</f>
        <v/>
      </c>
      <c r="I60" s="141" t="str">
        <f>IF($I$8="Habilitado",IF($A60="","",ROUND(VLOOKUP($A60,'Presupuesto Consolidado'!$Y$9:$AD$600,6,FALSE),2)),"")</f>
        <v/>
      </c>
      <c r="J60" s="142" t="str">
        <f t="shared" ref="J60" si="400">IF($A60="","",IF(I60="","",IF($K$4="Media aritmética",(I60&lt;=$B60)*($G$5/$B$5)+(I60&gt;$B60)*0,IF(ROUND(AVERAGE($C60,$E60,$G60,$I60,$K60,$M60,$O60,$Q60,$S60,$U60,$W60,$Y60,$AA60,$AC60,$AE60),2)-$B60/2&lt;=I60,IF(ROUND(AVERAGE($C60,$E60,$G60,$I60,$K60,$M60,$O60,$Q60,$S60,$U60,$W60,$Y60,$AA60,$AC60,$AE60),2)+$B60/2&gt;I60,($G$5/$B$5),0),0))))</f>
        <v/>
      </c>
      <c r="K60" s="141" t="str">
        <f>IF($K$8="Habilitado",IF($A60="","",ROUND(VLOOKUP($A60,'Presupuesto Consolidado'!#REF!,6,FALSE),2)),"")</f>
        <v/>
      </c>
      <c r="L60" s="142" t="str">
        <f t="shared" ref="L60" si="401">IF($A60="","",IF(K60="","",IF($K$4="Media aritmética",(K60&lt;=$B60)*($G$5/$B$5)+(K60&gt;$B60)*0,IF(ROUND(AVERAGE($C60,$E60,$G60,$I60,$K60,$M60,$O60,$Q60,$S60,$U60,$W60,$Y60,$AA60,$AC60,$AE60),2)-$B60/2&lt;=K60,IF(ROUND(AVERAGE($C60,$E60,$G60,$I60,$K60,$M60,$O60,$Q60,$S60,$U60,$W60,$Y60,$AA60,$AC60,$AE60),2)+$B60/2&gt;K60,($G$5/$B$5),0),0))))</f>
        <v/>
      </c>
      <c r="M60" s="141" t="str">
        <f>IF($M$8="Habilitado",IF($A60="","",ROUND(VLOOKUP($A60,'Presupuesto Consolidado'!#REF!,6,FALSE),2)),"")</f>
        <v/>
      </c>
      <c r="N60" s="142" t="str">
        <f t="shared" ref="N60" si="402">IF($A60="","",IF(M60="","",IF($K$4="Media aritmética",(M60&lt;=$B60)*($G$5/$B$5)+(M60&gt;$B60)*0,IF(ROUND(AVERAGE($C60,$E60,$G60,$I60,$K60,$M60,$O60,$Q60,$S60,$U60,$W60,$Y60,$AA60,$AC60,$AE60),2)-$B60/2&lt;=M60,IF(ROUND(AVERAGE($C60,$E60,$G60,$I60,$K60,$M60,$O60,$Q60,$S60,$U60,$W60,$Y60,$AA60,$AC60,$AE60),2)+$B60/2&gt;M60,($G$5/$B$5),0),0))))</f>
        <v/>
      </c>
      <c r="O60" s="141" t="str">
        <f>IF($O$8="Habilitado",IF($A60="","",ROUND(VLOOKUP($A60,'Presupuesto Consolidado'!#REF!,6,FALSE),2)),"")</f>
        <v/>
      </c>
      <c r="P60" s="142" t="str">
        <f t="shared" ref="P60" si="403">IF($A60="","",IF(O60="","",IF($K$4="Media aritmética",(O60&lt;=$B60)*($G$5/$B$5)+(O60&gt;$B60)*0,IF(ROUND(AVERAGE($C60,$E60,$G60,$I60,$K60,$M60,$O60,$Q60,$S60,$U60,$W60,$Y60,$AA60,$AC60,$AE60),2)-$B60/2&lt;=O60,IF(ROUND(AVERAGE($C60,$E60,$G60,$I60,$K60,$M60,$O60,$Q60,$S60,$U60,$W60,$Y60,$AA60,$AC60,$AE60),2)+$B60/2&gt;O60,($G$5/$B$5),0),0))))</f>
        <v/>
      </c>
      <c r="Q60" s="141" t="str">
        <f>IF($Q$8="Habilitado",IF($A60="","",ROUND(VLOOKUP($A60,'Presupuesto Consolidado'!#REF!,6,FALSE),2)),"")</f>
        <v/>
      </c>
      <c r="R60" s="142" t="str">
        <f t="shared" ref="R60" si="404">IF($A60="","",IF(Q60="","",IF($K$4="Media aritmética",(Q60&lt;=$B60)*($G$5/$B$5)+(Q60&gt;$B60)*0,IF(ROUND(AVERAGE($C60,$E60,$G60,$I60,$K60,$M60,$O60,$Q60,$S60,$U60,$W60,$Y60,$AA60,$AC60,$AE60),2)-$B60/2&lt;=Q60,IF(ROUND(AVERAGE($C60,$E60,$G60,$I60,$K60,$M60,$O60,$Q60,$S60,$U60,$W60,$Y60,$AA60,$AC60,$AE60),2)+$B60/2&gt;Q60,($G$5/$B$5),0),0))))</f>
        <v/>
      </c>
      <c r="S60" s="141" t="str">
        <f>IF($S$8="Habilitado",IF($A60="","",ROUND(VLOOKUP($A60,'Presupuesto Consolidado'!#REF!,6,FALSE),2)),"")</f>
        <v/>
      </c>
      <c r="T60" s="142" t="str">
        <f t="shared" ref="T60" si="405">IF($A60="","",IF(S60="","",IF($K$4="Media aritmética",(S60&lt;=$B60)*($G$5/$B$5)+(S60&gt;$B60)*0,IF(ROUND(AVERAGE($C60,$E60,$G60,$I60,$K60,$M60,$O60,$Q60,$S60,$U60,$W60,$Y60,$AA60,$AC60,$AE60),2)-$B60/2&lt;=S60,IF(ROUND(AVERAGE($C60,$E60,$G60,$I60,$K60,$M60,$O60,$Q60,$S60,$U60,$W60,$Y60,$AA60,$AC60,$AE60),2)+$B60/2&gt;S60,($G$5/$B$5),0),0))))</f>
        <v/>
      </c>
      <c r="U60" s="141" t="str">
        <f>IF($U$8="Habilitado",IF($A60="","",ROUND(VLOOKUP($A60,'Presupuesto Consolidado'!#REF!,6,FALSE),2)),"")</f>
        <v/>
      </c>
      <c r="V60" s="142" t="str">
        <f t="shared" ref="V60" si="406">IF($A60="","",IF(U60="","",IF($K$4="Media aritmética",(U60&lt;=$B60)*($G$5/$B$5)+(U60&gt;$B60)*0,IF(ROUND(AVERAGE($C60,$E60,$G60,$I60,$K60,$M60,$O60,$Q60,$S60,$U60,$W60,$Y60,$AA60,$AC60,$AE60),2)-$B60/2&lt;=U60,IF(ROUND(AVERAGE($C60,$E60,$G60,$I60,$K60,$M60,$O60,$Q60,$S60,$U60,$W60,$Y60,$AA60,$AC60,$AE60),2)+$B60/2&gt;U60,($G$5/$B$5),0),0))))</f>
        <v/>
      </c>
      <c r="W60" s="141" t="str">
        <f>IF($W$8="Habilitado",IF($A60="","",ROUND(VLOOKUP($A60,'Presupuesto Consolidado'!#REF!,6,FALSE),2)),"")</f>
        <v/>
      </c>
      <c r="X60" s="142" t="str">
        <f t="shared" ref="X60" si="407">IF($A60="","",IF(W60="","",IF($K$4="Media aritmética",(W60&lt;=$B60)*($G$5/$B$5)+(W60&gt;$B60)*0,IF(ROUND(AVERAGE($C60,$E60,$G60,$I60,$K60,$M60,$O60,$Q60,$S60,$U60,$W60,$Y60,$AA60,$AC60,$AE60),2)-$B60/2&lt;=W60,IF(ROUND(AVERAGE($C60,$E60,$G60,$I60,$K60,$M60,$O60,$Q60,$S60,$U60,$W60,$Y60,$AA60,$AC60,$AE60),2)+$B60/2&gt;W60,($G$5/$B$5),0),0))))</f>
        <v/>
      </c>
      <c r="Y60" s="141" t="str">
        <f>IF($Y$8="Habilitado",IF($A60="","",ROUND(VLOOKUP($A60,'Presupuesto Consolidado'!#REF!,6,FALSE),2)),"")</f>
        <v/>
      </c>
      <c r="Z60" s="142" t="str">
        <f t="shared" ref="Z60" si="408">IF($A60="","",IF(Y60="","",IF($K$4="Media aritmética",(Y60&lt;=$B60)*($G$5/$B$5)+(Y60&gt;$B60)*0,IF(ROUND(AVERAGE($C60,$E60,$G60,$I60,$K60,$M60,$O60,$Q60,$S60,$U60,$W60,$Y60,$AA60,$AC60,$AE60),2)-$B60/2&lt;=Y60,IF(ROUND(AVERAGE($C60,$E60,$G60,$I60,$K60,$M60,$O60,$Q60,$S60,$U60,$W60,$Y60,$AA60,$AC60,$AE60),2)+$B60/2&gt;Y60,($G$5/$B$5),0),0))))</f>
        <v/>
      </c>
      <c r="AA60" s="141" t="str">
        <f>IF($AA$8="Habilitado",IF($A60="","",ROUND(VLOOKUP($A60,'Presupuesto Consolidado'!#REF!,6,FALSE),2)),"")</f>
        <v/>
      </c>
      <c r="AB60" s="142" t="str">
        <f t="shared" ref="AB60" si="409">IF($A60="","",IF(AA60="","",IF($K$4="Media aritmética",(AA60&lt;=$B60)*($G$5/$B$5)+(AA60&gt;$B60)*0,IF(ROUND(AVERAGE($C60,$E60,$G60,$I60,$K60,$M60,$O60,$Q60,$S60,$U60,$W60,$Y60,$AA60,$AC60,$AE60),2)-$B60/2&lt;=AA60,IF(ROUND(AVERAGE($C60,$E60,$G60,$I60,$K60,$M60,$O60,$Q60,$S60,$U60,$W60,$Y60,$AA60,$AC60,$AE60),2)+$B60/2&gt;AA60,($G$5/$B$5),0),0))))</f>
        <v/>
      </c>
      <c r="AC60" s="141" t="str">
        <f>IF($AC$8="Habilitado",IF($A60="","",ROUND(VLOOKUP($A60,'Presupuesto Consolidado'!#REF!,6,FALSE),2)),"")</f>
        <v/>
      </c>
      <c r="AD60" s="142" t="str">
        <f t="shared" ref="AD60" si="410">IF($A60="","",IF(AC60="","",IF($K$4="Media aritmética",(AC60&lt;=$B60)*($G$5/$B$5)+(AC60&gt;$B60)*0,IF(ROUND(AVERAGE($C60,$E60,$G60,$I60,$K60,$M60,$O60,$Q60,$S60,$U60,$W60,$Y60,$AA60,$AC60,$AE60),2)-$B60/2&lt;=AC60,IF(ROUND(AVERAGE($C60,$E60,$G60,$I60,$K60,$M60,$O60,$Q60,$S60,$U60,$W60,$Y60,$AA60,$AC60,$AE60),2)+$B60/2&gt;AC60,($G$5/$B$5),0),0))))</f>
        <v/>
      </c>
      <c r="AE60" s="141" t="str">
        <f>IF($AE$8="Habilitado",IF($A60="","",ROUND(VLOOKUP($A60,'Presupuesto Consolidado'!#REF!,6,FALSE),2)),"")</f>
        <v/>
      </c>
      <c r="AF60" s="142" t="str">
        <f t="shared" ref="AF60" si="411">IF($A60="","",IF(AE60="","",IF($K$4="Media aritmética",(AE60&lt;=$B60)*($G$5/$B$5)+(AE60&gt;$B60)*0,IF(ROUND(AVERAGE($C60,$E60,$G60,$I60,$K60,$M60,$O60,$Q60,$S60,$U60,$W60,$Y60,$AA60,$AC60,$AE60),2)-$B60/2&lt;=AE60,IF(ROUND(AVERAGE($C60,$E60,$G60,$I60,$K60,$M60,$O60,$Q60,$S60,$U60,$W60,$Y60,$AA60,$AC60,$AE60),2)+$B60/2&gt;AE60,($G$5/$B$5),0),0))))</f>
        <v/>
      </c>
    </row>
    <row r="61" spans="1:32" s="135" customFormat="1" ht="21" customHeight="1">
      <c r="A61" s="132" t="str">
        <f>+'Presupuesto Consolidado'!A35</f>
        <v>8.1</v>
      </c>
      <c r="B61" s="140">
        <f t="shared" si="241"/>
        <v>1357600</v>
      </c>
      <c r="C61" s="141">
        <f>IF($C$8="Habilitado",IF($A61="","",ROUND(VLOOKUP($A61,'Presupuesto Consolidado'!$A$9:$F$600,6,FALSE),2)),"")</f>
        <v>1357600</v>
      </c>
      <c r="D61" s="142">
        <f t="shared" si="242"/>
        <v>0.45714285714285713</v>
      </c>
      <c r="E61" s="141" t="str">
        <f>IF($E$8="Habilitado",IF($A61="","",ROUND(VLOOKUP($A61,'Presupuesto Consolidado'!$I$9:$N$600,6,FALSE),2)),"")</f>
        <v/>
      </c>
      <c r="F61" s="142" t="str">
        <f t="shared" si="242"/>
        <v/>
      </c>
      <c r="G61" s="141" t="str">
        <f>IF($G$8="Habilitado",IF($A61="","",ROUND(VLOOKUP($A61,'Presupuesto Consolidado'!$Q$9:$V$600,6,FALSE),2)),"")</f>
        <v/>
      </c>
      <c r="H61" s="142" t="str">
        <f t="shared" ref="H61" si="412">IF($A61="","",IF(G61="","",IF($K$4="Media aritmética",(G61&lt;=$B61)*($G$5/$B$5)+(G61&gt;$B61)*0,IF(ROUND(AVERAGE($C61,$E61,$G61,$I61,$K61,$M61,$O61,$Q61,$S61,$U61,$W61,$Y61,$AA61,$AC61,$AE61),2)-$B61/2&lt;=G61,IF(ROUND(AVERAGE($C61,$E61,$G61,$I61,$K61,$M61,$O61,$Q61,$S61,$U61,$W61,$Y61,$AA61,$AC61,$AE61),2)+$B61/2&gt;G61,($G$5/$B$5),0),0))))</f>
        <v/>
      </c>
      <c r="I61" s="141" t="str">
        <f>IF($I$8="Habilitado",IF($A61="","",ROUND(VLOOKUP($A61,'Presupuesto Consolidado'!$Y$9:$AD$600,6,FALSE),2)),"")</f>
        <v/>
      </c>
      <c r="J61" s="142" t="str">
        <f t="shared" ref="J61" si="413">IF($A61="","",IF(I61="","",IF($K$4="Media aritmética",(I61&lt;=$B61)*($G$5/$B$5)+(I61&gt;$B61)*0,IF(ROUND(AVERAGE($C61,$E61,$G61,$I61,$K61,$M61,$O61,$Q61,$S61,$U61,$W61,$Y61,$AA61,$AC61,$AE61),2)-$B61/2&lt;=I61,IF(ROUND(AVERAGE($C61,$E61,$G61,$I61,$K61,$M61,$O61,$Q61,$S61,$U61,$W61,$Y61,$AA61,$AC61,$AE61),2)+$B61/2&gt;I61,($G$5/$B$5),0),0))))</f>
        <v/>
      </c>
      <c r="K61" s="141" t="str">
        <f>IF($K$8="Habilitado",IF($A61="","",ROUND(VLOOKUP($A61,'Presupuesto Consolidado'!#REF!,6,FALSE),2)),"")</f>
        <v/>
      </c>
      <c r="L61" s="142" t="str">
        <f t="shared" ref="L61" si="414">IF($A61="","",IF(K61="","",IF($K$4="Media aritmética",(K61&lt;=$B61)*($G$5/$B$5)+(K61&gt;$B61)*0,IF(ROUND(AVERAGE($C61,$E61,$G61,$I61,$K61,$M61,$O61,$Q61,$S61,$U61,$W61,$Y61,$AA61,$AC61,$AE61),2)-$B61/2&lt;=K61,IF(ROUND(AVERAGE($C61,$E61,$G61,$I61,$K61,$M61,$O61,$Q61,$S61,$U61,$W61,$Y61,$AA61,$AC61,$AE61),2)+$B61/2&gt;K61,($G$5/$B$5),0),0))))</f>
        <v/>
      </c>
      <c r="M61" s="141" t="str">
        <f>IF($M$8="Habilitado",IF($A61="","",ROUND(VLOOKUP($A61,'Presupuesto Consolidado'!#REF!,6,FALSE),2)),"")</f>
        <v/>
      </c>
      <c r="N61" s="142" t="str">
        <f t="shared" ref="N61" si="415">IF($A61="","",IF(M61="","",IF($K$4="Media aritmética",(M61&lt;=$B61)*($G$5/$B$5)+(M61&gt;$B61)*0,IF(ROUND(AVERAGE($C61,$E61,$G61,$I61,$K61,$M61,$O61,$Q61,$S61,$U61,$W61,$Y61,$AA61,$AC61,$AE61),2)-$B61/2&lt;=M61,IF(ROUND(AVERAGE($C61,$E61,$G61,$I61,$K61,$M61,$O61,$Q61,$S61,$U61,$W61,$Y61,$AA61,$AC61,$AE61),2)+$B61/2&gt;M61,($G$5/$B$5),0),0))))</f>
        <v/>
      </c>
      <c r="O61" s="141" t="str">
        <f>IF($O$8="Habilitado",IF($A61="","",ROUND(VLOOKUP($A61,'Presupuesto Consolidado'!#REF!,6,FALSE),2)),"")</f>
        <v/>
      </c>
      <c r="P61" s="142" t="str">
        <f t="shared" ref="P61" si="416">IF($A61="","",IF(O61="","",IF($K$4="Media aritmética",(O61&lt;=$B61)*($G$5/$B$5)+(O61&gt;$B61)*0,IF(ROUND(AVERAGE($C61,$E61,$G61,$I61,$K61,$M61,$O61,$Q61,$S61,$U61,$W61,$Y61,$AA61,$AC61,$AE61),2)-$B61/2&lt;=O61,IF(ROUND(AVERAGE($C61,$E61,$G61,$I61,$K61,$M61,$O61,$Q61,$S61,$U61,$W61,$Y61,$AA61,$AC61,$AE61),2)+$B61/2&gt;O61,($G$5/$B$5),0),0))))</f>
        <v/>
      </c>
      <c r="Q61" s="141" t="str">
        <f>IF($Q$8="Habilitado",IF($A61="","",ROUND(VLOOKUP($A61,'Presupuesto Consolidado'!#REF!,6,FALSE),2)),"")</f>
        <v/>
      </c>
      <c r="R61" s="142" t="str">
        <f t="shared" ref="R61" si="417">IF($A61="","",IF(Q61="","",IF($K$4="Media aritmética",(Q61&lt;=$B61)*($G$5/$B$5)+(Q61&gt;$B61)*0,IF(ROUND(AVERAGE($C61,$E61,$G61,$I61,$K61,$M61,$O61,$Q61,$S61,$U61,$W61,$Y61,$AA61,$AC61,$AE61),2)-$B61/2&lt;=Q61,IF(ROUND(AVERAGE($C61,$E61,$G61,$I61,$K61,$M61,$O61,$Q61,$S61,$U61,$W61,$Y61,$AA61,$AC61,$AE61),2)+$B61/2&gt;Q61,($G$5/$B$5),0),0))))</f>
        <v/>
      </c>
      <c r="S61" s="141" t="str">
        <f>IF($S$8="Habilitado",IF($A61="","",ROUND(VLOOKUP($A61,'Presupuesto Consolidado'!#REF!,6,FALSE),2)),"")</f>
        <v/>
      </c>
      <c r="T61" s="142" t="str">
        <f t="shared" ref="T61" si="418">IF($A61="","",IF(S61="","",IF($K$4="Media aritmética",(S61&lt;=$B61)*($G$5/$B$5)+(S61&gt;$B61)*0,IF(ROUND(AVERAGE($C61,$E61,$G61,$I61,$K61,$M61,$O61,$Q61,$S61,$U61,$W61,$Y61,$AA61,$AC61,$AE61),2)-$B61/2&lt;=S61,IF(ROUND(AVERAGE($C61,$E61,$G61,$I61,$K61,$M61,$O61,$Q61,$S61,$U61,$W61,$Y61,$AA61,$AC61,$AE61),2)+$B61/2&gt;S61,($G$5/$B$5),0),0))))</f>
        <v/>
      </c>
      <c r="U61" s="141" t="str">
        <f>IF($U$8="Habilitado",IF($A61="","",ROUND(VLOOKUP($A61,'Presupuesto Consolidado'!#REF!,6,FALSE),2)),"")</f>
        <v/>
      </c>
      <c r="V61" s="142" t="str">
        <f t="shared" ref="V61" si="419">IF($A61="","",IF(U61="","",IF($K$4="Media aritmética",(U61&lt;=$B61)*($G$5/$B$5)+(U61&gt;$B61)*0,IF(ROUND(AVERAGE($C61,$E61,$G61,$I61,$K61,$M61,$O61,$Q61,$S61,$U61,$W61,$Y61,$AA61,$AC61,$AE61),2)-$B61/2&lt;=U61,IF(ROUND(AVERAGE($C61,$E61,$G61,$I61,$K61,$M61,$O61,$Q61,$S61,$U61,$W61,$Y61,$AA61,$AC61,$AE61),2)+$B61/2&gt;U61,($G$5/$B$5),0),0))))</f>
        <v/>
      </c>
      <c r="W61" s="141" t="str">
        <f>IF($W$8="Habilitado",IF($A61="","",ROUND(VLOOKUP($A61,'Presupuesto Consolidado'!#REF!,6,FALSE),2)),"")</f>
        <v/>
      </c>
      <c r="X61" s="142" t="str">
        <f t="shared" ref="X61" si="420">IF($A61="","",IF(W61="","",IF($K$4="Media aritmética",(W61&lt;=$B61)*($G$5/$B$5)+(W61&gt;$B61)*0,IF(ROUND(AVERAGE($C61,$E61,$G61,$I61,$K61,$M61,$O61,$Q61,$S61,$U61,$W61,$Y61,$AA61,$AC61,$AE61),2)-$B61/2&lt;=W61,IF(ROUND(AVERAGE($C61,$E61,$G61,$I61,$K61,$M61,$O61,$Q61,$S61,$U61,$W61,$Y61,$AA61,$AC61,$AE61),2)+$B61/2&gt;W61,($G$5/$B$5),0),0))))</f>
        <v/>
      </c>
      <c r="Y61" s="141" t="str">
        <f>IF($Y$8="Habilitado",IF($A61="","",ROUND(VLOOKUP($A61,'Presupuesto Consolidado'!#REF!,6,FALSE),2)),"")</f>
        <v/>
      </c>
      <c r="Z61" s="142" t="str">
        <f t="shared" ref="Z61" si="421">IF($A61="","",IF(Y61="","",IF($K$4="Media aritmética",(Y61&lt;=$B61)*($G$5/$B$5)+(Y61&gt;$B61)*0,IF(ROUND(AVERAGE($C61,$E61,$G61,$I61,$K61,$M61,$O61,$Q61,$S61,$U61,$W61,$Y61,$AA61,$AC61,$AE61),2)-$B61/2&lt;=Y61,IF(ROUND(AVERAGE($C61,$E61,$G61,$I61,$K61,$M61,$O61,$Q61,$S61,$U61,$W61,$Y61,$AA61,$AC61,$AE61),2)+$B61/2&gt;Y61,($G$5/$B$5),0),0))))</f>
        <v/>
      </c>
      <c r="AA61" s="141" t="str">
        <f>IF($AA$8="Habilitado",IF($A61="","",ROUND(VLOOKUP($A61,'Presupuesto Consolidado'!#REF!,6,FALSE),2)),"")</f>
        <v/>
      </c>
      <c r="AB61" s="142" t="str">
        <f t="shared" ref="AB61" si="422">IF($A61="","",IF(AA61="","",IF($K$4="Media aritmética",(AA61&lt;=$B61)*($G$5/$B$5)+(AA61&gt;$B61)*0,IF(ROUND(AVERAGE($C61,$E61,$G61,$I61,$K61,$M61,$O61,$Q61,$S61,$U61,$W61,$Y61,$AA61,$AC61,$AE61),2)-$B61/2&lt;=AA61,IF(ROUND(AVERAGE($C61,$E61,$G61,$I61,$K61,$M61,$O61,$Q61,$S61,$U61,$W61,$Y61,$AA61,$AC61,$AE61),2)+$B61/2&gt;AA61,($G$5/$B$5),0),0))))</f>
        <v/>
      </c>
      <c r="AC61" s="141" t="str">
        <f>IF($AC$8="Habilitado",IF($A61="","",ROUND(VLOOKUP($A61,'Presupuesto Consolidado'!#REF!,6,FALSE),2)),"")</f>
        <v/>
      </c>
      <c r="AD61" s="142" t="str">
        <f t="shared" ref="AD61" si="423">IF($A61="","",IF(AC61="","",IF($K$4="Media aritmética",(AC61&lt;=$B61)*($G$5/$B$5)+(AC61&gt;$B61)*0,IF(ROUND(AVERAGE($C61,$E61,$G61,$I61,$K61,$M61,$O61,$Q61,$S61,$U61,$W61,$Y61,$AA61,$AC61,$AE61),2)-$B61/2&lt;=AC61,IF(ROUND(AVERAGE($C61,$E61,$G61,$I61,$K61,$M61,$O61,$Q61,$S61,$U61,$W61,$Y61,$AA61,$AC61,$AE61),2)+$B61/2&gt;AC61,($G$5/$B$5),0),0))))</f>
        <v/>
      </c>
      <c r="AE61" s="141" t="str">
        <f>IF($AE$8="Habilitado",IF($A61="","",ROUND(VLOOKUP($A61,'Presupuesto Consolidado'!#REF!,6,FALSE),2)),"")</f>
        <v/>
      </c>
      <c r="AF61" s="142" t="str">
        <f t="shared" ref="AF61" si="424">IF($A61="","",IF(AE61="","",IF($K$4="Media aritmética",(AE61&lt;=$B61)*($G$5/$B$5)+(AE61&gt;$B61)*0,IF(ROUND(AVERAGE($C61,$E61,$G61,$I61,$K61,$M61,$O61,$Q61,$S61,$U61,$W61,$Y61,$AA61,$AC61,$AE61),2)-$B61/2&lt;=AE61,IF(ROUND(AVERAGE($C61,$E61,$G61,$I61,$K61,$M61,$O61,$Q61,$S61,$U61,$W61,$Y61,$AA61,$AC61,$AE61),2)+$B61/2&gt;AE61,($G$5/$B$5),0),0))))</f>
        <v/>
      </c>
    </row>
    <row r="62" spans="1:32" s="135" customFormat="1" ht="21" customHeight="1">
      <c r="A62" s="132" t="str">
        <f>+'Presupuesto Consolidado'!A36</f>
        <v>8.2</v>
      </c>
      <c r="B62" s="140">
        <f t="shared" si="241"/>
        <v>9147200</v>
      </c>
      <c r="C62" s="141">
        <f>IF($C$8="Habilitado",IF($A62="","",ROUND(VLOOKUP($A62,'Presupuesto Consolidado'!$A$9:$F$600,6,FALSE),2)),"")</f>
        <v>9147200</v>
      </c>
      <c r="D62" s="142">
        <f t="shared" si="242"/>
        <v>0.45714285714285713</v>
      </c>
      <c r="E62" s="141" t="str">
        <f>IF($E$8="Habilitado",IF($A62="","",ROUND(VLOOKUP($A62,'Presupuesto Consolidado'!$I$9:$N$600,6,FALSE),2)),"")</f>
        <v/>
      </c>
      <c r="F62" s="142" t="str">
        <f t="shared" si="242"/>
        <v/>
      </c>
      <c r="G62" s="141" t="str">
        <f>IF($G$8="Habilitado",IF($A62="","",ROUND(VLOOKUP($A62,'Presupuesto Consolidado'!$Q$9:$V$600,6,FALSE),2)),"")</f>
        <v/>
      </c>
      <c r="H62" s="142" t="str">
        <f t="shared" ref="H62" si="425">IF($A62="","",IF(G62="","",IF($K$4="Media aritmética",(G62&lt;=$B62)*($G$5/$B$5)+(G62&gt;$B62)*0,IF(ROUND(AVERAGE($C62,$E62,$G62,$I62,$K62,$M62,$O62,$Q62,$S62,$U62,$W62,$Y62,$AA62,$AC62,$AE62),2)-$B62/2&lt;=G62,IF(ROUND(AVERAGE($C62,$E62,$G62,$I62,$K62,$M62,$O62,$Q62,$S62,$U62,$W62,$Y62,$AA62,$AC62,$AE62),2)+$B62/2&gt;G62,($G$5/$B$5),0),0))))</f>
        <v/>
      </c>
      <c r="I62" s="141" t="str">
        <f>IF($I$8="Habilitado",IF($A62="","",ROUND(VLOOKUP($A62,'Presupuesto Consolidado'!$Y$9:$AD$600,6,FALSE),2)),"")</f>
        <v/>
      </c>
      <c r="J62" s="142" t="str">
        <f t="shared" ref="J62" si="426">IF($A62="","",IF(I62="","",IF($K$4="Media aritmética",(I62&lt;=$B62)*($G$5/$B$5)+(I62&gt;$B62)*0,IF(ROUND(AVERAGE($C62,$E62,$G62,$I62,$K62,$M62,$O62,$Q62,$S62,$U62,$W62,$Y62,$AA62,$AC62,$AE62),2)-$B62/2&lt;=I62,IF(ROUND(AVERAGE($C62,$E62,$G62,$I62,$K62,$M62,$O62,$Q62,$S62,$U62,$W62,$Y62,$AA62,$AC62,$AE62),2)+$B62/2&gt;I62,($G$5/$B$5),0),0))))</f>
        <v/>
      </c>
      <c r="K62" s="141" t="str">
        <f>IF($K$8="Habilitado",IF($A62="","",ROUND(VLOOKUP($A62,'Presupuesto Consolidado'!#REF!,6,FALSE),2)),"")</f>
        <v/>
      </c>
      <c r="L62" s="142" t="str">
        <f t="shared" ref="L62" si="427">IF($A62="","",IF(K62="","",IF($K$4="Media aritmética",(K62&lt;=$B62)*($G$5/$B$5)+(K62&gt;$B62)*0,IF(ROUND(AVERAGE($C62,$E62,$G62,$I62,$K62,$M62,$O62,$Q62,$S62,$U62,$W62,$Y62,$AA62,$AC62,$AE62),2)-$B62/2&lt;=K62,IF(ROUND(AVERAGE($C62,$E62,$G62,$I62,$K62,$M62,$O62,$Q62,$S62,$U62,$W62,$Y62,$AA62,$AC62,$AE62),2)+$B62/2&gt;K62,($G$5/$B$5),0),0))))</f>
        <v/>
      </c>
      <c r="M62" s="141" t="str">
        <f>IF($M$8="Habilitado",IF($A62="","",ROUND(VLOOKUP($A62,'Presupuesto Consolidado'!#REF!,6,FALSE),2)),"")</f>
        <v/>
      </c>
      <c r="N62" s="142" t="str">
        <f t="shared" ref="N62" si="428">IF($A62="","",IF(M62="","",IF($K$4="Media aritmética",(M62&lt;=$B62)*($G$5/$B$5)+(M62&gt;$B62)*0,IF(ROUND(AVERAGE($C62,$E62,$G62,$I62,$K62,$M62,$O62,$Q62,$S62,$U62,$W62,$Y62,$AA62,$AC62,$AE62),2)-$B62/2&lt;=M62,IF(ROUND(AVERAGE($C62,$E62,$G62,$I62,$K62,$M62,$O62,$Q62,$S62,$U62,$W62,$Y62,$AA62,$AC62,$AE62),2)+$B62/2&gt;M62,($G$5/$B$5),0),0))))</f>
        <v/>
      </c>
      <c r="O62" s="141" t="str">
        <f>IF($O$8="Habilitado",IF($A62="","",ROUND(VLOOKUP($A62,'Presupuesto Consolidado'!#REF!,6,FALSE),2)),"")</f>
        <v/>
      </c>
      <c r="P62" s="142" t="str">
        <f t="shared" ref="P62" si="429">IF($A62="","",IF(O62="","",IF($K$4="Media aritmética",(O62&lt;=$B62)*($G$5/$B$5)+(O62&gt;$B62)*0,IF(ROUND(AVERAGE($C62,$E62,$G62,$I62,$K62,$M62,$O62,$Q62,$S62,$U62,$W62,$Y62,$AA62,$AC62,$AE62),2)-$B62/2&lt;=O62,IF(ROUND(AVERAGE($C62,$E62,$G62,$I62,$K62,$M62,$O62,$Q62,$S62,$U62,$W62,$Y62,$AA62,$AC62,$AE62),2)+$B62/2&gt;O62,($G$5/$B$5),0),0))))</f>
        <v/>
      </c>
      <c r="Q62" s="141" t="str">
        <f>IF($Q$8="Habilitado",IF($A62="","",ROUND(VLOOKUP($A62,'Presupuesto Consolidado'!#REF!,6,FALSE),2)),"")</f>
        <v/>
      </c>
      <c r="R62" s="142" t="str">
        <f t="shared" ref="R62" si="430">IF($A62="","",IF(Q62="","",IF($K$4="Media aritmética",(Q62&lt;=$B62)*($G$5/$B$5)+(Q62&gt;$B62)*0,IF(ROUND(AVERAGE($C62,$E62,$G62,$I62,$K62,$M62,$O62,$Q62,$S62,$U62,$W62,$Y62,$AA62,$AC62,$AE62),2)-$B62/2&lt;=Q62,IF(ROUND(AVERAGE($C62,$E62,$G62,$I62,$K62,$M62,$O62,$Q62,$S62,$U62,$W62,$Y62,$AA62,$AC62,$AE62),2)+$B62/2&gt;Q62,($G$5/$B$5),0),0))))</f>
        <v/>
      </c>
      <c r="S62" s="141" t="str">
        <f>IF($S$8="Habilitado",IF($A62="","",ROUND(VLOOKUP($A62,'Presupuesto Consolidado'!#REF!,6,FALSE),2)),"")</f>
        <v/>
      </c>
      <c r="T62" s="142" t="str">
        <f t="shared" ref="T62" si="431">IF($A62="","",IF(S62="","",IF($K$4="Media aritmética",(S62&lt;=$B62)*($G$5/$B$5)+(S62&gt;$B62)*0,IF(ROUND(AVERAGE($C62,$E62,$G62,$I62,$K62,$M62,$O62,$Q62,$S62,$U62,$W62,$Y62,$AA62,$AC62,$AE62),2)-$B62/2&lt;=S62,IF(ROUND(AVERAGE($C62,$E62,$G62,$I62,$K62,$M62,$O62,$Q62,$S62,$U62,$W62,$Y62,$AA62,$AC62,$AE62),2)+$B62/2&gt;S62,($G$5/$B$5),0),0))))</f>
        <v/>
      </c>
      <c r="U62" s="141" t="str">
        <f>IF($U$8="Habilitado",IF($A62="","",ROUND(VLOOKUP($A62,'Presupuesto Consolidado'!#REF!,6,FALSE),2)),"")</f>
        <v/>
      </c>
      <c r="V62" s="142" t="str">
        <f t="shared" ref="V62" si="432">IF($A62="","",IF(U62="","",IF($K$4="Media aritmética",(U62&lt;=$B62)*($G$5/$B$5)+(U62&gt;$B62)*0,IF(ROUND(AVERAGE($C62,$E62,$G62,$I62,$K62,$M62,$O62,$Q62,$S62,$U62,$W62,$Y62,$AA62,$AC62,$AE62),2)-$B62/2&lt;=U62,IF(ROUND(AVERAGE($C62,$E62,$G62,$I62,$K62,$M62,$O62,$Q62,$S62,$U62,$W62,$Y62,$AA62,$AC62,$AE62),2)+$B62/2&gt;U62,($G$5/$B$5),0),0))))</f>
        <v/>
      </c>
      <c r="W62" s="141" t="str">
        <f>IF($W$8="Habilitado",IF($A62="","",ROUND(VLOOKUP($A62,'Presupuesto Consolidado'!#REF!,6,FALSE),2)),"")</f>
        <v/>
      </c>
      <c r="X62" s="142" t="str">
        <f t="shared" ref="X62" si="433">IF($A62="","",IF(W62="","",IF($K$4="Media aritmética",(W62&lt;=$B62)*($G$5/$B$5)+(W62&gt;$B62)*0,IF(ROUND(AVERAGE($C62,$E62,$G62,$I62,$K62,$M62,$O62,$Q62,$S62,$U62,$W62,$Y62,$AA62,$AC62,$AE62),2)-$B62/2&lt;=W62,IF(ROUND(AVERAGE($C62,$E62,$G62,$I62,$K62,$M62,$O62,$Q62,$S62,$U62,$W62,$Y62,$AA62,$AC62,$AE62),2)+$B62/2&gt;W62,($G$5/$B$5),0),0))))</f>
        <v/>
      </c>
      <c r="Y62" s="141" t="str">
        <f>IF($Y$8="Habilitado",IF($A62="","",ROUND(VLOOKUP($A62,'Presupuesto Consolidado'!#REF!,6,FALSE),2)),"")</f>
        <v/>
      </c>
      <c r="Z62" s="142" t="str">
        <f t="shared" ref="Z62" si="434">IF($A62="","",IF(Y62="","",IF($K$4="Media aritmética",(Y62&lt;=$B62)*($G$5/$B$5)+(Y62&gt;$B62)*0,IF(ROUND(AVERAGE($C62,$E62,$G62,$I62,$K62,$M62,$O62,$Q62,$S62,$U62,$W62,$Y62,$AA62,$AC62,$AE62),2)-$B62/2&lt;=Y62,IF(ROUND(AVERAGE($C62,$E62,$G62,$I62,$K62,$M62,$O62,$Q62,$S62,$U62,$W62,$Y62,$AA62,$AC62,$AE62),2)+$B62/2&gt;Y62,($G$5/$B$5),0),0))))</f>
        <v/>
      </c>
      <c r="AA62" s="141" t="str">
        <f>IF($AA$8="Habilitado",IF($A62="","",ROUND(VLOOKUP($A62,'Presupuesto Consolidado'!#REF!,6,FALSE),2)),"")</f>
        <v/>
      </c>
      <c r="AB62" s="142" t="str">
        <f t="shared" ref="AB62" si="435">IF($A62="","",IF(AA62="","",IF($K$4="Media aritmética",(AA62&lt;=$B62)*($G$5/$B$5)+(AA62&gt;$B62)*0,IF(ROUND(AVERAGE($C62,$E62,$G62,$I62,$K62,$M62,$O62,$Q62,$S62,$U62,$W62,$Y62,$AA62,$AC62,$AE62),2)-$B62/2&lt;=AA62,IF(ROUND(AVERAGE($C62,$E62,$G62,$I62,$K62,$M62,$O62,$Q62,$S62,$U62,$W62,$Y62,$AA62,$AC62,$AE62),2)+$B62/2&gt;AA62,($G$5/$B$5),0),0))))</f>
        <v/>
      </c>
      <c r="AC62" s="141" t="str">
        <f>IF($AC$8="Habilitado",IF($A62="","",ROUND(VLOOKUP($A62,'Presupuesto Consolidado'!#REF!,6,FALSE),2)),"")</f>
        <v/>
      </c>
      <c r="AD62" s="142" t="str">
        <f t="shared" ref="AD62" si="436">IF($A62="","",IF(AC62="","",IF($K$4="Media aritmética",(AC62&lt;=$B62)*($G$5/$B$5)+(AC62&gt;$B62)*0,IF(ROUND(AVERAGE($C62,$E62,$G62,$I62,$K62,$M62,$O62,$Q62,$S62,$U62,$W62,$Y62,$AA62,$AC62,$AE62),2)-$B62/2&lt;=AC62,IF(ROUND(AVERAGE($C62,$E62,$G62,$I62,$K62,$M62,$O62,$Q62,$S62,$U62,$W62,$Y62,$AA62,$AC62,$AE62),2)+$B62/2&gt;AC62,($G$5/$B$5),0),0))))</f>
        <v/>
      </c>
      <c r="AE62" s="141" t="str">
        <f>IF($AE$8="Habilitado",IF($A62="","",ROUND(VLOOKUP($A62,'Presupuesto Consolidado'!#REF!,6,FALSE),2)),"")</f>
        <v/>
      </c>
      <c r="AF62" s="142" t="str">
        <f t="shared" ref="AF62" si="437">IF($A62="","",IF(AE62="","",IF($K$4="Media aritmética",(AE62&lt;=$B62)*($G$5/$B$5)+(AE62&gt;$B62)*0,IF(ROUND(AVERAGE($C62,$E62,$G62,$I62,$K62,$M62,$O62,$Q62,$S62,$U62,$W62,$Y62,$AA62,$AC62,$AE62),2)-$B62/2&lt;=AE62,IF(ROUND(AVERAGE($C62,$E62,$G62,$I62,$K62,$M62,$O62,$Q62,$S62,$U62,$W62,$Y62,$AA62,$AC62,$AE62),2)+$B62/2&gt;AE62,($G$5/$B$5),0),0))))</f>
        <v/>
      </c>
    </row>
    <row r="63" spans="1:32" s="135" customFormat="1" ht="21" customHeight="1">
      <c r="A63" s="132" t="str">
        <f>+'Presupuesto Consolidado'!A37</f>
        <v>8.3</v>
      </c>
      <c r="B63" s="140">
        <f t="shared" si="241"/>
        <v>849002</v>
      </c>
      <c r="C63" s="141">
        <f>IF($C$8="Habilitado",IF($A63="","",ROUND(VLOOKUP($A63,'Presupuesto Consolidado'!$A$9:$F$600,6,FALSE),2)),"")</f>
        <v>849002</v>
      </c>
      <c r="D63" s="142">
        <f t="shared" si="242"/>
        <v>0.45714285714285713</v>
      </c>
      <c r="E63" s="141" t="str">
        <f>IF($E$8="Habilitado",IF($A63="","",ROUND(VLOOKUP($A63,'Presupuesto Consolidado'!$I$9:$N$600,6,FALSE),2)),"")</f>
        <v/>
      </c>
      <c r="F63" s="142" t="str">
        <f t="shared" si="242"/>
        <v/>
      </c>
      <c r="G63" s="141" t="str">
        <f>IF($G$8="Habilitado",IF($A63="","",ROUND(VLOOKUP($A63,'Presupuesto Consolidado'!$Q$9:$V$600,6,FALSE),2)),"")</f>
        <v/>
      </c>
      <c r="H63" s="142" t="str">
        <f t="shared" ref="H63" si="438">IF($A63="","",IF(G63="","",IF($K$4="Media aritmética",(G63&lt;=$B63)*($G$5/$B$5)+(G63&gt;$B63)*0,IF(ROUND(AVERAGE($C63,$E63,$G63,$I63,$K63,$M63,$O63,$Q63,$S63,$U63,$W63,$Y63,$AA63,$AC63,$AE63),2)-$B63/2&lt;=G63,IF(ROUND(AVERAGE($C63,$E63,$G63,$I63,$K63,$M63,$O63,$Q63,$S63,$U63,$W63,$Y63,$AA63,$AC63,$AE63),2)+$B63/2&gt;G63,($G$5/$B$5),0),0))))</f>
        <v/>
      </c>
      <c r="I63" s="141" t="str">
        <f>IF($I$8="Habilitado",IF($A63="","",ROUND(VLOOKUP($A63,'Presupuesto Consolidado'!$Y$9:$AD$600,6,FALSE),2)),"")</f>
        <v/>
      </c>
      <c r="J63" s="142" t="str">
        <f t="shared" ref="J63" si="439">IF($A63="","",IF(I63="","",IF($K$4="Media aritmética",(I63&lt;=$B63)*($G$5/$B$5)+(I63&gt;$B63)*0,IF(ROUND(AVERAGE($C63,$E63,$G63,$I63,$K63,$M63,$O63,$Q63,$S63,$U63,$W63,$Y63,$AA63,$AC63,$AE63),2)-$B63/2&lt;=I63,IF(ROUND(AVERAGE($C63,$E63,$G63,$I63,$K63,$M63,$O63,$Q63,$S63,$U63,$W63,$Y63,$AA63,$AC63,$AE63),2)+$B63/2&gt;I63,($G$5/$B$5),0),0))))</f>
        <v/>
      </c>
      <c r="K63" s="141" t="str">
        <f>IF($K$8="Habilitado",IF($A63="","",ROUND(VLOOKUP($A63,'Presupuesto Consolidado'!#REF!,6,FALSE),2)),"")</f>
        <v/>
      </c>
      <c r="L63" s="142" t="str">
        <f t="shared" ref="L63" si="440">IF($A63="","",IF(K63="","",IF($K$4="Media aritmética",(K63&lt;=$B63)*($G$5/$B$5)+(K63&gt;$B63)*0,IF(ROUND(AVERAGE($C63,$E63,$G63,$I63,$K63,$M63,$O63,$Q63,$S63,$U63,$W63,$Y63,$AA63,$AC63,$AE63),2)-$B63/2&lt;=K63,IF(ROUND(AVERAGE($C63,$E63,$G63,$I63,$K63,$M63,$O63,$Q63,$S63,$U63,$W63,$Y63,$AA63,$AC63,$AE63),2)+$B63/2&gt;K63,($G$5/$B$5),0),0))))</f>
        <v/>
      </c>
      <c r="M63" s="141" t="str">
        <f>IF($M$8="Habilitado",IF($A63="","",ROUND(VLOOKUP($A63,'Presupuesto Consolidado'!#REF!,6,FALSE),2)),"")</f>
        <v/>
      </c>
      <c r="N63" s="142" t="str">
        <f t="shared" ref="N63" si="441">IF($A63="","",IF(M63="","",IF($K$4="Media aritmética",(M63&lt;=$B63)*($G$5/$B$5)+(M63&gt;$B63)*0,IF(ROUND(AVERAGE($C63,$E63,$G63,$I63,$K63,$M63,$O63,$Q63,$S63,$U63,$W63,$Y63,$AA63,$AC63,$AE63),2)-$B63/2&lt;=M63,IF(ROUND(AVERAGE($C63,$E63,$G63,$I63,$K63,$M63,$O63,$Q63,$S63,$U63,$W63,$Y63,$AA63,$AC63,$AE63),2)+$B63/2&gt;M63,($G$5/$B$5),0),0))))</f>
        <v/>
      </c>
      <c r="O63" s="141" t="str">
        <f>IF($O$8="Habilitado",IF($A63="","",ROUND(VLOOKUP($A63,'Presupuesto Consolidado'!#REF!,6,FALSE),2)),"")</f>
        <v/>
      </c>
      <c r="P63" s="142" t="str">
        <f t="shared" ref="P63" si="442">IF($A63="","",IF(O63="","",IF($K$4="Media aritmética",(O63&lt;=$B63)*($G$5/$B$5)+(O63&gt;$B63)*0,IF(ROUND(AVERAGE($C63,$E63,$G63,$I63,$K63,$M63,$O63,$Q63,$S63,$U63,$W63,$Y63,$AA63,$AC63,$AE63),2)-$B63/2&lt;=O63,IF(ROUND(AVERAGE($C63,$E63,$G63,$I63,$K63,$M63,$O63,$Q63,$S63,$U63,$W63,$Y63,$AA63,$AC63,$AE63),2)+$B63/2&gt;O63,($G$5/$B$5),0),0))))</f>
        <v/>
      </c>
      <c r="Q63" s="141" t="str">
        <f>IF($Q$8="Habilitado",IF($A63="","",ROUND(VLOOKUP($A63,'Presupuesto Consolidado'!#REF!,6,FALSE),2)),"")</f>
        <v/>
      </c>
      <c r="R63" s="142" t="str">
        <f t="shared" ref="R63" si="443">IF($A63="","",IF(Q63="","",IF($K$4="Media aritmética",(Q63&lt;=$B63)*($G$5/$B$5)+(Q63&gt;$B63)*0,IF(ROUND(AVERAGE($C63,$E63,$G63,$I63,$K63,$M63,$O63,$Q63,$S63,$U63,$W63,$Y63,$AA63,$AC63,$AE63),2)-$B63/2&lt;=Q63,IF(ROUND(AVERAGE($C63,$E63,$G63,$I63,$K63,$M63,$O63,$Q63,$S63,$U63,$W63,$Y63,$AA63,$AC63,$AE63),2)+$B63/2&gt;Q63,($G$5/$B$5),0),0))))</f>
        <v/>
      </c>
      <c r="S63" s="141" t="str">
        <f>IF($S$8="Habilitado",IF($A63="","",ROUND(VLOOKUP($A63,'Presupuesto Consolidado'!#REF!,6,FALSE),2)),"")</f>
        <v/>
      </c>
      <c r="T63" s="142" t="str">
        <f t="shared" ref="T63" si="444">IF($A63="","",IF(S63="","",IF($K$4="Media aritmética",(S63&lt;=$B63)*($G$5/$B$5)+(S63&gt;$B63)*0,IF(ROUND(AVERAGE($C63,$E63,$G63,$I63,$K63,$M63,$O63,$Q63,$S63,$U63,$W63,$Y63,$AA63,$AC63,$AE63),2)-$B63/2&lt;=S63,IF(ROUND(AVERAGE($C63,$E63,$G63,$I63,$K63,$M63,$O63,$Q63,$S63,$U63,$W63,$Y63,$AA63,$AC63,$AE63),2)+$B63/2&gt;S63,($G$5/$B$5),0),0))))</f>
        <v/>
      </c>
      <c r="U63" s="141" t="str">
        <f>IF($U$8="Habilitado",IF($A63="","",ROUND(VLOOKUP($A63,'Presupuesto Consolidado'!#REF!,6,FALSE),2)),"")</f>
        <v/>
      </c>
      <c r="V63" s="142" t="str">
        <f t="shared" ref="V63" si="445">IF($A63="","",IF(U63="","",IF($K$4="Media aritmética",(U63&lt;=$B63)*($G$5/$B$5)+(U63&gt;$B63)*0,IF(ROUND(AVERAGE($C63,$E63,$G63,$I63,$K63,$M63,$O63,$Q63,$S63,$U63,$W63,$Y63,$AA63,$AC63,$AE63),2)-$B63/2&lt;=U63,IF(ROUND(AVERAGE($C63,$E63,$G63,$I63,$K63,$M63,$O63,$Q63,$S63,$U63,$W63,$Y63,$AA63,$AC63,$AE63),2)+$B63/2&gt;U63,($G$5/$B$5),0),0))))</f>
        <v/>
      </c>
      <c r="W63" s="141" t="str">
        <f>IF($W$8="Habilitado",IF($A63="","",ROUND(VLOOKUP($A63,'Presupuesto Consolidado'!#REF!,6,FALSE),2)),"")</f>
        <v/>
      </c>
      <c r="X63" s="142" t="str">
        <f t="shared" ref="X63" si="446">IF($A63="","",IF(W63="","",IF($K$4="Media aritmética",(W63&lt;=$B63)*($G$5/$B$5)+(W63&gt;$B63)*0,IF(ROUND(AVERAGE($C63,$E63,$G63,$I63,$K63,$M63,$O63,$Q63,$S63,$U63,$W63,$Y63,$AA63,$AC63,$AE63),2)-$B63/2&lt;=W63,IF(ROUND(AVERAGE($C63,$E63,$G63,$I63,$K63,$M63,$O63,$Q63,$S63,$U63,$W63,$Y63,$AA63,$AC63,$AE63),2)+$B63/2&gt;W63,($G$5/$B$5),0),0))))</f>
        <v/>
      </c>
      <c r="Y63" s="141" t="str">
        <f>IF($Y$8="Habilitado",IF($A63="","",ROUND(VLOOKUP($A63,'Presupuesto Consolidado'!#REF!,6,FALSE),2)),"")</f>
        <v/>
      </c>
      <c r="Z63" s="142" t="str">
        <f t="shared" ref="Z63" si="447">IF($A63="","",IF(Y63="","",IF($K$4="Media aritmética",(Y63&lt;=$B63)*($G$5/$B$5)+(Y63&gt;$B63)*0,IF(ROUND(AVERAGE($C63,$E63,$G63,$I63,$K63,$M63,$O63,$Q63,$S63,$U63,$W63,$Y63,$AA63,$AC63,$AE63),2)-$B63/2&lt;=Y63,IF(ROUND(AVERAGE($C63,$E63,$G63,$I63,$K63,$M63,$O63,$Q63,$S63,$U63,$W63,$Y63,$AA63,$AC63,$AE63),2)+$B63/2&gt;Y63,($G$5/$B$5),0),0))))</f>
        <v/>
      </c>
      <c r="AA63" s="141" t="str">
        <f>IF($AA$8="Habilitado",IF($A63="","",ROUND(VLOOKUP($A63,'Presupuesto Consolidado'!#REF!,6,FALSE),2)),"")</f>
        <v/>
      </c>
      <c r="AB63" s="142" t="str">
        <f t="shared" ref="AB63" si="448">IF($A63="","",IF(AA63="","",IF($K$4="Media aritmética",(AA63&lt;=$B63)*($G$5/$B$5)+(AA63&gt;$B63)*0,IF(ROUND(AVERAGE($C63,$E63,$G63,$I63,$K63,$M63,$O63,$Q63,$S63,$U63,$W63,$Y63,$AA63,$AC63,$AE63),2)-$B63/2&lt;=AA63,IF(ROUND(AVERAGE($C63,$E63,$G63,$I63,$K63,$M63,$O63,$Q63,$S63,$U63,$W63,$Y63,$AA63,$AC63,$AE63),2)+$B63/2&gt;AA63,($G$5/$B$5),0),0))))</f>
        <v/>
      </c>
      <c r="AC63" s="141" t="str">
        <f>IF($AC$8="Habilitado",IF($A63="","",ROUND(VLOOKUP($A63,'Presupuesto Consolidado'!#REF!,6,FALSE),2)),"")</f>
        <v/>
      </c>
      <c r="AD63" s="142" t="str">
        <f t="shared" ref="AD63" si="449">IF($A63="","",IF(AC63="","",IF($K$4="Media aritmética",(AC63&lt;=$B63)*($G$5/$B$5)+(AC63&gt;$B63)*0,IF(ROUND(AVERAGE($C63,$E63,$G63,$I63,$K63,$M63,$O63,$Q63,$S63,$U63,$W63,$Y63,$AA63,$AC63,$AE63),2)-$B63/2&lt;=AC63,IF(ROUND(AVERAGE($C63,$E63,$G63,$I63,$K63,$M63,$O63,$Q63,$S63,$U63,$W63,$Y63,$AA63,$AC63,$AE63),2)+$B63/2&gt;AC63,($G$5/$B$5),0),0))))</f>
        <v/>
      </c>
      <c r="AE63" s="141" t="str">
        <f>IF($AE$8="Habilitado",IF($A63="","",ROUND(VLOOKUP($A63,'Presupuesto Consolidado'!#REF!,6,FALSE),2)),"")</f>
        <v/>
      </c>
      <c r="AF63" s="142" t="str">
        <f t="shared" ref="AF63" si="450">IF($A63="","",IF(AE63="","",IF($K$4="Media aritmética",(AE63&lt;=$B63)*($G$5/$B$5)+(AE63&gt;$B63)*0,IF(ROUND(AVERAGE($C63,$E63,$G63,$I63,$K63,$M63,$O63,$Q63,$S63,$U63,$W63,$Y63,$AA63,$AC63,$AE63),2)-$B63/2&lt;=AE63,IF(ROUND(AVERAGE($C63,$E63,$G63,$I63,$K63,$M63,$O63,$Q63,$S63,$U63,$W63,$Y63,$AA63,$AC63,$AE63),2)+$B63/2&gt;AE63,($G$5/$B$5),0),0))))</f>
        <v/>
      </c>
    </row>
    <row r="64" spans="1:32" s="135" customFormat="1" ht="21" customHeight="1">
      <c r="A64" s="132" t="str">
        <f>+'Presupuesto Consolidado'!A39</f>
        <v>8.4.1</v>
      </c>
      <c r="B64" s="140">
        <f t="shared" si="241"/>
        <v>57695780</v>
      </c>
      <c r="C64" s="141">
        <f>IF($C$8="Habilitado",IF($A64="","",ROUND(VLOOKUP($A64,'Presupuesto Consolidado'!$A$9:$F$600,6,FALSE),2)),"")</f>
        <v>57695780</v>
      </c>
      <c r="D64" s="142">
        <f t="shared" si="242"/>
        <v>0.45714285714285713</v>
      </c>
      <c r="E64" s="141" t="str">
        <f>IF($E$8="Habilitado",IF($A64="","",ROUND(VLOOKUP($A64,'Presupuesto Consolidado'!$I$9:$N$600,6,FALSE),2)),"")</f>
        <v/>
      </c>
      <c r="F64" s="142" t="str">
        <f t="shared" si="242"/>
        <v/>
      </c>
      <c r="G64" s="141" t="str">
        <f>IF($G$8="Habilitado",IF($A64="","",ROUND(VLOOKUP($A64,'Presupuesto Consolidado'!$Q$9:$V$600,6,FALSE),2)),"")</f>
        <v/>
      </c>
      <c r="H64" s="142" t="str">
        <f t="shared" ref="H64" si="451">IF($A64="","",IF(G64="","",IF($K$4="Media aritmética",(G64&lt;=$B64)*($G$5/$B$5)+(G64&gt;$B64)*0,IF(ROUND(AVERAGE($C64,$E64,$G64,$I64,$K64,$M64,$O64,$Q64,$S64,$U64,$W64,$Y64,$AA64,$AC64,$AE64),2)-$B64/2&lt;=G64,IF(ROUND(AVERAGE($C64,$E64,$G64,$I64,$K64,$M64,$O64,$Q64,$S64,$U64,$W64,$Y64,$AA64,$AC64,$AE64),2)+$B64/2&gt;G64,($G$5/$B$5),0),0))))</f>
        <v/>
      </c>
      <c r="I64" s="141" t="str">
        <f>IF($I$8="Habilitado",IF($A64="","",ROUND(VLOOKUP($A64,'Presupuesto Consolidado'!$Y$9:$AD$600,6,FALSE),2)),"")</f>
        <v/>
      </c>
      <c r="J64" s="142" t="str">
        <f t="shared" ref="J64" si="452">IF($A64="","",IF(I64="","",IF($K$4="Media aritmética",(I64&lt;=$B64)*($G$5/$B$5)+(I64&gt;$B64)*0,IF(ROUND(AVERAGE($C64,$E64,$G64,$I64,$K64,$M64,$O64,$Q64,$S64,$U64,$W64,$Y64,$AA64,$AC64,$AE64),2)-$B64/2&lt;=I64,IF(ROUND(AVERAGE($C64,$E64,$G64,$I64,$K64,$M64,$O64,$Q64,$S64,$U64,$W64,$Y64,$AA64,$AC64,$AE64),2)+$B64/2&gt;I64,($G$5/$B$5),0),0))))</f>
        <v/>
      </c>
      <c r="K64" s="141" t="str">
        <f>IF($K$8="Habilitado",IF($A64="","",ROUND(VLOOKUP($A64,'Presupuesto Consolidado'!#REF!,6,FALSE),2)),"")</f>
        <v/>
      </c>
      <c r="L64" s="142" t="str">
        <f t="shared" ref="L64" si="453">IF($A64="","",IF(K64="","",IF($K$4="Media aritmética",(K64&lt;=$B64)*($G$5/$B$5)+(K64&gt;$B64)*0,IF(ROUND(AVERAGE($C64,$E64,$G64,$I64,$K64,$M64,$O64,$Q64,$S64,$U64,$W64,$Y64,$AA64,$AC64,$AE64),2)-$B64/2&lt;=K64,IF(ROUND(AVERAGE($C64,$E64,$G64,$I64,$K64,$M64,$O64,$Q64,$S64,$U64,$W64,$Y64,$AA64,$AC64,$AE64),2)+$B64/2&gt;K64,($G$5/$B$5),0),0))))</f>
        <v/>
      </c>
      <c r="M64" s="141" t="str">
        <f>IF($M$8="Habilitado",IF($A64="","",ROUND(VLOOKUP($A64,'Presupuesto Consolidado'!#REF!,6,FALSE),2)),"")</f>
        <v/>
      </c>
      <c r="N64" s="142" t="str">
        <f t="shared" ref="N64" si="454">IF($A64="","",IF(M64="","",IF($K$4="Media aritmética",(M64&lt;=$B64)*($G$5/$B$5)+(M64&gt;$B64)*0,IF(ROUND(AVERAGE($C64,$E64,$G64,$I64,$K64,$M64,$O64,$Q64,$S64,$U64,$W64,$Y64,$AA64,$AC64,$AE64),2)-$B64/2&lt;=M64,IF(ROUND(AVERAGE($C64,$E64,$G64,$I64,$K64,$M64,$O64,$Q64,$S64,$U64,$W64,$Y64,$AA64,$AC64,$AE64),2)+$B64/2&gt;M64,($G$5/$B$5),0),0))))</f>
        <v/>
      </c>
      <c r="O64" s="141" t="str">
        <f>IF($O$8="Habilitado",IF($A64="","",ROUND(VLOOKUP($A64,'Presupuesto Consolidado'!#REF!,6,FALSE),2)),"")</f>
        <v/>
      </c>
      <c r="P64" s="142" t="str">
        <f t="shared" ref="P64" si="455">IF($A64="","",IF(O64="","",IF($K$4="Media aritmética",(O64&lt;=$B64)*($G$5/$B$5)+(O64&gt;$B64)*0,IF(ROUND(AVERAGE($C64,$E64,$G64,$I64,$K64,$M64,$O64,$Q64,$S64,$U64,$W64,$Y64,$AA64,$AC64,$AE64),2)-$B64/2&lt;=O64,IF(ROUND(AVERAGE($C64,$E64,$G64,$I64,$K64,$M64,$O64,$Q64,$S64,$U64,$W64,$Y64,$AA64,$AC64,$AE64),2)+$B64/2&gt;O64,($G$5/$B$5),0),0))))</f>
        <v/>
      </c>
      <c r="Q64" s="141" t="str">
        <f>IF($Q$8="Habilitado",IF($A64="","",ROUND(VLOOKUP($A64,'Presupuesto Consolidado'!#REF!,6,FALSE),2)),"")</f>
        <v/>
      </c>
      <c r="R64" s="142" t="str">
        <f t="shared" ref="R64" si="456">IF($A64="","",IF(Q64="","",IF($K$4="Media aritmética",(Q64&lt;=$B64)*($G$5/$B$5)+(Q64&gt;$B64)*0,IF(ROUND(AVERAGE($C64,$E64,$G64,$I64,$K64,$M64,$O64,$Q64,$S64,$U64,$W64,$Y64,$AA64,$AC64,$AE64),2)-$B64/2&lt;=Q64,IF(ROUND(AVERAGE($C64,$E64,$G64,$I64,$K64,$M64,$O64,$Q64,$S64,$U64,$W64,$Y64,$AA64,$AC64,$AE64),2)+$B64/2&gt;Q64,($G$5/$B$5),0),0))))</f>
        <v/>
      </c>
      <c r="S64" s="141" t="str">
        <f>IF($S$8="Habilitado",IF($A64="","",ROUND(VLOOKUP($A64,'Presupuesto Consolidado'!#REF!,6,FALSE),2)),"")</f>
        <v/>
      </c>
      <c r="T64" s="142" t="str">
        <f t="shared" ref="T64" si="457">IF($A64="","",IF(S64="","",IF($K$4="Media aritmética",(S64&lt;=$B64)*($G$5/$B$5)+(S64&gt;$B64)*0,IF(ROUND(AVERAGE($C64,$E64,$G64,$I64,$K64,$M64,$O64,$Q64,$S64,$U64,$W64,$Y64,$AA64,$AC64,$AE64),2)-$B64/2&lt;=S64,IF(ROUND(AVERAGE($C64,$E64,$G64,$I64,$K64,$M64,$O64,$Q64,$S64,$U64,$W64,$Y64,$AA64,$AC64,$AE64),2)+$B64/2&gt;S64,($G$5/$B$5),0),0))))</f>
        <v/>
      </c>
      <c r="U64" s="141" t="str">
        <f>IF($U$8="Habilitado",IF($A64="","",ROUND(VLOOKUP($A64,'Presupuesto Consolidado'!#REF!,6,FALSE),2)),"")</f>
        <v/>
      </c>
      <c r="V64" s="142" t="str">
        <f t="shared" ref="V64" si="458">IF($A64="","",IF(U64="","",IF($K$4="Media aritmética",(U64&lt;=$B64)*($G$5/$B$5)+(U64&gt;$B64)*0,IF(ROUND(AVERAGE($C64,$E64,$G64,$I64,$K64,$M64,$O64,$Q64,$S64,$U64,$W64,$Y64,$AA64,$AC64,$AE64),2)-$B64/2&lt;=U64,IF(ROUND(AVERAGE($C64,$E64,$G64,$I64,$K64,$M64,$O64,$Q64,$S64,$U64,$W64,$Y64,$AA64,$AC64,$AE64),2)+$B64/2&gt;U64,($G$5/$B$5),0),0))))</f>
        <v/>
      </c>
      <c r="W64" s="141" t="str">
        <f>IF($W$8="Habilitado",IF($A64="","",ROUND(VLOOKUP($A64,'Presupuesto Consolidado'!#REF!,6,FALSE),2)),"")</f>
        <v/>
      </c>
      <c r="X64" s="142" t="str">
        <f t="shared" ref="X64" si="459">IF($A64="","",IF(W64="","",IF($K$4="Media aritmética",(W64&lt;=$B64)*($G$5/$B$5)+(W64&gt;$B64)*0,IF(ROUND(AVERAGE($C64,$E64,$G64,$I64,$K64,$M64,$O64,$Q64,$S64,$U64,$W64,$Y64,$AA64,$AC64,$AE64),2)-$B64/2&lt;=W64,IF(ROUND(AVERAGE($C64,$E64,$G64,$I64,$K64,$M64,$O64,$Q64,$S64,$U64,$W64,$Y64,$AA64,$AC64,$AE64),2)+$B64/2&gt;W64,($G$5/$B$5),0),0))))</f>
        <v/>
      </c>
      <c r="Y64" s="141" t="str">
        <f>IF($Y$8="Habilitado",IF($A64="","",ROUND(VLOOKUP($A64,'Presupuesto Consolidado'!#REF!,6,FALSE),2)),"")</f>
        <v/>
      </c>
      <c r="Z64" s="142" t="str">
        <f t="shared" ref="Z64" si="460">IF($A64="","",IF(Y64="","",IF($K$4="Media aritmética",(Y64&lt;=$B64)*($G$5/$B$5)+(Y64&gt;$B64)*0,IF(ROUND(AVERAGE($C64,$E64,$G64,$I64,$K64,$M64,$O64,$Q64,$S64,$U64,$W64,$Y64,$AA64,$AC64,$AE64),2)-$B64/2&lt;=Y64,IF(ROUND(AVERAGE($C64,$E64,$G64,$I64,$K64,$M64,$O64,$Q64,$S64,$U64,$W64,$Y64,$AA64,$AC64,$AE64),2)+$B64/2&gt;Y64,($G$5/$B$5),0),0))))</f>
        <v/>
      </c>
      <c r="AA64" s="141" t="str">
        <f>IF($AA$8="Habilitado",IF($A64="","",ROUND(VLOOKUP($A64,'Presupuesto Consolidado'!#REF!,6,FALSE),2)),"")</f>
        <v/>
      </c>
      <c r="AB64" s="142" t="str">
        <f t="shared" ref="AB64" si="461">IF($A64="","",IF(AA64="","",IF($K$4="Media aritmética",(AA64&lt;=$B64)*($G$5/$B$5)+(AA64&gt;$B64)*0,IF(ROUND(AVERAGE($C64,$E64,$G64,$I64,$K64,$M64,$O64,$Q64,$S64,$U64,$W64,$Y64,$AA64,$AC64,$AE64),2)-$B64/2&lt;=AA64,IF(ROUND(AVERAGE($C64,$E64,$G64,$I64,$K64,$M64,$O64,$Q64,$S64,$U64,$W64,$Y64,$AA64,$AC64,$AE64),2)+$B64/2&gt;AA64,($G$5/$B$5),0),0))))</f>
        <v/>
      </c>
      <c r="AC64" s="141" t="str">
        <f>IF($AC$8="Habilitado",IF($A64="","",ROUND(VLOOKUP($A64,'Presupuesto Consolidado'!#REF!,6,FALSE),2)),"")</f>
        <v/>
      </c>
      <c r="AD64" s="142" t="str">
        <f t="shared" ref="AD64" si="462">IF($A64="","",IF(AC64="","",IF($K$4="Media aritmética",(AC64&lt;=$B64)*($G$5/$B$5)+(AC64&gt;$B64)*0,IF(ROUND(AVERAGE($C64,$E64,$G64,$I64,$K64,$M64,$O64,$Q64,$S64,$U64,$W64,$Y64,$AA64,$AC64,$AE64),2)-$B64/2&lt;=AC64,IF(ROUND(AVERAGE($C64,$E64,$G64,$I64,$K64,$M64,$O64,$Q64,$S64,$U64,$W64,$Y64,$AA64,$AC64,$AE64),2)+$B64/2&gt;AC64,($G$5/$B$5),0),0))))</f>
        <v/>
      </c>
      <c r="AE64" s="141" t="str">
        <f>IF($AE$8="Habilitado",IF($A64="","",ROUND(VLOOKUP($A64,'Presupuesto Consolidado'!#REF!,6,FALSE),2)),"")</f>
        <v/>
      </c>
      <c r="AF64" s="142" t="str">
        <f t="shared" ref="AF64" si="463">IF($A64="","",IF(AE64="","",IF($K$4="Media aritmética",(AE64&lt;=$B64)*($G$5/$B$5)+(AE64&gt;$B64)*0,IF(ROUND(AVERAGE($C64,$E64,$G64,$I64,$K64,$M64,$O64,$Q64,$S64,$U64,$W64,$Y64,$AA64,$AC64,$AE64),2)-$B64/2&lt;=AE64,IF(ROUND(AVERAGE($C64,$E64,$G64,$I64,$K64,$M64,$O64,$Q64,$S64,$U64,$W64,$Y64,$AA64,$AC64,$AE64),2)+$B64/2&gt;AE64,($G$5/$B$5),0),0))))</f>
        <v/>
      </c>
    </row>
    <row r="65" spans="1:32" s="135" customFormat="1" ht="21" customHeight="1">
      <c r="A65" s="132" t="str">
        <f>+'Presupuesto Consolidado'!A43</f>
        <v>9.1.2</v>
      </c>
      <c r="B65" s="140">
        <f t="shared" si="241"/>
        <v>1552500</v>
      </c>
      <c r="C65" s="141">
        <f>IF($C$8="Habilitado",IF($A65="","",ROUND(VLOOKUP($A65,'Presupuesto Consolidado'!$A$9:$F$600,6,FALSE),2)),"")</f>
        <v>1552500</v>
      </c>
      <c r="D65" s="142">
        <f t="shared" si="242"/>
        <v>0.45714285714285713</v>
      </c>
      <c r="E65" s="141" t="str">
        <f>IF($E$8="Habilitado",IF($A65="","",ROUND(VLOOKUP($A65,'Presupuesto Consolidado'!$I$9:$N$600,6,FALSE),2)),"")</f>
        <v/>
      </c>
      <c r="F65" s="142" t="str">
        <f t="shared" si="242"/>
        <v/>
      </c>
      <c r="G65" s="141" t="str">
        <f>IF($G$8="Habilitado",IF($A65="","",ROUND(VLOOKUP($A65,'Presupuesto Consolidado'!$Q$9:$V$600,6,FALSE),2)),"")</f>
        <v/>
      </c>
      <c r="H65" s="142" t="str">
        <f t="shared" ref="H65" si="464">IF($A65="","",IF(G65="","",IF($K$4="Media aritmética",(G65&lt;=$B65)*($G$5/$B$5)+(G65&gt;$B65)*0,IF(ROUND(AVERAGE($C65,$E65,$G65,$I65,$K65,$M65,$O65,$Q65,$S65,$U65,$W65,$Y65,$AA65,$AC65,$AE65),2)-$B65/2&lt;=G65,IF(ROUND(AVERAGE($C65,$E65,$G65,$I65,$K65,$M65,$O65,$Q65,$S65,$U65,$W65,$Y65,$AA65,$AC65,$AE65),2)+$B65/2&gt;G65,($G$5/$B$5),0),0))))</f>
        <v/>
      </c>
      <c r="I65" s="141" t="str">
        <f>IF($I$8="Habilitado",IF($A65="","",ROUND(VLOOKUP($A65,'Presupuesto Consolidado'!$Y$9:$AD$600,6,FALSE),2)),"")</f>
        <v/>
      </c>
      <c r="J65" s="142" t="str">
        <f t="shared" ref="J65" si="465">IF($A65="","",IF(I65="","",IF($K$4="Media aritmética",(I65&lt;=$B65)*($G$5/$B$5)+(I65&gt;$B65)*0,IF(ROUND(AVERAGE($C65,$E65,$G65,$I65,$K65,$M65,$O65,$Q65,$S65,$U65,$W65,$Y65,$AA65,$AC65,$AE65),2)-$B65/2&lt;=I65,IF(ROUND(AVERAGE($C65,$E65,$G65,$I65,$K65,$M65,$O65,$Q65,$S65,$U65,$W65,$Y65,$AA65,$AC65,$AE65),2)+$B65/2&gt;I65,($G$5/$B$5),0),0))))</f>
        <v/>
      </c>
      <c r="K65" s="141" t="str">
        <f>IF($K$8="Habilitado",IF($A65="","",ROUND(VLOOKUP($A65,'Presupuesto Consolidado'!#REF!,6,FALSE),2)),"")</f>
        <v/>
      </c>
      <c r="L65" s="142" t="str">
        <f t="shared" ref="L65" si="466">IF($A65="","",IF(K65="","",IF($K$4="Media aritmética",(K65&lt;=$B65)*($G$5/$B$5)+(K65&gt;$B65)*0,IF(ROUND(AVERAGE($C65,$E65,$G65,$I65,$K65,$M65,$O65,$Q65,$S65,$U65,$W65,$Y65,$AA65,$AC65,$AE65),2)-$B65/2&lt;=K65,IF(ROUND(AVERAGE($C65,$E65,$G65,$I65,$K65,$M65,$O65,$Q65,$S65,$U65,$W65,$Y65,$AA65,$AC65,$AE65),2)+$B65/2&gt;K65,($G$5/$B$5),0),0))))</f>
        <v/>
      </c>
      <c r="M65" s="141" t="str">
        <f>IF($M$8="Habilitado",IF($A65="","",ROUND(VLOOKUP($A65,'Presupuesto Consolidado'!#REF!,6,FALSE),2)),"")</f>
        <v/>
      </c>
      <c r="N65" s="142" t="str">
        <f t="shared" ref="N65" si="467">IF($A65="","",IF(M65="","",IF($K$4="Media aritmética",(M65&lt;=$B65)*($G$5/$B$5)+(M65&gt;$B65)*0,IF(ROUND(AVERAGE($C65,$E65,$G65,$I65,$K65,$M65,$O65,$Q65,$S65,$U65,$W65,$Y65,$AA65,$AC65,$AE65),2)-$B65/2&lt;=M65,IF(ROUND(AVERAGE($C65,$E65,$G65,$I65,$K65,$M65,$O65,$Q65,$S65,$U65,$W65,$Y65,$AA65,$AC65,$AE65),2)+$B65/2&gt;M65,($G$5/$B$5),0),0))))</f>
        <v/>
      </c>
      <c r="O65" s="141" t="str">
        <f>IF($O$8="Habilitado",IF($A65="","",ROUND(VLOOKUP($A65,'Presupuesto Consolidado'!#REF!,6,FALSE),2)),"")</f>
        <v/>
      </c>
      <c r="P65" s="142" t="str">
        <f t="shared" ref="P65" si="468">IF($A65="","",IF(O65="","",IF($K$4="Media aritmética",(O65&lt;=$B65)*($G$5/$B$5)+(O65&gt;$B65)*0,IF(ROUND(AVERAGE($C65,$E65,$G65,$I65,$K65,$M65,$O65,$Q65,$S65,$U65,$W65,$Y65,$AA65,$AC65,$AE65),2)-$B65/2&lt;=O65,IF(ROUND(AVERAGE($C65,$E65,$G65,$I65,$K65,$M65,$O65,$Q65,$S65,$U65,$W65,$Y65,$AA65,$AC65,$AE65),2)+$B65/2&gt;O65,($G$5/$B$5),0),0))))</f>
        <v/>
      </c>
      <c r="Q65" s="141" t="str">
        <f>IF($Q$8="Habilitado",IF($A65="","",ROUND(VLOOKUP($A65,'Presupuesto Consolidado'!#REF!,6,FALSE),2)),"")</f>
        <v/>
      </c>
      <c r="R65" s="142" t="str">
        <f t="shared" ref="R65" si="469">IF($A65="","",IF(Q65="","",IF($K$4="Media aritmética",(Q65&lt;=$B65)*($G$5/$B$5)+(Q65&gt;$B65)*0,IF(ROUND(AVERAGE($C65,$E65,$G65,$I65,$K65,$M65,$O65,$Q65,$S65,$U65,$W65,$Y65,$AA65,$AC65,$AE65),2)-$B65/2&lt;=Q65,IF(ROUND(AVERAGE($C65,$E65,$G65,$I65,$K65,$M65,$O65,$Q65,$S65,$U65,$W65,$Y65,$AA65,$AC65,$AE65),2)+$B65/2&gt;Q65,($G$5/$B$5),0),0))))</f>
        <v/>
      </c>
      <c r="S65" s="141" t="str">
        <f>IF($S$8="Habilitado",IF($A65="","",ROUND(VLOOKUP($A65,'Presupuesto Consolidado'!#REF!,6,FALSE),2)),"")</f>
        <v/>
      </c>
      <c r="T65" s="142" t="str">
        <f t="shared" ref="T65" si="470">IF($A65="","",IF(S65="","",IF($K$4="Media aritmética",(S65&lt;=$B65)*($G$5/$B$5)+(S65&gt;$B65)*0,IF(ROUND(AVERAGE($C65,$E65,$G65,$I65,$K65,$M65,$O65,$Q65,$S65,$U65,$W65,$Y65,$AA65,$AC65,$AE65),2)-$B65/2&lt;=S65,IF(ROUND(AVERAGE($C65,$E65,$G65,$I65,$K65,$M65,$O65,$Q65,$S65,$U65,$W65,$Y65,$AA65,$AC65,$AE65),2)+$B65/2&gt;S65,($G$5/$B$5),0),0))))</f>
        <v/>
      </c>
      <c r="U65" s="141" t="str">
        <f>IF($U$8="Habilitado",IF($A65="","",ROUND(VLOOKUP($A65,'Presupuesto Consolidado'!#REF!,6,FALSE),2)),"")</f>
        <v/>
      </c>
      <c r="V65" s="142" t="str">
        <f t="shared" ref="V65" si="471">IF($A65="","",IF(U65="","",IF($K$4="Media aritmética",(U65&lt;=$B65)*($G$5/$B$5)+(U65&gt;$B65)*0,IF(ROUND(AVERAGE($C65,$E65,$G65,$I65,$K65,$M65,$O65,$Q65,$S65,$U65,$W65,$Y65,$AA65,$AC65,$AE65),2)-$B65/2&lt;=U65,IF(ROUND(AVERAGE($C65,$E65,$G65,$I65,$K65,$M65,$O65,$Q65,$S65,$U65,$W65,$Y65,$AA65,$AC65,$AE65),2)+$B65/2&gt;U65,($G$5/$B$5),0),0))))</f>
        <v/>
      </c>
      <c r="W65" s="141" t="str">
        <f>IF($W$8="Habilitado",IF($A65="","",ROUND(VLOOKUP($A65,'Presupuesto Consolidado'!#REF!,6,FALSE),2)),"")</f>
        <v/>
      </c>
      <c r="X65" s="142" t="str">
        <f t="shared" ref="X65" si="472">IF($A65="","",IF(W65="","",IF($K$4="Media aritmética",(W65&lt;=$B65)*($G$5/$B$5)+(W65&gt;$B65)*0,IF(ROUND(AVERAGE($C65,$E65,$G65,$I65,$K65,$M65,$O65,$Q65,$S65,$U65,$W65,$Y65,$AA65,$AC65,$AE65),2)-$B65/2&lt;=W65,IF(ROUND(AVERAGE($C65,$E65,$G65,$I65,$K65,$M65,$O65,$Q65,$S65,$U65,$W65,$Y65,$AA65,$AC65,$AE65),2)+$B65/2&gt;W65,($G$5/$B$5),0),0))))</f>
        <v/>
      </c>
      <c r="Y65" s="141" t="str">
        <f>IF($Y$8="Habilitado",IF($A65="","",ROUND(VLOOKUP($A65,'Presupuesto Consolidado'!#REF!,6,FALSE),2)),"")</f>
        <v/>
      </c>
      <c r="Z65" s="142" t="str">
        <f t="shared" ref="Z65" si="473">IF($A65="","",IF(Y65="","",IF($K$4="Media aritmética",(Y65&lt;=$B65)*($G$5/$B$5)+(Y65&gt;$B65)*0,IF(ROUND(AVERAGE($C65,$E65,$G65,$I65,$K65,$M65,$O65,$Q65,$S65,$U65,$W65,$Y65,$AA65,$AC65,$AE65),2)-$B65/2&lt;=Y65,IF(ROUND(AVERAGE($C65,$E65,$G65,$I65,$K65,$M65,$O65,$Q65,$S65,$U65,$W65,$Y65,$AA65,$AC65,$AE65),2)+$B65/2&gt;Y65,($G$5/$B$5),0),0))))</f>
        <v/>
      </c>
      <c r="AA65" s="141" t="str">
        <f>IF($AA$8="Habilitado",IF($A65="","",ROUND(VLOOKUP($A65,'Presupuesto Consolidado'!#REF!,6,FALSE),2)),"")</f>
        <v/>
      </c>
      <c r="AB65" s="142" t="str">
        <f t="shared" ref="AB65" si="474">IF($A65="","",IF(AA65="","",IF($K$4="Media aritmética",(AA65&lt;=$B65)*($G$5/$B$5)+(AA65&gt;$B65)*0,IF(ROUND(AVERAGE($C65,$E65,$G65,$I65,$K65,$M65,$O65,$Q65,$S65,$U65,$W65,$Y65,$AA65,$AC65,$AE65),2)-$B65/2&lt;=AA65,IF(ROUND(AVERAGE($C65,$E65,$G65,$I65,$K65,$M65,$O65,$Q65,$S65,$U65,$W65,$Y65,$AA65,$AC65,$AE65),2)+$B65/2&gt;AA65,($G$5/$B$5),0),0))))</f>
        <v/>
      </c>
      <c r="AC65" s="141" t="str">
        <f>IF($AC$8="Habilitado",IF($A65="","",ROUND(VLOOKUP($A65,'Presupuesto Consolidado'!#REF!,6,FALSE),2)),"")</f>
        <v/>
      </c>
      <c r="AD65" s="142" t="str">
        <f t="shared" ref="AD65" si="475">IF($A65="","",IF(AC65="","",IF($K$4="Media aritmética",(AC65&lt;=$B65)*($G$5/$B$5)+(AC65&gt;$B65)*0,IF(ROUND(AVERAGE($C65,$E65,$G65,$I65,$K65,$M65,$O65,$Q65,$S65,$U65,$W65,$Y65,$AA65,$AC65,$AE65),2)-$B65/2&lt;=AC65,IF(ROUND(AVERAGE($C65,$E65,$G65,$I65,$K65,$M65,$O65,$Q65,$S65,$U65,$W65,$Y65,$AA65,$AC65,$AE65),2)+$B65/2&gt;AC65,($G$5/$B$5),0),0))))</f>
        <v/>
      </c>
      <c r="AE65" s="141" t="str">
        <f>IF($AE$8="Habilitado",IF($A65="","",ROUND(VLOOKUP($A65,'Presupuesto Consolidado'!#REF!,6,FALSE),2)),"")</f>
        <v/>
      </c>
      <c r="AF65" s="142" t="str">
        <f t="shared" ref="AF65" si="476">IF($A65="","",IF(AE65="","",IF($K$4="Media aritmética",(AE65&lt;=$B65)*($G$5/$B$5)+(AE65&gt;$B65)*0,IF(ROUND(AVERAGE($C65,$E65,$G65,$I65,$K65,$M65,$O65,$Q65,$S65,$U65,$W65,$Y65,$AA65,$AC65,$AE65),2)-$B65/2&lt;=AE65,IF(ROUND(AVERAGE($C65,$E65,$G65,$I65,$K65,$M65,$O65,$Q65,$S65,$U65,$W65,$Y65,$AA65,$AC65,$AE65),2)+$B65/2&gt;AE65,($G$5/$B$5),0),0))))</f>
        <v/>
      </c>
    </row>
    <row r="66" spans="1:32" s="135" customFormat="1" ht="21" customHeight="1">
      <c r="A66" s="132" t="str">
        <f>+'Presupuesto Consolidado'!A44</f>
        <v>9.1.3</v>
      </c>
      <c r="B66" s="140">
        <f t="shared" si="241"/>
        <v>33120000</v>
      </c>
      <c r="C66" s="141">
        <f>IF($C$8="Habilitado",IF($A66="","",ROUND(VLOOKUP($A66,'Presupuesto Consolidado'!$A$9:$F$600,6,FALSE),2)),"")</f>
        <v>33120000</v>
      </c>
      <c r="D66" s="142">
        <f t="shared" si="242"/>
        <v>0.45714285714285713</v>
      </c>
      <c r="E66" s="141" t="str">
        <f>IF($E$8="Habilitado",IF($A66="","",ROUND(VLOOKUP($A66,'Presupuesto Consolidado'!$I$9:$N$600,6,FALSE),2)),"")</f>
        <v/>
      </c>
      <c r="F66" s="142" t="str">
        <f t="shared" si="242"/>
        <v/>
      </c>
      <c r="G66" s="141" t="str">
        <f>IF($G$8="Habilitado",IF($A66="","",ROUND(VLOOKUP($A66,'Presupuesto Consolidado'!$Q$9:$V$600,6,FALSE),2)),"")</f>
        <v/>
      </c>
      <c r="H66" s="142" t="str">
        <f t="shared" ref="H66" si="477">IF($A66="","",IF(G66="","",IF($K$4="Media aritmética",(G66&lt;=$B66)*($G$5/$B$5)+(G66&gt;$B66)*0,IF(ROUND(AVERAGE($C66,$E66,$G66,$I66,$K66,$M66,$O66,$Q66,$S66,$U66,$W66,$Y66,$AA66,$AC66,$AE66),2)-$B66/2&lt;=G66,IF(ROUND(AVERAGE($C66,$E66,$G66,$I66,$K66,$M66,$O66,$Q66,$S66,$U66,$W66,$Y66,$AA66,$AC66,$AE66),2)+$B66/2&gt;G66,($G$5/$B$5),0),0))))</f>
        <v/>
      </c>
      <c r="I66" s="141" t="str">
        <f>IF($I$8="Habilitado",IF($A66="","",ROUND(VLOOKUP($A66,'Presupuesto Consolidado'!$Y$9:$AD$600,6,FALSE),2)),"")</f>
        <v/>
      </c>
      <c r="J66" s="142" t="str">
        <f t="shared" ref="J66" si="478">IF($A66="","",IF(I66="","",IF($K$4="Media aritmética",(I66&lt;=$B66)*($G$5/$B$5)+(I66&gt;$B66)*0,IF(ROUND(AVERAGE($C66,$E66,$G66,$I66,$K66,$M66,$O66,$Q66,$S66,$U66,$W66,$Y66,$AA66,$AC66,$AE66),2)-$B66/2&lt;=I66,IF(ROUND(AVERAGE($C66,$E66,$G66,$I66,$K66,$M66,$O66,$Q66,$S66,$U66,$W66,$Y66,$AA66,$AC66,$AE66),2)+$B66/2&gt;I66,($G$5/$B$5),0),0))))</f>
        <v/>
      </c>
      <c r="K66" s="141" t="str">
        <f>IF($K$8="Habilitado",IF($A66="","",ROUND(VLOOKUP($A66,'Presupuesto Consolidado'!#REF!,6,FALSE),2)),"")</f>
        <v/>
      </c>
      <c r="L66" s="142" t="str">
        <f t="shared" ref="L66" si="479">IF($A66="","",IF(K66="","",IF($K$4="Media aritmética",(K66&lt;=$B66)*($G$5/$B$5)+(K66&gt;$B66)*0,IF(ROUND(AVERAGE($C66,$E66,$G66,$I66,$K66,$M66,$O66,$Q66,$S66,$U66,$W66,$Y66,$AA66,$AC66,$AE66),2)-$B66/2&lt;=K66,IF(ROUND(AVERAGE($C66,$E66,$G66,$I66,$K66,$M66,$O66,$Q66,$S66,$U66,$W66,$Y66,$AA66,$AC66,$AE66),2)+$B66/2&gt;K66,($G$5/$B$5),0),0))))</f>
        <v/>
      </c>
      <c r="M66" s="141" t="str">
        <f>IF($M$8="Habilitado",IF($A66="","",ROUND(VLOOKUP($A66,'Presupuesto Consolidado'!#REF!,6,FALSE),2)),"")</f>
        <v/>
      </c>
      <c r="N66" s="142" t="str">
        <f t="shared" ref="N66" si="480">IF($A66="","",IF(M66="","",IF($K$4="Media aritmética",(M66&lt;=$B66)*($G$5/$B$5)+(M66&gt;$B66)*0,IF(ROUND(AVERAGE($C66,$E66,$G66,$I66,$K66,$M66,$O66,$Q66,$S66,$U66,$W66,$Y66,$AA66,$AC66,$AE66),2)-$B66/2&lt;=M66,IF(ROUND(AVERAGE($C66,$E66,$G66,$I66,$K66,$M66,$O66,$Q66,$S66,$U66,$W66,$Y66,$AA66,$AC66,$AE66),2)+$B66/2&gt;M66,($G$5/$B$5),0),0))))</f>
        <v/>
      </c>
      <c r="O66" s="141" t="str">
        <f>IF($O$8="Habilitado",IF($A66="","",ROUND(VLOOKUP($A66,'Presupuesto Consolidado'!#REF!,6,FALSE),2)),"")</f>
        <v/>
      </c>
      <c r="P66" s="142" t="str">
        <f t="shared" ref="P66" si="481">IF($A66="","",IF(O66="","",IF($K$4="Media aritmética",(O66&lt;=$B66)*($G$5/$B$5)+(O66&gt;$B66)*0,IF(ROUND(AVERAGE($C66,$E66,$G66,$I66,$K66,$M66,$O66,$Q66,$S66,$U66,$W66,$Y66,$AA66,$AC66,$AE66),2)-$B66/2&lt;=O66,IF(ROUND(AVERAGE($C66,$E66,$G66,$I66,$K66,$M66,$O66,$Q66,$S66,$U66,$W66,$Y66,$AA66,$AC66,$AE66),2)+$B66/2&gt;O66,($G$5/$B$5),0),0))))</f>
        <v/>
      </c>
      <c r="Q66" s="141" t="str">
        <f>IF($Q$8="Habilitado",IF($A66="","",ROUND(VLOOKUP($A66,'Presupuesto Consolidado'!#REF!,6,FALSE),2)),"")</f>
        <v/>
      </c>
      <c r="R66" s="142" t="str">
        <f t="shared" ref="R66" si="482">IF($A66="","",IF(Q66="","",IF($K$4="Media aritmética",(Q66&lt;=$B66)*($G$5/$B$5)+(Q66&gt;$B66)*0,IF(ROUND(AVERAGE($C66,$E66,$G66,$I66,$K66,$M66,$O66,$Q66,$S66,$U66,$W66,$Y66,$AA66,$AC66,$AE66),2)-$B66/2&lt;=Q66,IF(ROUND(AVERAGE($C66,$E66,$G66,$I66,$K66,$M66,$O66,$Q66,$S66,$U66,$W66,$Y66,$AA66,$AC66,$AE66),2)+$B66/2&gt;Q66,($G$5/$B$5),0),0))))</f>
        <v/>
      </c>
      <c r="S66" s="141" t="str">
        <f>IF($S$8="Habilitado",IF($A66="","",ROUND(VLOOKUP($A66,'Presupuesto Consolidado'!#REF!,6,FALSE),2)),"")</f>
        <v/>
      </c>
      <c r="T66" s="142" t="str">
        <f t="shared" ref="T66" si="483">IF($A66="","",IF(S66="","",IF($K$4="Media aritmética",(S66&lt;=$B66)*($G$5/$B$5)+(S66&gt;$B66)*0,IF(ROUND(AVERAGE($C66,$E66,$G66,$I66,$K66,$M66,$O66,$Q66,$S66,$U66,$W66,$Y66,$AA66,$AC66,$AE66),2)-$B66/2&lt;=S66,IF(ROUND(AVERAGE($C66,$E66,$G66,$I66,$K66,$M66,$O66,$Q66,$S66,$U66,$W66,$Y66,$AA66,$AC66,$AE66),2)+$B66/2&gt;S66,($G$5/$B$5),0),0))))</f>
        <v/>
      </c>
      <c r="U66" s="141" t="str">
        <f>IF($U$8="Habilitado",IF($A66="","",ROUND(VLOOKUP($A66,'Presupuesto Consolidado'!#REF!,6,FALSE),2)),"")</f>
        <v/>
      </c>
      <c r="V66" s="142" t="str">
        <f t="shared" ref="V66" si="484">IF($A66="","",IF(U66="","",IF($K$4="Media aritmética",(U66&lt;=$B66)*($G$5/$B$5)+(U66&gt;$B66)*0,IF(ROUND(AVERAGE($C66,$E66,$G66,$I66,$K66,$M66,$O66,$Q66,$S66,$U66,$W66,$Y66,$AA66,$AC66,$AE66),2)-$B66/2&lt;=U66,IF(ROUND(AVERAGE($C66,$E66,$G66,$I66,$K66,$M66,$O66,$Q66,$S66,$U66,$W66,$Y66,$AA66,$AC66,$AE66),2)+$B66/2&gt;U66,($G$5/$B$5),0),0))))</f>
        <v/>
      </c>
      <c r="W66" s="141" t="str">
        <f>IF($W$8="Habilitado",IF($A66="","",ROUND(VLOOKUP($A66,'Presupuesto Consolidado'!#REF!,6,FALSE),2)),"")</f>
        <v/>
      </c>
      <c r="X66" s="142" t="str">
        <f t="shared" ref="X66" si="485">IF($A66="","",IF(W66="","",IF($K$4="Media aritmética",(W66&lt;=$B66)*($G$5/$B$5)+(W66&gt;$B66)*0,IF(ROUND(AVERAGE($C66,$E66,$G66,$I66,$K66,$M66,$O66,$Q66,$S66,$U66,$W66,$Y66,$AA66,$AC66,$AE66),2)-$B66/2&lt;=W66,IF(ROUND(AVERAGE($C66,$E66,$G66,$I66,$K66,$M66,$O66,$Q66,$S66,$U66,$W66,$Y66,$AA66,$AC66,$AE66),2)+$B66/2&gt;W66,($G$5/$B$5),0),0))))</f>
        <v/>
      </c>
      <c r="Y66" s="141" t="str">
        <f>IF($Y$8="Habilitado",IF($A66="","",ROUND(VLOOKUP($A66,'Presupuesto Consolidado'!#REF!,6,FALSE),2)),"")</f>
        <v/>
      </c>
      <c r="Z66" s="142" t="str">
        <f t="shared" ref="Z66" si="486">IF($A66="","",IF(Y66="","",IF($K$4="Media aritmética",(Y66&lt;=$B66)*($G$5/$B$5)+(Y66&gt;$B66)*0,IF(ROUND(AVERAGE($C66,$E66,$G66,$I66,$K66,$M66,$O66,$Q66,$S66,$U66,$W66,$Y66,$AA66,$AC66,$AE66),2)-$B66/2&lt;=Y66,IF(ROUND(AVERAGE($C66,$E66,$G66,$I66,$K66,$M66,$O66,$Q66,$S66,$U66,$W66,$Y66,$AA66,$AC66,$AE66),2)+$B66/2&gt;Y66,($G$5/$B$5),0),0))))</f>
        <v/>
      </c>
      <c r="AA66" s="141" t="str">
        <f>IF($AA$8="Habilitado",IF($A66="","",ROUND(VLOOKUP($A66,'Presupuesto Consolidado'!#REF!,6,FALSE),2)),"")</f>
        <v/>
      </c>
      <c r="AB66" s="142" t="str">
        <f t="shared" ref="AB66" si="487">IF($A66="","",IF(AA66="","",IF($K$4="Media aritmética",(AA66&lt;=$B66)*($G$5/$B$5)+(AA66&gt;$B66)*0,IF(ROUND(AVERAGE($C66,$E66,$G66,$I66,$K66,$M66,$O66,$Q66,$S66,$U66,$W66,$Y66,$AA66,$AC66,$AE66),2)-$B66/2&lt;=AA66,IF(ROUND(AVERAGE($C66,$E66,$G66,$I66,$K66,$M66,$O66,$Q66,$S66,$U66,$W66,$Y66,$AA66,$AC66,$AE66),2)+$B66/2&gt;AA66,($G$5/$B$5),0),0))))</f>
        <v/>
      </c>
      <c r="AC66" s="141" t="str">
        <f>IF($AC$8="Habilitado",IF($A66="","",ROUND(VLOOKUP($A66,'Presupuesto Consolidado'!#REF!,6,FALSE),2)),"")</f>
        <v/>
      </c>
      <c r="AD66" s="142" t="str">
        <f t="shared" ref="AD66" si="488">IF($A66="","",IF(AC66="","",IF($K$4="Media aritmética",(AC66&lt;=$B66)*($G$5/$B$5)+(AC66&gt;$B66)*0,IF(ROUND(AVERAGE($C66,$E66,$G66,$I66,$K66,$M66,$O66,$Q66,$S66,$U66,$W66,$Y66,$AA66,$AC66,$AE66),2)-$B66/2&lt;=AC66,IF(ROUND(AVERAGE($C66,$E66,$G66,$I66,$K66,$M66,$O66,$Q66,$S66,$U66,$W66,$Y66,$AA66,$AC66,$AE66),2)+$B66/2&gt;AC66,($G$5/$B$5),0),0))))</f>
        <v/>
      </c>
      <c r="AE66" s="141" t="str">
        <f>IF($AE$8="Habilitado",IF($A66="","",ROUND(VLOOKUP($A66,'Presupuesto Consolidado'!#REF!,6,FALSE),2)),"")</f>
        <v/>
      </c>
      <c r="AF66" s="142" t="str">
        <f t="shared" ref="AF66" si="489">IF($A66="","",IF(AE66="","",IF($K$4="Media aritmética",(AE66&lt;=$B66)*($G$5/$B$5)+(AE66&gt;$B66)*0,IF(ROUND(AVERAGE($C66,$E66,$G66,$I66,$K66,$M66,$O66,$Q66,$S66,$U66,$W66,$Y66,$AA66,$AC66,$AE66),2)-$B66/2&lt;=AE66,IF(ROUND(AVERAGE($C66,$E66,$G66,$I66,$K66,$M66,$O66,$Q66,$S66,$U66,$W66,$Y66,$AA66,$AC66,$AE66),2)+$B66/2&gt;AE66,($G$5/$B$5),0),0))))</f>
        <v/>
      </c>
    </row>
    <row r="67" spans="1:32" s="135" customFormat="1" ht="21" customHeight="1">
      <c r="A67" s="132" t="str">
        <f>+'Presupuesto Consolidado'!A46</f>
        <v>9.1.5</v>
      </c>
      <c r="B67" s="140">
        <f t="shared" si="241"/>
        <v>3105000</v>
      </c>
      <c r="C67" s="141">
        <f>IF($C$8="Habilitado",IF($A67="","",ROUND(VLOOKUP($A67,'Presupuesto Consolidado'!$A$9:$F$600,6,FALSE),2)),"")</f>
        <v>3105000</v>
      </c>
      <c r="D67" s="142">
        <f t="shared" si="242"/>
        <v>0.45714285714285713</v>
      </c>
      <c r="E67" s="141" t="str">
        <f>IF($E$8="Habilitado",IF($A67="","",ROUND(VLOOKUP($A67,'Presupuesto Consolidado'!$I$9:$N$600,6,FALSE),2)),"")</f>
        <v/>
      </c>
      <c r="F67" s="142" t="str">
        <f t="shared" si="242"/>
        <v/>
      </c>
      <c r="G67" s="141" t="str">
        <f>IF($G$8="Habilitado",IF($A67="","",ROUND(VLOOKUP($A67,'Presupuesto Consolidado'!$Q$9:$V$600,6,FALSE),2)),"")</f>
        <v/>
      </c>
      <c r="H67" s="142" t="str">
        <f t="shared" ref="H67" si="490">IF($A67="","",IF(G67="","",IF($K$4="Media aritmética",(G67&lt;=$B67)*($G$5/$B$5)+(G67&gt;$B67)*0,IF(ROUND(AVERAGE($C67,$E67,$G67,$I67,$K67,$M67,$O67,$Q67,$S67,$U67,$W67,$Y67,$AA67,$AC67,$AE67),2)-$B67/2&lt;=G67,IF(ROUND(AVERAGE($C67,$E67,$G67,$I67,$K67,$M67,$O67,$Q67,$S67,$U67,$W67,$Y67,$AA67,$AC67,$AE67),2)+$B67/2&gt;G67,($G$5/$B$5),0),0))))</f>
        <v/>
      </c>
      <c r="I67" s="141" t="str">
        <f>IF($I$8="Habilitado",IF($A67="","",ROUND(VLOOKUP($A67,'Presupuesto Consolidado'!$Y$9:$AD$600,6,FALSE),2)),"")</f>
        <v/>
      </c>
      <c r="J67" s="142" t="str">
        <f t="shared" ref="J67" si="491">IF($A67="","",IF(I67="","",IF($K$4="Media aritmética",(I67&lt;=$B67)*($G$5/$B$5)+(I67&gt;$B67)*0,IF(ROUND(AVERAGE($C67,$E67,$G67,$I67,$K67,$M67,$O67,$Q67,$S67,$U67,$W67,$Y67,$AA67,$AC67,$AE67),2)-$B67/2&lt;=I67,IF(ROUND(AVERAGE($C67,$E67,$G67,$I67,$K67,$M67,$O67,$Q67,$S67,$U67,$W67,$Y67,$AA67,$AC67,$AE67),2)+$B67/2&gt;I67,($G$5/$B$5),0),0))))</f>
        <v/>
      </c>
      <c r="K67" s="141" t="str">
        <f>IF($K$8="Habilitado",IF($A67="","",ROUND(VLOOKUP($A67,'Presupuesto Consolidado'!#REF!,6,FALSE),2)),"")</f>
        <v/>
      </c>
      <c r="L67" s="142" t="str">
        <f t="shared" ref="L67" si="492">IF($A67="","",IF(K67="","",IF($K$4="Media aritmética",(K67&lt;=$B67)*($G$5/$B$5)+(K67&gt;$B67)*0,IF(ROUND(AVERAGE($C67,$E67,$G67,$I67,$K67,$M67,$O67,$Q67,$S67,$U67,$W67,$Y67,$AA67,$AC67,$AE67),2)-$B67/2&lt;=K67,IF(ROUND(AVERAGE($C67,$E67,$G67,$I67,$K67,$M67,$O67,$Q67,$S67,$U67,$W67,$Y67,$AA67,$AC67,$AE67),2)+$B67/2&gt;K67,($G$5/$B$5),0),0))))</f>
        <v/>
      </c>
      <c r="M67" s="141" t="str">
        <f>IF($M$8="Habilitado",IF($A67="","",ROUND(VLOOKUP($A67,'Presupuesto Consolidado'!#REF!,6,FALSE),2)),"")</f>
        <v/>
      </c>
      <c r="N67" s="142" t="str">
        <f t="shared" ref="N67" si="493">IF($A67="","",IF(M67="","",IF($K$4="Media aritmética",(M67&lt;=$B67)*($G$5/$B$5)+(M67&gt;$B67)*0,IF(ROUND(AVERAGE($C67,$E67,$G67,$I67,$K67,$M67,$O67,$Q67,$S67,$U67,$W67,$Y67,$AA67,$AC67,$AE67),2)-$B67/2&lt;=M67,IF(ROUND(AVERAGE($C67,$E67,$G67,$I67,$K67,$M67,$O67,$Q67,$S67,$U67,$W67,$Y67,$AA67,$AC67,$AE67),2)+$B67/2&gt;M67,($G$5/$B$5),0),0))))</f>
        <v/>
      </c>
      <c r="O67" s="141" t="str">
        <f>IF($O$8="Habilitado",IF($A67="","",ROUND(VLOOKUP($A67,'Presupuesto Consolidado'!#REF!,6,FALSE),2)),"")</f>
        <v/>
      </c>
      <c r="P67" s="142" t="str">
        <f t="shared" ref="P67" si="494">IF($A67="","",IF(O67="","",IF($K$4="Media aritmética",(O67&lt;=$B67)*($G$5/$B$5)+(O67&gt;$B67)*0,IF(ROUND(AVERAGE($C67,$E67,$G67,$I67,$K67,$M67,$O67,$Q67,$S67,$U67,$W67,$Y67,$AA67,$AC67,$AE67),2)-$B67/2&lt;=O67,IF(ROUND(AVERAGE($C67,$E67,$G67,$I67,$K67,$M67,$O67,$Q67,$S67,$U67,$W67,$Y67,$AA67,$AC67,$AE67),2)+$B67/2&gt;O67,($G$5/$B$5),0),0))))</f>
        <v/>
      </c>
      <c r="Q67" s="141" t="str">
        <f>IF($Q$8="Habilitado",IF($A67="","",ROUND(VLOOKUP($A67,'Presupuesto Consolidado'!#REF!,6,FALSE),2)),"")</f>
        <v/>
      </c>
      <c r="R67" s="142" t="str">
        <f t="shared" ref="R67" si="495">IF($A67="","",IF(Q67="","",IF($K$4="Media aritmética",(Q67&lt;=$B67)*($G$5/$B$5)+(Q67&gt;$B67)*0,IF(ROUND(AVERAGE($C67,$E67,$G67,$I67,$K67,$M67,$O67,$Q67,$S67,$U67,$W67,$Y67,$AA67,$AC67,$AE67),2)-$B67/2&lt;=Q67,IF(ROUND(AVERAGE($C67,$E67,$G67,$I67,$K67,$M67,$O67,$Q67,$S67,$U67,$W67,$Y67,$AA67,$AC67,$AE67),2)+$B67/2&gt;Q67,($G$5/$B$5),0),0))))</f>
        <v/>
      </c>
      <c r="S67" s="141" t="str">
        <f>IF($S$8="Habilitado",IF($A67="","",ROUND(VLOOKUP($A67,'Presupuesto Consolidado'!#REF!,6,FALSE),2)),"")</f>
        <v/>
      </c>
      <c r="T67" s="142" t="str">
        <f t="shared" ref="T67" si="496">IF($A67="","",IF(S67="","",IF($K$4="Media aritmética",(S67&lt;=$B67)*($G$5/$B$5)+(S67&gt;$B67)*0,IF(ROUND(AVERAGE($C67,$E67,$G67,$I67,$K67,$M67,$O67,$Q67,$S67,$U67,$W67,$Y67,$AA67,$AC67,$AE67),2)-$B67/2&lt;=S67,IF(ROUND(AVERAGE($C67,$E67,$G67,$I67,$K67,$M67,$O67,$Q67,$S67,$U67,$W67,$Y67,$AA67,$AC67,$AE67),2)+$B67/2&gt;S67,($G$5/$B$5),0),0))))</f>
        <v/>
      </c>
      <c r="U67" s="141" t="str">
        <f>IF($U$8="Habilitado",IF($A67="","",ROUND(VLOOKUP($A67,'Presupuesto Consolidado'!#REF!,6,FALSE),2)),"")</f>
        <v/>
      </c>
      <c r="V67" s="142" t="str">
        <f t="shared" ref="V67" si="497">IF($A67="","",IF(U67="","",IF($K$4="Media aritmética",(U67&lt;=$B67)*($G$5/$B$5)+(U67&gt;$B67)*0,IF(ROUND(AVERAGE($C67,$E67,$G67,$I67,$K67,$M67,$O67,$Q67,$S67,$U67,$W67,$Y67,$AA67,$AC67,$AE67),2)-$B67/2&lt;=U67,IF(ROUND(AVERAGE($C67,$E67,$G67,$I67,$K67,$M67,$O67,$Q67,$S67,$U67,$W67,$Y67,$AA67,$AC67,$AE67),2)+$B67/2&gt;U67,($G$5/$B$5),0),0))))</f>
        <v/>
      </c>
      <c r="W67" s="141" t="str">
        <f>IF($W$8="Habilitado",IF($A67="","",ROUND(VLOOKUP($A67,'Presupuesto Consolidado'!#REF!,6,FALSE),2)),"")</f>
        <v/>
      </c>
      <c r="X67" s="142" t="str">
        <f t="shared" ref="X67" si="498">IF($A67="","",IF(W67="","",IF($K$4="Media aritmética",(W67&lt;=$B67)*($G$5/$B$5)+(W67&gt;$B67)*0,IF(ROUND(AVERAGE($C67,$E67,$G67,$I67,$K67,$M67,$O67,$Q67,$S67,$U67,$W67,$Y67,$AA67,$AC67,$AE67),2)-$B67/2&lt;=W67,IF(ROUND(AVERAGE($C67,$E67,$G67,$I67,$K67,$M67,$O67,$Q67,$S67,$U67,$W67,$Y67,$AA67,$AC67,$AE67),2)+$B67/2&gt;W67,($G$5/$B$5),0),0))))</f>
        <v/>
      </c>
      <c r="Y67" s="141" t="str">
        <f>IF($Y$8="Habilitado",IF($A67="","",ROUND(VLOOKUP($A67,'Presupuesto Consolidado'!#REF!,6,FALSE),2)),"")</f>
        <v/>
      </c>
      <c r="Z67" s="142" t="str">
        <f t="shared" ref="Z67" si="499">IF($A67="","",IF(Y67="","",IF($K$4="Media aritmética",(Y67&lt;=$B67)*($G$5/$B$5)+(Y67&gt;$B67)*0,IF(ROUND(AVERAGE($C67,$E67,$G67,$I67,$K67,$M67,$O67,$Q67,$S67,$U67,$W67,$Y67,$AA67,$AC67,$AE67),2)-$B67/2&lt;=Y67,IF(ROUND(AVERAGE($C67,$E67,$G67,$I67,$K67,$M67,$O67,$Q67,$S67,$U67,$W67,$Y67,$AA67,$AC67,$AE67),2)+$B67/2&gt;Y67,($G$5/$B$5),0),0))))</f>
        <v/>
      </c>
      <c r="AA67" s="141" t="str">
        <f>IF($AA$8="Habilitado",IF($A67="","",ROUND(VLOOKUP($A67,'Presupuesto Consolidado'!#REF!,6,FALSE),2)),"")</f>
        <v/>
      </c>
      <c r="AB67" s="142" t="str">
        <f t="shared" ref="AB67" si="500">IF($A67="","",IF(AA67="","",IF($K$4="Media aritmética",(AA67&lt;=$B67)*($G$5/$B$5)+(AA67&gt;$B67)*0,IF(ROUND(AVERAGE($C67,$E67,$G67,$I67,$K67,$M67,$O67,$Q67,$S67,$U67,$W67,$Y67,$AA67,$AC67,$AE67),2)-$B67/2&lt;=AA67,IF(ROUND(AVERAGE($C67,$E67,$G67,$I67,$K67,$M67,$O67,$Q67,$S67,$U67,$W67,$Y67,$AA67,$AC67,$AE67),2)+$B67/2&gt;AA67,($G$5/$B$5),0),0))))</f>
        <v/>
      </c>
      <c r="AC67" s="141" t="str">
        <f>IF($AC$8="Habilitado",IF($A67="","",ROUND(VLOOKUP($A67,'Presupuesto Consolidado'!#REF!,6,FALSE),2)),"")</f>
        <v/>
      </c>
      <c r="AD67" s="142" t="str">
        <f t="shared" ref="AD67" si="501">IF($A67="","",IF(AC67="","",IF($K$4="Media aritmética",(AC67&lt;=$B67)*($G$5/$B$5)+(AC67&gt;$B67)*0,IF(ROUND(AVERAGE($C67,$E67,$G67,$I67,$K67,$M67,$O67,$Q67,$S67,$U67,$W67,$Y67,$AA67,$AC67,$AE67),2)-$B67/2&lt;=AC67,IF(ROUND(AVERAGE($C67,$E67,$G67,$I67,$K67,$M67,$O67,$Q67,$S67,$U67,$W67,$Y67,$AA67,$AC67,$AE67),2)+$B67/2&gt;AC67,($G$5/$B$5),0),0))))</f>
        <v/>
      </c>
      <c r="AE67" s="141" t="str">
        <f>IF($AE$8="Habilitado",IF($A67="","",ROUND(VLOOKUP($A67,'Presupuesto Consolidado'!#REF!,6,FALSE),2)),"")</f>
        <v/>
      </c>
      <c r="AF67" s="142" t="str">
        <f t="shared" ref="AF67" si="502">IF($A67="","",IF(AE67="","",IF($K$4="Media aritmética",(AE67&lt;=$B67)*($G$5/$B$5)+(AE67&gt;$B67)*0,IF(ROUND(AVERAGE($C67,$E67,$G67,$I67,$K67,$M67,$O67,$Q67,$S67,$U67,$W67,$Y67,$AA67,$AC67,$AE67),2)-$B67/2&lt;=AE67,IF(ROUND(AVERAGE($C67,$E67,$G67,$I67,$K67,$M67,$O67,$Q67,$S67,$U67,$W67,$Y67,$AA67,$AC67,$AE67),2)+$B67/2&gt;AE67,($G$5/$B$5),0),0))))</f>
        <v/>
      </c>
    </row>
    <row r="68" spans="1:32" s="135" customFormat="1" ht="21" customHeight="1">
      <c r="A68" s="132" t="str">
        <f>+'Presupuesto Consolidado'!A47</f>
        <v>9.1.6</v>
      </c>
      <c r="B68" s="140">
        <f t="shared" si="241"/>
        <v>3105000</v>
      </c>
      <c r="C68" s="141">
        <f>IF($C$8="Habilitado",IF($A68="","",ROUND(VLOOKUP($A68,'Presupuesto Consolidado'!$A$9:$F$600,6,FALSE),2)),"")</f>
        <v>3105000</v>
      </c>
      <c r="D68" s="142">
        <f t="shared" si="242"/>
        <v>0.45714285714285713</v>
      </c>
      <c r="E68" s="141" t="str">
        <f>IF($E$8="Habilitado",IF($A68="","",ROUND(VLOOKUP($A68,'Presupuesto Consolidado'!$I$9:$N$600,6,FALSE),2)),"")</f>
        <v/>
      </c>
      <c r="F68" s="142" t="str">
        <f t="shared" si="242"/>
        <v/>
      </c>
      <c r="G68" s="141" t="str">
        <f>IF($G$8="Habilitado",IF($A68="","",ROUND(VLOOKUP($A68,'Presupuesto Consolidado'!$Q$9:$V$600,6,FALSE),2)),"")</f>
        <v/>
      </c>
      <c r="H68" s="142" t="str">
        <f t="shared" ref="H68" si="503">IF($A68="","",IF(G68="","",IF($K$4="Media aritmética",(G68&lt;=$B68)*($G$5/$B$5)+(G68&gt;$B68)*0,IF(ROUND(AVERAGE($C68,$E68,$G68,$I68,$K68,$M68,$O68,$Q68,$S68,$U68,$W68,$Y68,$AA68,$AC68,$AE68),2)-$B68/2&lt;=G68,IF(ROUND(AVERAGE($C68,$E68,$G68,$I68,$K68,$M68,$O68,$Q68,$S68,$U68,$W68,$Y68,$AA68,$AC68,$AE68),2)+$B68/2&gt;G68,($G$5/$B$5),0),0))))</f>
        <v/>
      </c>
      <c r="I68" s="141" t="str">
        <f>IF($I$8="Habilitado",IF($A68="","",ROUND(VLOOKUP($A68,'Presupuesto Consolidado'!$Y$9:$AD$600,6,FALSE),2)),"")</f>
        <v/>
      </c>
      <c r="J68" s="142" t="str">
        <f t="shared" ref="J68" si="504">IF($A68="","",IF(I68="","",IF($K$4="Media aritmética",(I68&lt;=$B68)*($G$5/$B$5)+(I68&gt;$B68)*0,IF(ROUND(AVERAGE($C68,$E68,$G68,$I68,$K68,$M68,$O68,$Q68,$S68,$U68,$W68,$Y68,$AA68,$AC68,$AE68),2)-$B68/2&lt;=I68,IF(ROUND(AVERAGE($C68,$E68,$G68,$I68,$K68,$M68,$O68,$Q68,$S68,$U68,$W68,$Y68,$AA68,$AC68,$AE68),2)+$B68/2&gt;I68,($G$5/$B$5),0),0))))</f>
        <v/>
      </c>
      <c r="K68" s="141" t="str">
        <f>IF($K$8="Habilitado",IF($A68="","",ROUND(VLOOKUP($A68,'Presupuesto Consolidado'!#REF!,6,FALSE),2)),"")</f>
        <v/>
      </c>
      <c r="L68" s="142" t="str">
        <f t="shared" ref="L68" si="505">IF($A68="","",IF(K68="","",IF($K$4="Media aritmética",(K68&lt;=$B68)*($G$5/$B$5)+(K68&gt;$B68)*0,IF(ROUND(AVERAGE($C68,$E68,$G68,$I68,$K68,$M68,$O68,$Q68,$S68,$U68,$W68,$Y68,$AA68,$AC68,$AE68),2)-$B68/2&lt;=K68,IF(ROUND(AVERAGE($C68,$E68,$G68,$I68,$K68,$M68,$O68,$Q68,$S68,$U68,$W68,$Y68,$AA68,$AC68,$AE68),2)+$B68/2&gt;K68,($G$5/$B$5),0),0))))</f>
        <v/>
      </c>
      <c r="M68" s="141" t="str">
        <f>IF($M$8="Habilitado",IF($A68="","",ROUND(VLOOKUP($A68,'Presupuesto Consolidado'!#REF!,6,FALSE),2)),"")</f>
        <v/>
      </c>
      <c r="N68" s="142" t="str">
        <f t="shared" ref="N68" si="506">IF($A68="","",IF(M68="","",IF($K$4="Media aritmética",(M68&lt;=$B68)*($G$5/$B$5)+(M68&gt;$B68)*0,IF(ROUND(AVERAGE($C68,$E68,$G68,$I68,$K68,$M68,$O68,$Q68,$S68,$U68,$W68,$Y68,$AA68,$AC68,$AE68),2)-$B68/2&lt;=M68,IF(ROUND(AVERAGE($C68,$E68,$G68,$I68,$K68,$M68,$O68,$Q68,$S68,$U68,$W68,$Y68,$AA68,$AC68,$AE68),2)+$B68/2&gt;M68,($G$5/$B$5),0),0))))</f>
        <v/>
      </c>
      <c r="O68" s="141" t="str">
        <f>IF($O$8="Habilitado",IF($A68="","",ROUND(VLOOKUP($A68,'Presupuesto Consolidado'!#REF!,6,FALSE),2)),"")</f>
        <v/>
      </c>
      <c r="P68" s="142" t="str">
        <f t="shared" ref="P68" si="507">IF($A68="","",IF(O68="","",IF($K$4="Media aritmética",(O68&lt;=$B68)*($G$5/$B$5)+(O68&gt;$B68)*0,IF(ROUND(AVERAGE($C68,$E68,$G68,$I68,$K68,$M68,$O68,$Q68,$S68,$U68,$W68,$Y68,$AA68,$AC68,$AE68),2)-$B68/2&lt;=O68,IF(ROUND(AVERAGE($C68,$E68,$G68,$I68,$K68,$M68,$O68,$Q68,$S68,$U68,$W68,$Y68,$AA68,$AC68,$AE68),2)+$B68/2&gt;O68,($G$5/$B$5),0),0))))</f>
        <v/>
      </c>
      <c r="Q68" s="141" t="str">
        <f>IF($Q$8="Habilitado",IF($A68="","",ROUND(VLOOKUP($A68,'Presupuesto Consolidado'!#REF!,6,FALSE),2)),"")</f>
        <v/>
      </c>
      <c r="R68" s="142" t="str">
        <f t="shared" ref="R68" si="508">IF($A68="","",IF(Q68="","",IF($K$4="Media aritmética",(Q68&lt;=$B68)*($G$5/$B$5)+(Q68&gt;$B68)*0,IF(ROUND(AVERAGE($C68,$E68,$G68,$I68,$K68,$M68,$O68,$Q68,$S68,$U68,$W68,$Y68,$AA68,$AC68,$AE68),2)-$B68/2&lt;=Q68,IF(ROUND(AVERAGE($C68,$E68,$G68,$I68,$K68,$M68,$O68,$Q68,$S68,$U68,$W68,$Y68,$AA68,$AC68,$AE68),2)+$B68/2&gt;Q68,($G$5/$B$5),0),0))))</f>
        <v/>
      </c>
      <c r="S68" s="141" t="str">
        <f>IF($S$8="Habilitado",IF($A68="","",ROUND(VLOOKUP($A68,'Presupuesto Consolidado'!#REF!,6,FALSE),2)),"")</f>
        <v/>
      </c>
      <c r="T68" s="142" t="str">
        <f t="shared" ref="T68" si="509">IF($A68="","",IF(S68="","",IF($K$4="Media aritmética",(S68&lt;=$B68)*($G$5/$B$5)+(S68&gt;$B68)*0,IF(ROUND(AVERAGE($C68,$E68,$G68,$I68,$K68,$M68,$O68,$Q68,$S68,$U68,$W68,$Y68,$AA68,$AC68,$AE68),2)-$B68/2&lt;=S68,IF(ROUND(AVERAGE($C68,$E68,$G68,$I68,$K68,$M68,$O68,$Q68,$S68,$U68,$W68,$Y68,$AA68,$AC68,$AE68),2)+$B68/2&gt;S68,($G$5/$B$5),0),0))))</f>
        <v/>
      </c>
      <c r="U68" s="141" t="str">
        <f>IF($U$8="Habilitado",IF($A68="","",ROUND(VLOOKUP($A68,'Presupuesto Consolidado'!#REF!,6,FALSE),2)),"")</f>
        <v/>
      </c>
      <c r="V68" s="142" t="str">
        <f t="shared" ref="V68" si="510">IF($A68="","",IF(U68="","",IF($K$4="Media aritmética",(U68&lt;=$B68)*($G$5/$B$5)+(U68&gt;$B68)*0,IF(ROUND(AVERAGE($C68,$E68,$G68,$I68,$K68,$M68,$O68,$Q68,$S68,$U68,$W68,$Y68,$AA68,$AC68,$AE68),2)-$B68/2&lt;=U68,IF(ROUND(AVERAGE($C68,$E68,$G68,$I68,$K68,$M68,$O68,$Q68,$S68,$U68,$W68,$Y68,$AA68,$AC68,$AE68),2)+$B68/2&gt;U68,($G$5/$B$5),0),0))))</f>
        <v/>
      </c>
      <c r="W68" s="141" t="str">
        <f>IF($W$8="Habilitado",IF($A68="","",ROUND(VLOOKUP($A68,'Presupuesto Consolidado'!#REF!,6,FALSE),2)),"")</f>
        <v/>
      </c>
      <c r="X68" s="142" t="str">
        <f t="shared" ref="X68" si="511">IF($A68="","",IF(W68="","",IF($K$4="Media aritmética",(W68&lt;=$B68)*($G$5/$B$5)+(W68&gt;$B68)*0,IF(ROUND(AVERAGE($C68,$E68,$G68,$I68,$K68,$M68,$O68,$Q68,$S68,$U68,$W68,$Y68,$AA68,$AC68,$AE68),2)-$B68/2&lt;=W68,IF(ROUND(AVERAGE($C68,$E68,$G68,$I68,$K68,$M68,$O68,$Q68,$S68,$U68,$W68,$Y68,$AA68,$AC68,$AE68),2)+$B68/2&gt;W68,($G$5/$B$5),0),0))))</f>
        <v/>
      </c>
      <c r="Y68" s="141" t="str">
        <f>IF($Y$8="Habilitado",IF($A68="","",ROUND(VLOOKUP($A68,'Presupuesto Consolidado'!#REF!,6,FALSE),2)),"")</f>
        <v/>
      </c>
      <c r="Z68" s="142" t="str">
        <f t="shared" ref="Z68" si="512">IF($A68="","",IF(Y68="","",IF($K$4="Media aritmética",(Y68&lt;=$B68)*($G$5/$B$5)+(Y68&gt;$B68)*0,IF(ROUND(AVERAGE($C68,$E68,$G68,$I68,$K68,$M68,$O68,$Q68,$S68,$U68,$W68,$Y68,$AA68,$AC68,$AE68),2)-$B68/2&lt;=Y68,IF(ROUND(AVERAGE($C68,$E68,$G68,$I68,$K68,$M68,$O68,$Q68,$S68,$U68,$W68,$Y68,$AA68,$AC68,$AE68),2)+$B68/2&gt;Y68,($G$5/$B$5),0),0))))</f>
        <v/>
      </c>
      <c r="AA68" s="141" t="str">
        <f>IF($AA$8="Habilitado",IF($A68="","",ROUND(VLOOKUP($A68,'Presupuesto Consolidado'!#REF!,6,FALSE),2)),"")</f>
        <v/>
      </c>
      <c r="AB68" s="142" t="str">
        <f t="shared" ref="AB68" si="513">IF($A68="","",IF(AA68="","",IF($K$4="Media aritmética",(AA68&lt;=$B68)*($G$5/$B$5)+(AA68&gt;$B68)*0,IF(ROUND(AVERAGE($C68,$E68,$G68,$I68,$K68,$M68,$O68,$Q68,$S68,$U68,$W68,$Y68,$AA68,$AC68,$AE68),2)-$B68/2&lt;=AA68,IF(ROUND(AVERAGE($C68,$E68,$G68,$I68,$K68,$M68,$O68,$Q68,$S68,$U68,$W68,$Y68,$AA68,$AC68,$AE68),2)+$B68/2&gt;AA68,($G$5/$B$5),0),0))))</f>
        <v/>
      </c>
      <c r="AC68" s="141" t="str">
        <f>IF($AC$8="Habilitado",IF($A68="","",ROUND(VLOOKUP($A68,'Presupuesto Consolidado'!#REF!,6,FALSE),2)),"")</f>
        <v/>
      </c>
      <c r="AD68" s="142" t="str">
        <f t="shared" ref="AD68" si="514">IF($A68="","",IF(AC68="","",IF($K$4="Media aritmética",(AC68&lt;=$B68)*($G$5/$B$5)+(AC68&gt;$B68)*0,IF(ROUND(AVERAGE($C68,$E68,$G68,$I68,$K68,$M68,$O68,$Q68,$S68,$U68,$W68,$Y68,$AA68,$AC68,$AE68),2)-$B68/2&lt;=AC68,IF(ROUND(AVERAGE($C68,$E68,$G68,$I68,$K68,$M68,$O68,$Q68,$S68,$U68,$W68,$Y68,$AA68,$AC68,$AE68),2)+$B68/2&gt;AC68,($G$5/$B$5),0),0))))</f>
        <v/>
      </c>
      <c r="AE68" s="141" t="str">
        <f>IF($AE$8="Habilitado",IF($A68="","",ROUND(VLOOKUP($A68,'Presupuesto Consolidado'!#REF!,6,FALSE),2)),"")</f>
        <v/>
      </c>
      <c r="AF68" s="142" t="str">
        <f t="shared" ref="AF68" si="515">IF($A68="","",IF(AE68="","",IF($K$4="Media aritmética",(AE68&lt;=$B68)*($G$5/$B$5)+(AE68&gt;$B68)*0,IF(ROUND(AVERAGE($C68,$E68,$G68,$I68,$K68,$M68,$O68,$Q68,$S68,$U68,$W68,$Y68,$AA68,$AC68,$AE68),2)-$B68/2&lt;=AE68,IF(ROUND(AVERAGE($C68,$E68,$G68,$I68,$K68,$M68,$O68,$Q68,$S68,$U68,$W68,$Y68,$AA68,$AC68,$AE68),2)+$B68/2&gt;AE68,($G$5/$B$5),0),0))))</f>
        <v/>
      </c>
    </row>
    <row r="69" spans="1:32" s="135" customFormat="1" ht="21" customHeight="1">
      <c r="A69" s="132" t="str">
        <f>+'Presupuesto Consolidado'!A48</f>
        <v>9.1.7</v>
      </c>
      <c r="B69" s="140">
        <f t="shared" si="241"/>
        <v>31050000</v>
      </c>
      <c r="C69" s="141">
        <f>IF($C$8="Habilitado",IF($A69="","",ROUND(VLOOKUP($A69,'Presupuesto Consolidado'!$A$9:$F$600,6,FALSE),2)),"")</f>
        <v>31050000</v>
      </c>
      <c r="D69" s="142">
        <f t="shared" si="242"/>
        <v>0.45714285714285713</v>
      </c>
      <c r="E69" s="141" t="str">
        <f>IF($E$8="Habilitado",IF($A69="","",ROUND(VLOOKUP($A69,'Presupuesto Consolidado'!$I$9:$N$600,6,FALSE),2)),"")</f>
        <v/>
      </c>
      <c r="F69" s="142" t="str">
        <f t="shared" si="242"/>
        <v/>
      </c>
      <c r="G69" s="141" t="str">
        <f>IF($G$8="Habilitado",IF($A69="","",ROUND(VLOOKUP($A69,'Presupuesto Consolidado'!$Q$9:$V$600,6,FALSE),2)),"")</f>
        <v/>
      </c>
      <c r="H69" s="142" t="str">
        <f t="shared" ref="H69" si="516">IF($A69="","",IF(G69="","",IF($K$4="Media aritmética",(G69&lt;=$B69)*($G$5/$B$5)+(G69&gt;$B69)*0,IF(ROUND(AVERAGE($C69,$E69,$G69,$I69,$K69,$M69,$O69,$Q69,$S69,$U69,$W69,$Y69,$AA69,$AC69,$AE69),2)-$B69/2&lt;=G69,IF(ROUND(AVERAGE($C69,$E69,$G69,$I69,$K69,$M69,$O69,$Q69,$S69,$U69,$W69,$Y69,$AA69,$AC69,$AE69),2)+$B69/2&gt;G69,($G$5/$B$5),0),0))))</f>
        <v/>
      </c>
      <c r="I69" s="141" t="str">
        <f>IF($I$8="Habilitado",IF($A69="","",ROUND(VLOOKUP($A69,'Presupuesto Consolidado'!$Y$9:$AD$600,6,FALSE),2)),"")</f>
        <v/>
      </c>
      <c r="J69" s="142" t="str">
        <f t="shared" ref="J69" si="517">IF($A69="","",IF(I69="","",IF($K$4="Media aritmética",(I69&lt;=$B69)*($G$5/$B$5)+(I69&gt;$B69)*0,IF(ROUND(AVERAGE($C69,$E69,$G69,$I69,$K69,$M69,$O69,$Q69,$S69,$U69,$W69,$Y69,$AA69,$AC69,$AE69),2)-$B69/2&lt;=I69,IF(ROUND(AVERAGE($C69,$E69,$G69,$I69,$K69,$M69,$O69,$Q69,$S69,$U69,$W69,$Y69,$AA69,$AC69,$AE69),2)+$B69/2&gt;I69,($G$5/$B$5),0),0))))</f>
        <v/>
      </c>
      <c r="K69" s="141" t="str">
        <f>IF($K$8="Habilitado",IF($A69="","",ROUND(VLOOKUP($A69,'Presupuesto Consolidado'!#REF!,6,FALSE),2)),"")</f>
        <v/>
      </c>
      <c r="L69" s="142" t="str">
        <f t="shared" ref="L69" si="518">IF($A69="","",IF(K69="","",IF($K$4="Media aritmética",(K69&lt;=$B69)*($G$5/$B$5)+(K69&gt;$B69)*0,IF(ROUND(AVERAGE($C69,$E69,$G69,$I69,$K69,$M69,$O69,$Q69,$S69,$U69,$W69,$Y69,$AA69,$AC69,$AE69),2)-$B69/2&lt;=K69,IF(ROUND(AVERAGE($C69,$E69,$G69,$I69,$K69,$M69,$O69,$Q69,$S69,$U69,$W69,$Y69,$AA69,$AC69,$AE69),2)+$B69/2&gt;K69,($G$5/$B$5),0),0))))</f>
        <v/>
      </c>
      <c r="M69" s="141" t="str">
        <f>IF($M$8="Habilitado",IF($A69="","",ROUND(VLOOKUP($A69,'Presupuesto Consolidado'!#REF!,6,FALSE),2)),"")</f>
        <v/>
      </c>
      <c r="N69" s="142" t="str">
        <f t="shared" ref="N69" si="519">IF($A69="","",IF(M69="","",IF($K$4="Media aritmética",(M69&lt;=$B69)*($G$5/$B$5)+(M69&gt;$B69)*0,IF(ROUND(AVERAGE($C69,$E69,$G69,$I69,$K69,$M69,$O69,$Q69,$S69,$U69,$W69,$Y69,$AA69,$AC69,$AE69),2)-$B69/2&lt;=M69,IF(ROUND(AVERAGE($C69,$E69,$G69,$I69,$K69,$M69,$O69,$Q69,$S69,$U69,$W69,$Y69,$AA69,$AC69,$AE69),2)+$B69/2&gt;M69,($G$5/$B$5),0),0))))</f>
        <v/>
      </c>
      <c r="O69" s="141" t="str">
        <f>IF($O$8="Habilitado",IF($A69="","",ROUND(VLOOKUP($A69,'Presupuesto Consolidado'!#REF!,6,FALSE),2)),"")</f>
        <v/>
      </c>
      <c r="P69" s="142" t="str">
        <f t="shared" ref="P69" si="520">IF($A69="","",IF(O69="","",IF($K$4="Media aritmética",(O69&lt;=$B69)*($G$5/$B$5)+(O69&gt;$B69)*0,IF(ROUND(AVERAGE($C69,$E69,$G69,$I69,$K69,$M69,$O69,$Q69,$S69,$U69,$W69,$Y69,$AA69,$AC69,$AE69),2)-$B69/2&lt;=O69,IF(ROUND(AVERAGE($C69,$E69,$G69,$I69,$K69,$M69,$O69,$Q69,$S69,$U69,$W69,$Y69,$AA69,$AC69,$AE69),2)+$B69/2&gt;O69,($G$5/$B$5),0),0))))</f>
        <v/>
      </c>
      <c r="Q69" s="141" t="str">
        <f>IF($Q$8="Habilitado",IF($A69="","",ROUND(VLOOKUP($A69,'Presupuesto Consolidado'!#REF!,6,FALSE),2)),"")</f>
        <v/>
      </c>
      <c r="R69" s="142" t="str">
        <f t="shared" ref="R69" si="521">IF($A69="","",IF(Q69="","",IF($K$4="Media aritmética",(Q69&lt;=$B69)*($G$5/$B$5)+(Q69&gt;$B69)*0,IF(ROUND(AVERAGE($C69,$E69,$G69,$I69,$K69,$M69,$O69,$Q69,$S69,$U69,$W69,$Y69,$AA69,$AC69,$AE69),2)-$B69/2&lt;=Q69,IF(ROUND(AVERAGE($C69,$E69,$G69,$I69,$K69,$M69,$O69,$Q69,$S69,$U69,$W69,$Y69,$AA69,$AC69,$AE69),2)+$B69/2&gt;Q69,($G$5/$B$5),0),0))))</f>
        <v/>
      </c>
      <c r="S69" s="141" t="str">
        <f>IF($S$8="Habilitado",IF($A69="","",ROUND(VLOOKUP($A69,'Presupuesto Consolidado'!#REF!,6,FALSE),2)),"")</f>
        <v/>
      </c>
      <c r="T69" s="142" t="str">
        <f t="shared" ref="T69" si="522">IF($A69="","",IF(S69="","",IF($K$4="Media aritmética",(S69&lt;=$B69)*($G$5/$B$5)+(S69&gt;$B69)*0,IF(ROUND(AVERAGE($C69,$E69,$G69,$I69,$K69,$M69,$O69,$Q69,$S69,$U69,$W69,$Y69,$AA69,$AC69,$AE69),2)-$B69/2&lt;=S69,IF(ROUND(AVERAGE($C69,$E69,$G69,$I69,$K69,$M69,$O69,$Q69,$S69,$U69,$W69,$Y69,$AA69,$AC69,$AE69),2)+$B69/2&gt;S69,($G$5/$B$5),0),0))))</f>
        <v/>
      </c>
      <c r="U69" s="141" t="str">
        <f>IF($U$8="Habilitado",IF($A69="","",ROUND(VLOOKUP($A69,'Presupuesto Consolidado'!#REF!,6,FALSE),2)),"")</f>
        <v/>
      </c>
      <c r="V69" s="142" t="str">
        <f t="shared" ref="V69" si="523">IF($A69="","",IF(U69="","",IF($K$4="Media aritmética",(U69&lt;=$B69)*($G$5/$B$5)+(U69&gt;$B69)*0,IF(ROUND(AVERAGE($C69,$E69,$G69,$I69,$K69,$M69,$O69,$Q69,$S69,$U69,$W69,$Y69,$AA69,$AC69,$AE69),2)-$B69/2&lt;=U69,IF(ROUND(AVERAGE($C69,$E69,$G69,$I69,$K69,$M69,$O69,$Q69,$S69,$U69,$W69,$Y69,$AA69,$AC69,$AE69),2)+$B69/2&gt;U69,($G$5/$B$5),0),0))))</f>
        <v/>
      </c>
      <c r="W69" s="141" t="str">
        <f>IF($W$8="Habilitado",IF($A69="","",ROUND(VLOOKUP($A69,'Presupuesto Consolidado'!#REF!,6,FALSE),2)),"")</f>
        <v/>
      </c>
      <c r="X69" s="142" t="str">
        <f t="shared" ref="X69" si="524">IF($A69="","",IF(W69="","",IF($K$4="Media aritmética",(W69&lt;=$B69)*($G$5/$B$5)+(W69&gt;$B69)*0,IF(ROUND(AVERAGE($C69,$E69,$G69,$I69,$K69,$M69,$O69,$Q69,$S69,$U69,$W69,$Y69,$AA69,$AC69,$AE69),2)-$B69/2&lt;=W69,IF(ROUND(AVERAGE($C69,$E69,$G69,$I69,$K69,$M69,$O69,$Q69,$S69,$U69,$W69,$Y69,$AA69,$AC69,$AE69),2)+$B69/2&gt;W69,($G$5/$B$5),0),0))))</f>
        <v/>
      </c>
      <c r="Y69" s="141" t="str">
        <f>IF($Y$8="Habilitado",IF($A69="","",ROUND(VLOOKUP($A69,'Presupuesto Consolidado'!#REF!,6,FALSE),2)),"")</f>
        <v/>
      </c>
      <c r="Z69" s="142" t="str">
        <f t="shared" ref="Z69" si="525">IF($A69="","",IF(Y69="","",IF($K$4="Media aritmética",(Y69&lt;=$B69)*($G$5/$B$5)+(Y69&gt;$B69)*0,IF(ROUND(AVERAGE($C69,$E69,$G69,$I69,$K69,$M69,$O69,$Q69,$S69,$U69,$W69,$Y69,$AA69,$AC69,$AE69),2)-$B69/2&lt;=Y69,IF(ROUND(AVERAGE($C69,$E69,$G69,$I69,$K69,$M69,$O69,$Q69,$S69,$U69,$W69,$Y69,$AA69,$AC69,$AE69),2)+$B69/2&gt;Y69,($G$5/$B$5),0),0))))</f>
        <v/>
      </c>
      <c r="AA69" s="141" t="str">
        <f>IF($AA$8="Habilitado",IF($A69="","",ROUND(VLOOKUP($A69,'Presupuesto Consolidado'!#REF!,6,FALSE),2)),"")</f>
        <v/>
      </c>
      <c r="AB69" s="142" t="str">
        <f t="shared" ref="AB69" si="526">IF($A69="","",IF(AA69="","",IF($K$4="Media aritmética",(AA69&lt;=$B69)*($G$5/$B$5)+(AA69&gt;$B69)*0,IF(ROUND(AVERAGE($C69,$E69,$G69,$I69,$K69,$M69,$O69,$Q69,$S69,$U69,$W69,$Y69,$AA69,$AC69,$AE69),2)-$B69/2&lt;=AA69,IF(ROUND(AVERAGE($C69,$E69,$G69,$I69,$K69,$M69,$O69,$Q69,$S69,$U69,$W69,$Y69,$AA69,$AC69,$AE69),2)+$B69/2&gt;AA69,($G$5/$B$5),0),0))))</f>
        <v/>
      </c>
      <c r="AC69" s="141" t="str">
        <f>IF($AC$8="Habilitado",IF($A69="","",ROUND(VLOOKUP($A69,'Presupuesto Consolidado'!#REF!,6,FALSE),2)),"")</f>
        <v/>
      </c>
      <c r="AD69" s="142" t="str">
        <f t="shared" ref="AD69" si="527">IF($A69="","",IF(AC69="","",IF($K$4="Media aritmética",(AC69&lt;=$B69)*($G$5/$B$5)+(AC69&gt;$B69)*0,IF(ROUND(AVERAGE($C69,$E69,$G69,$I69,$K69,$M69,$O69,$Q69,$S69,$U69,$W69,$Y69,$AA69,$AC69,$AE69),2)-$B69/2&lt;=AC69,IF(ROUND(AVERAGE($C69,$E69,$G69,$I69,$K69,$M69,$O69,$Q69,$S69,$U69,$W69,$Y69,$AA69,$AC69,$AE69),2)+$B69/2&gt;AC69,($G$5/$B$5),0),0))))</f>
        <v/>
      </c>
      <c r="AE69" s="141" t="str">
        <f>IF($AE$8="Habilitado",IF($A69="","",ROUND(VLOOKUP($A69,'Presupuesto Consolidado'!#REF!,6,FALSE),2)),"")</f>
        <v/>
      </c>
      <c r="AF69" s="142" t="str">
        <f t="shared" ref="AF69" si="528">IF($A69="","",IF(AE69="","",IF($K$4="Media aritmética",(AE69&lt;=$B69)*($G$5/$B$5)+(AE69&gt;$B69)*0,IF(ROUND(AVERAGE($C69,$E69,$G69,$I69,$K69,$M69,$O69,$Q69,$S69,$U69,$W69,$Y69,$AA69,$AC69,$AE69),2)-$B69/2&lt;=AE69,IF(ROUND(AVERAGE($C69,$E69,$G69,$I69,$K69,$M69,$O69,$Q69,$S69,$U69,$W69,$Y69,$AA69,$AC69,$AE69),2)+$B69/2&gt;AE69,($G$5/$B$5),0),0))))</f>
        <v/>
      </c>
    </row>
    <row r="70" spans="1:32" s="135" customFormat="1" ht="21" customHeight="1">
      <c r="A70" s="132" t="str">
        <f>+'Presupuesto Consolidado'!A51</f>
        <v>9.1.10</v>
      </c>
      <c r="B70" s="140">
        <f t="shared" si="241"/>
        <v>7245000</v>
      </c>
      <c r="C70" s="141">
        <f>IF($C$8="Habilitado",IF($A70="","",ROUND(VLOOKUP($A70,'Presupuesto Consolidado'!$A$9:$F$600,6,FALSE),2)),"")</f>
        <v>7245000</v>
      </c>
      <c r="D70" s="142">
        <f t="shared" si="242"/>
        <v>0.45714285714285713</v>
      </c>
      <c r="E70" s="141" t="str">
        <f>IF($E$8="Habilitado",IF($A70="","",ROUND(VLOOKUP($A70,'Presupuesto Consolidado'!$I$9:$N$600,6,FALSE),2)),"")</f>
        <v/>
      </c>
      <c r="F70" s="142" t="str">
        <f t="shared" si="242"/>
        <v/>
      </c>
      <c r="G70" s="141" t="str">
        <f>IF($G$8="Habilitado",IF($A70="","",ROUND(VLOOKUP($A70,'Presupuesto Consolidado'!$Q$9:$V$600,6,FALSE),2)),"")</f>
        <v/>
      </c>
      <c r="H70" s="142" t="str">
        <f t="shared" ref="H70" si="529">IF($A70="","",IF(G70="","",IF($K$4="Media aritmética",(G70&lt;=$B70)*($G$5/$B$5)+(G70&gt;$B70)*0,IF(ROUND(AVERAGE($C70,$E70,$G70,$I70,$K70,$M70,$O70,$Q70,$S70,$U70,$W70,$Y70,$AA70,$AC70,$AE70),2)-$B70/2&lt;=G70,IF(ROUND(AVERAGE($C70,$E70,$G70,$I70,$K70,$M70,$O70,$Q70,$S70,$U70,$W70,$Y70,$AA70,$AC70,$AE70),2)+$B70/2&gt;G70,($G$5/$B$5),0),0))))</f>
        <v/>
      </c>
      <c r="I70" s="141" t="str">
        <f>IF($I$8="Habilitado",IF($A70="","",ROUND(VLOOKUP($A70,'Presupuesto Consolidado'!$Y$9:$AD$600,6,FALSE),2)),"")</f>
        <v/>
      </c>
      <c r="J70" s="142" t="str">
        <f t="shared" ref="J70" si="530">IF($A70="","",IF(I70="","",IF($K$4="Media aritmética",(I70&lt;=$B70)*($G$5/$B$5)+(I70&gt;$B70)*0,IF(ROUND(AVERAGE($C70,$E70,$G70,$I70,$K70,$M70,$O70,$Q70,$S70,$U70,$W70,$Y70,$AA70,$AC70,$AE70),2)-$B70/2&lt;=I70,IF(ROUND(AVERAGE($C70,$E70,$G70,$I70,$K70,$M70,$O70,$Q70,$S70,$U70,$W70,$Y70,$AA70,$AC70,$AE70),2)+$B70/2&gt;I70,($G$5/$B$5),0),0))))</f>
        <v/>
      </c>
      <c r="K70" s="141" t="str">
        <f>IF($K$8="Habilitado",IF($A70="","",ROUND(VLOOKUP($A70,'Presupuesto Consolidado'!#REF!,6,FALSE),2)),"")</f>
        <v/>
      </c>
      <c r="L70" s="142" t="str">
        <f t="shared" ref="L70" si="531">IF($A70="","",IF(K70="","",IF($K$4="Media aritmética",(K70&lt;=$B70)*($G$5/$B$5)+(K70&gt;$B70)*0,IF(ROUND(AVERAGE($C70,$E70,$G70,$I70,$K70,$M70,$O70,$Q70,$S70,$U70,$W70,$Y70,$AA70,$AC70,$AE70),2)-$B70/2&lt;=K70,IF(ROUND(AVERAGE($C70,$E70,$G70,$I70,$K70,$M70,$O70,$Q70,$S70,$U70,$W70,$Y70,$AA70,$AC70,$AE70),2)+$B70/2&gt;K70,($G$5/$B$5),0),0))))</f>
        <v/>
      </c>
      <c r="M70" s="141" t="str">
        <f>IF($M$8="Habilitado",IF($A70="","",ROUND(VLOOKUP($A70,'Presupuesto Consolidado'!#REF!,6,FALSE),2)),"")</f>
        <v/>
      </c>
      <c r="N70" s="142" t="str">
        <f t="shared" ref="N70" si="532">IF($A70="","",IF(M70="","",IF($K$4="Media aritmética",(M70&lt;=$B70)*($G$5/$B$5)+(M70&gt;$B70)*0,IF(ROUND(AVERAGE($C70,$E70,$G70,$I70,$K70,$M70,$O70,$Q70,$S70,$U70,$W70,$Y70,$AA70,$AC70,$AE70),2)-$B70/2&lt;=M70,IF(ROUND(AVERAGE($C70,$E70,$G70,$I70,$K70,$M70,$O70,$Q70,$S70,$U70,$W70,$Y70,$AA70,$AC70,$AE70),2)+$B70/2&gt;M70,($G$5/$B$5),0),0))))</f>
        <v/>
      </c>
      <c r="O70" s="141" t="str">
        <f>IF($O$8="Habilitado",IF($A70="","",ROUND(VLOOKUP($A70,'Presupuesto Consolidado'!#REF!,6,FALSE),2)),"")</f>
        <v/>
      </c>
      <c r="P70" s="142" t="str">
        <f t="shared" ref="P70" si="533">IF($A70="","",IF(O70="","",IF($K$4="Media aritmética",(O70&lt;=$B70)*($G$5/$B$5)+(O70&gt;$B70)*0,IF(ROUND(AVERAGE($C70,$E70,$G70,$I70,$K70,$M70,$O70,$Q70,$S70,$U70,$W70,$Y70,$AA70,$AC70,$AE70),2)-$B70/2&lt;=O70,IF(ROUND(AVERAGE($C70,$E70,$G70,$I70,$K70,$M70,$O70,$Q70,$S70,$U70,$W70,$Y70,$AA70,$AC70,$AE70),2)+$B70/2&gt;O70,($G$5/$B$5),0),0))))</f>
        <v/>
      </c>
      <c r="Q70" s="141" t="str">
        <f>IF($Q$8="Habilitado",IF($A70="","",ROUND(VLOOKUP($A70,'Presupuesto Consolidado'!#REF!,6,FALSE),2)),"")</f>
        <v/>
      </c>
      <c r="R70" s="142" t="str">
        <f t="shared" ref="R70" si="534">IF($A70="","",IF(Q70="","",IF($K$4="Media aritmética",(Q70&lt;=$B70)*($G$5/$B$5)+(Q70&gt;$B70)*0,IF(ROUND(AVERAGE($C70,$E70,$G70,$I70,$K70,$M70,$O70,$Q70,$S70,$U70,$W70,$Y70,$AA70,$AC70,$AE70),2)-$B70/2&lt;=Q70,IF(ROUND(AVERAGE($C70,$E70,$G70,$I70,$K70,$M70,$O70,$Q70,$S70,$U70,$W70,$Y70,$AA70,$AC70,$AE70),2)+$B70/2&gt;Q70,($G$5/$B$5),0),0))))</f>
        <v/>
      </c>
      <c r="S70" s="141" t="str">
        <f>IF($S$8="Habilitado",IF($A70="","",ROUND(VLOOKUP($A70,'Presupuesto Consolidado'!#REF!,6,FALSE),2)),"")</f>
        <v/>
      </c>
      <c r="T70" s="142" t="str">
        <f t="shared" ref="T70" si="535">IF($A70="","",IF(S70="","",IF($K$4="Media aritmética",(S70&lt;=$B70)*($G$5/$B$5)+(S70&gt;$B70)*0,IF(ROUND(AVERAGE($C70,$E70,$G70,$I70,$K70,$M70,$O70,$Q70,$S70,$U70,$W70,$Y70,$AA70,$AC70,$AE70),2)-$B70/2&lt;=S70,IF(ROUND(AVERAGE($C70,$E70,$G70,$I70,$K70,$M70,$O70,$Q70,$S70,$U70,$W70,$Y70,$AA70,$AC70,$AE70),2)+$B70/2&gt;S70,($G$5/$B$5),0),0))))</f>
        <v/>
      </c>
      <c r="U70" s="141" t="str">
        <f>IF($U$8="Habilitado",IF($A70="","",ROUND(VLOOKUP($A70,'Presupuesto Consolidado'!#REF!,6,FALSE),2)),"")</f>
        <v/>
      </c>
      <c r="V70" s="142" t="str">
        <f t="shared" ref="V70" si="536">IF($A70="","",IF(U70="","",IF($K$4="Media aritmética",(U70&lt;=$B70)*($G$5/$B$5)+(U70&gt;$B70)*0,IF(ROUND(AVERAGE($C70,$E70,$G70,$I70,$K70,$M70,$O70,$Q70,$S70,$U70,$W70,$Y70,$AA70,$AC70,$AE70),2)-$B70/2&lt;=U70,IF(ROUND(AVERAGE($C70,$E70,$G70,$I70,$K70,$M70,$O70,$Q70,$S70,$U70,$W70,$Y70,$AA70,$AC70,$AE70),2)+$B70/2&gt;U70,($G$5/$B$5),0),0))))</f>
        <v/>
      </c>
      <c r="W70" s="141" t="str">
        <f>IF($W$8="Habilitado",IF($A70="","",ROUND(VLOOKUP($A70,'Presupuesto Consolidado'!#REF!,6,FALSE),2)),"")</f>
        <v/>
      </c>
      <c r="X70" s="142" t="str">
        <f t="shared" ref="X70" si="537">IF($A70="","",IF(W70="","",IF($K$4="Media aritmética",(W70&lt;=$B70)*($G$5/$B$5)+(W70&gt;$B70)*0,IF(ROUND(AVERAGE($C70,$E70,$G70,$I70,$K70,$M70,$O70,$Q70,$S70,$U70,$W70,$Y70,$AA70,$AC70,$AE70),2)-$B70/2&lt;=W70,IF(ROUND(AVERAGE($C70,$E70,$G70,$I70,$K70,$M70,$O70,$Q70,$S70,$U70,$W70,$Y70,$AA70,$AC70,$AE70),2)+$B70/2&gt;W70,($G$5/$B$5),0),0))))</f>
        <v/>
      </c>
      <c r="Y70" s="141" t="str">
        <f>IF($Y$8="Habilitado",IF($A70="","",ROUND(VLOOKUP($A70,'Presupuesto Consolidado'!#REF!,6,FALSE),2)),"")</f>
        <v/>
      </c>
      <c r="Z70" s="142" t="str">
        <f t="shared" ref="Z70" si="538">IF($A70="","",IF(Y70="","",IF($K$4="Media aritmética",(Y70&lt;=$B70)*($G$5/$B$5)+(Y70&gt;$B70)*0,IF(ROUND(AVERAGE($C70,$E70,$G70,$I70,$K70,$M70,$O70,$Q70,$S70,$U70,$W70,$Y70,$AA70,$AC70,$AE70),2)-$B70/2&lt;=Y70,IF(ROUND(AVERAGE($C70,$E70,$G70,$I70,$K70,$M70,$O70,$Q70,$S70,$U70,$W70,$Y70,$AA70,$AC70,$AE70),2)+$B70/2&gt;Y70,($G$5/$B$5),0),0))))</f>
        <v/>
      </c>
      <c r="AA70" s="141" t="str">
        <f>IF($AA$8="Habilitado",IF($A70="","",ROUND(VLOOKUP($A70,'Presupuesto Consolidado'!#REF!,6,FALSE),2)),"")</f>
        <v/>
      </c>
      <c r="AB70" s="142" t="str">
        <f t="shared" ref="AB70" si="539">IF($A70="","",IF(AA70="","",IF($K$4="Media aritmética",(AA70&lt;=$B70)*($G$5/$B$5)+(AA70&gt;$B70)*0,IF(ROUND(AVERAGE($C70,$E70,$G70,$I70,$K70,$M70,$O70,$Q70,$S70,$U70,$W70,$Y70,$AA70,$AC70,$AE70),2)-$B70/2&lt;=AA70,IF(ROUND(AVERAGE($C70,$E70,$G70,$I70,$K70,$M70,$O70,$Q70,$S70,$U70,$W70,$Y70,$AA70,$AC70,$AE70),2)+$B70/2&gt;AA70,($G$5/$B$5),0),0))))</f>
        <v/>
      </c>
      <c r="AC70" s="141" t="str">
        <f>IF($AC$8="Habilitado",IF($A70="","",ROUND(VLOOKUP($A70,'Presupuesto Consolidado'!#REF!,6,FALSE),2)),"")</f>
        <v/>
      </c>
      <c r="AD70" s="142" t="str">
        <f t="shared" ref="AD70" si="540">IF($A70="","",IF(AC70="","",IF($K$4="Media aritmética",(AC70&lt;=$B70)*($G$5/$B$5)+(AC70&gt;$B70)*0,IF(ROUND(AVERAGE($C70,$E70,$G70,$I70,$K70,$M70,$O70,$Q70,$S70,$U70,$W70,$Y70,$AA70,$AC70,$AE70),2)-$B70/2&lt;=AC70,IF(ROUND(AVERAGE($C70,$E70,$G70,$I70,$K70,$M70,$O70,$Q70,$S70,$U70,$W70,$Y70,$AA70,$AC70,$AE70),2)+$B70/2&gt;AC70,($G$5/$B$5),0),0))))</f>
        <v/>
      </c>
      <c r="AE70" s="141" t="str">
        <f>IF($AE$8="Habilitado",IF($A70="","",ROUND(VLOOKUP($A70,'Presupuesto Consolidado'!#REF!,6,FALSE),2)),"")</f>
        <v/>
      </c>
      <c r="AF70" s="142" t="str">
        <f t="shared" ref="AF70" si="541">IF($A70="","",IF(AE70="","",IF($K$4="Media aritmética",(AE70&lt;=$B70)*($G$5/$B$5)+(AE70&gt;$B70)*0,IF(ROUND(AVERAGE($C70,$E70,$G70,$I70,$K70,$M70,$O70,$Q70,$S70,$U70,$W70,$Y70,$AA70,$AC70,$AE70),2)-$B70/2&lt;=AE70,IF(ROUND(AVERAGE($C70,$E70,$G70,$I70,$K70,$M70,$O70,$Q70,$S70,$U70,$W70,$Y70,$AA70,$AC70,$AE70),2)+$B70/2&gt;AE70,($G$5/$B$5),0),0))))</f>
        <v/>
      </c>
    </row>
    <row r="71" spans="1:32" s="135" customFormat="1" ht="21" customHeight="1">
      <c r="A71" s="132" t="str">
        <f>+'Presupuesto Consolidado'!A57</f>
        <v>11.1.1</v>
      </c>
      <c r="B71" s="140">
        <f t="shared" ref="B71" si="542">IF(A71="","",IF($K$4="Media aritmética",ROUND(AVERAGE(C71,E71,G71,I71,K71,M71,O71,Q71,S71,U71,W71,Y71,AA71,AC71,AE71),2),ROUND(_xlfn.STDEV.P(C71,E71,G71,I71,K71,M71,O71,Q71,S71,U71,W71,Y71,AA71,AC71,AE71),2)))</f>
        <v>14472000</v>
      </c>
      <c r="C71" s="141">
        <f>IF($C$8="Habilitado",IF($A71="","",ROUND(VLOOKUP($A71,'Presupuesto Consolidado'!$A$9:$F$600,6,FALSE),2)),"")</f>
        <v>14472000</v>
      </c>
      <c r="D71" s="142">
        <f t="shared" ref="D71" si="543">IF($A71="","",IF(C71="","",IF($K$4="Media aritmética",(C71&lt;=$B71)*($G$5/$B$5)+(C71&gt;$B71)*0,IF(ROUND(AVERAGE($C71,$E71,$G71,$I71,$K71,$M71,$O71,$Q71,$S71,$U71,$W71,$Y71,$AA71,$AC71,$AE71),2)-$B71/2&lt;=C71,IF(ROUND(AVERAGE($C71,$E71,$G71,$I71,$K71,$M71,$O71,$Q71,$S71,$U71,$W71,$Y71,$AA71,$AC71,$AE71),2)+$B71/2&gt;C71,($G$5/$B$5),0),0))))</f>
        <v>0.45714285714285713</v>
      </c>
      <c r="E71" s="141" t="str">
        <f>IF($E$8="Habilitado",IF($A71="","",ROUND(VLOOKUP($A71,'Presupuesto Consolidado'!$I$9:$N$600,6,FALSE),2)),"")</f>
        <v/>
      </c>
      <c r="F71" s="142" t="str">
        <f t="shared" ref="F71" si="544">IF($A71="","",IF(E71="","",IF($K$4="Media aritmética",(E71&lt;=$B71)*($G$5/$B$5)+(E71&gt;$B71)*0,IF(ROUND(AVERAGE($C71,$E71,$G71,$I71,$K71,$M71,$O71,$Q71,$S71,$U71,$W71,$Y71,$AA71,$AC71,$AE71),2)-$B71/2&lt;=E71,IF(ROUND(AVERAGE($C71,$E71,$G71,$I71,$K71,$M71,$O71,$Q71,$S71,$U71,$W71,$Y71,$AA71,$AC71,$AE71),2)+$B71/2&gt;E71,($G$5/$B$5),0),0))))</f>
        <v/>
      </c>
      <c r="G71" s="141" t="str">
        <f>IF($G$8="Habilitado",IF($A71="","",ROUND(VLOOKUP($A71,'Presupuesto Consolidado'!$Q$9:$V$600,6,FALSE),2)),"")</f>
        <v/>
      </c>
      <c r="H71" s="142" t="str">
        <f t="shared" ref="H71" si="545">IF($A71="","",IF(G71="","",IF($K$4="Media aritmética",(G71&lt;=$B71)*($G$5/$B$5)+(G71&gt;$B71)*0,IF(ROUND(AVERAGE($C71,$E71,$G71,$I71,$K71,$M71,$O71,$Q71,$S71,$U71,$W71,$Y71,$AA71,$AC71,$AE71),2)-$B71/2&lt;=G71,IF(ROUND(AVERAGE($C71,$E71,$G71,$I71,$K71,$M71,$O71,$Q71,$S71,$U71,$W71,$Y71,$AA71,$AC71,$AE71),2)+$B71/2&gt;G71,($G$5/$B$5),0),0))))</f>
        <v/>
      </c>
      <c r="I71" s="141" t="str">
        <f>IF($I$8="Habilitado",IF($A71="","",ROUND(VLOOKUP($A71,'Presupuesto Consolidado'!$Y$9:$AD$600,6,FALSE),2)),"")</f>
        <v/>
      </c>
      <c r="J71" s="142" t="str">
        <f t="shared" ref="J71" si="546">IF($A71="","",IF(I71="","",IF($K$4="Media aritmética",(I71&lt;=$B71)*($G$5/$B$5)+(I71&gt;$B71)*0,IF(ROUND(AVERAGE($C71,$E71,$G71,$I71,$K71,$M71,$O71,$Q71,$S71,$U71,$W71,$Y71,$AA71,$AC71,$AE71),2)-$B71/2&lt;=I71,IF(ROUND(AVERAGE($C71,$E71,$G71,$I71,$K71,$M71,$O71,$Q71,$S71,$U71,$W71,$Y71,$AA71,$AC71,$AE71),2)+$B71/2&gt;I71,($G$5/$B$5),0),0))))</f>
        <v/>
      </c>
      <c r="K71" s="141" t="str">
        <f>IF($K$8="Habilitado",IF($A71="","",ROUND(VLOOKUP($A71,'Presupuesto Consolidado'!#REF!,6,FALSE),2)),"")</f>
        <v/>
      </c>
      <c r="L71" s="142" t="str">
        <f t="shared" ref="L71" si="547">IF($A71="","",IF(K71="","",IF($K$4="Media aritmética",(K71&lt;=$B71)*($G$5/$B$5)+(K71&gt;$B71)*0,IF(ROUND(AVERAGE($C71,$E71,$G71,$I71,$K71,$M71,$O71,$Q71,$S71,$U71,$W71,$Y71,$AA71,$AC71,$AE71),2)-$B71/2&lt;=K71,IF(ROUND(AVERAGE($C71,$E71,$G71,$I71,$K71,$M71,$O71,$Q71,$S71,$U71,$W71,$Y71,$AA71,$AC71,$AE71),2)+$B71/2&gt;K71,($G$5/$B$5),0),0))))</f>
        <v/>
      </c>
      <c r="M71" s="141" t="str">
        <f>IF($M$8="Habilitado",IF($A71="","",ROUND(VLOOKUP($A71,'Presupuesto Consolidado'!#REF!,6,FALSE),2)),"")</f>
        <v/>
      </c>
      <c r="N71" s="142" t="str">
        <f t="shared" ref="N71" si="548">IF($A71="","",IF(M71="","",IF($K$4="Media aritmética",(M71&lt;=$B71)*($G$5/$B$5)+(M71&gt;$B71)*0,IF(ROUND(AVERAGE($C71,$E71,$G71,$I71,$K71,$M71,$O71,$Q71,$S71,$U71,$W71,$Y71,$AA71,$AC71,$AE71),2)-$B71/2&lt;=M71,IF(ROUND(AVERAGE($C71,$E71,$G71,$I71,$K71,$M71,$O71,$Q71,$S71,$U71,$W71,$Y71,$AA71,$AC71,$AE71),2)+$B71/2&gt;M71,($G$5/$B$5),0),0))))</f>
        <v/>
      </c>
      <c r="O71" s="141" t="str">
        <f>IF($O$8="Habilitado",IF($A71="","",ROUND(VLOOKUP($A71,'Presupuesto Consolidado'!#REF!,6,FALSE),2)),"")</f>
        <v/>
      </c>
      <c r="P71" s="142" t="str">
        <f t="shared" ref="P71" si="549">IF($A71="","",IF(O71="","",IF($K$4="Media aritmética",(O71&lt;=$B71)*($G$5/$B$5)+(O71&gt;$B71)*0,IF(ROUND(AVERAGE($C71,$E71,$G71,$I71,$K71,$M71,$O71,$Q71,$S71,$U71,$W71,$Y71,$AA71,$AC71,$AE71),2)-$B71/2&lt;=O71,IF(ROUND(AVERAGE($C71,$E71,$G71,$I71,$K71,$M71,$O71,$Q71,$S71,$U71,$W71,$Y71,$AA71,$AC71,$AE71),2)+$B71/2&gt;O71,($G$5/$B$5),0),0))))</f>
        <v/>
      </c>
      <c r="Q71" s="141" t="str">
        <f>IF($Q$8="Habilitado",IF($A71="","",ROUND(VLOOKUP($A71,'Presupuesto Consolidado'!#REF!,6,FALSE),2)),"")</f>
        <v/>
      </c>
      <c r="R71" s="142" t="str">
        <f t="shared" ref="R71" si="550">IF($A71="","",IF(Q71="","",IF($K$4="Media aritmética",(Q71&lt;=$B71)*($G$5/$B$5)+(Q71&gt;$B71)*0,IF(ROUND(AVERAGE($C71,$E71,$G71,$I71,$K71,$M71,$O71,$Q71,$S71,$U71,$W71,$Y71,$AA71,$AC71,$AE71),2)-$B71/2&lt;=Q71,IF(ROUND(AVERAGE($C71,$E71,$G71,$I71,$K71,$M71,$O71,$Q71,$S71,$U71,$W71,$Y71,$AA71,$AC71,$AE71),2)+$B71/2&gt;Q71,($G$5/$B$5),0),0))))</f>
        <v/>
      </c>
      <c r="S71" s="141" t="str">
        <f>IF($S$8="Habilitado",IF($A71="","",ROUND(VLOOKUP($A71,'Presupuesto Consolidado'!#REF!,6,FALSE),2)),"")</f>
        <v/>
      </c>
      <c r="T71" s="142" t="str">
        <f t="shared" ref="T71" si="551">IF($A71="","",IF(S71="","",IF($K$4="Media aritmética",(S71&lt;=$B71)*($G$5/$B$5)+(S71&gt;$B71)*0,IF(ROUND(AVERAGE($C71,$E71,$G71,$I71,$K71,$M71,$O71,$Q71,$S71,$U71,$W71,$Y71,$AA71,$AC71,$AE71),2)-$B71/2&lt;=S71,IF(ROUND(AVERAGE($C71,$E71,$G71,$I71,$K71,$M71,$O71,$Q71,$S71,$U71,$W71,$Y71,$AA71,$AC71,$AE71),2)+$B71/2&gt;S71,($G$5/$B$5),0),0))))</f>
        <v/>
      </c>
      <c r="U71" s="141" t="str">
        <f>IF($U$8="Habilitado",IF($A71="","",ROUND(VLOOKUP($A71,'Presupuesto Consolidado'!#REF!,6,FALSE),2)),"")</f>
        <v/>
      </c>
      <c r="V71" s="142" t="str">
        <f t="shared" ref="V71" si="552">IF($A71="","",IF(U71="","",IF($K$4="Media aritmética",(U71&lt;=$B71)*($G$5/$B$5)+(U71&gt;$B71)*0,IF(ROUND(AVERAGE($C71,$E71,$G71,$I71,$K71,$M71,$O71,$Q71,$S71,$U71,$W71,$Y71,$AA71,$AC71,$AE71),2)-$B71/2&lt;=U71,IF(ROUND(AVERAGE($C71,$E71,$G71,$I71,$K71,$M71,$O71,$Q71,$S71,$U71,$W71,$Y71,$AA71,$AC71,$AE71),2)+$B71/2&gt;U71,($G$5/$B$5),0),0))))</f>
        <v/>
      </c>
      <c r="W71" s="141" t="str">
        <f>IF($W$8="Habilitado",IF($A71="","",ROUND(VLOOKUP($A71,'Presupuesto Consolidado'!#REF!,6,FALSE),2)),"")</f>
        <v/>
      </c>
      <c r="X71" s="142" t="str">
        <f t="shared" ref="X71" si="553">IF($A71="","",IF(W71="","",IF($K$4="Media aritmética",(W71&lt;=$B71)*($G$5/$B$5)+(W71&gt;$B71)*0,IF(ROUND(AVERAGE($C71,$E71,$G71,$I71,$K71,$M71,$O71,$Q71,$S71,$U71,$W71,$Y71,$AA71,$AC71,$AE71),2)-$B71/2&lt;=W71,IF(ROUND(AVERAGE($C71,$E71,$G71,$I71,$K71,$M71,$O71,$Q71,$S71,$U71,$W71,$Y71,$AA71,$AC71,$AE71),2)+$B71/2&gt;W71,($G$5/$B$5),0),0))))</f>
        <v/>
      </c>
      <c r="Y71" s="141" t="str">
        <f>IF($Y$8="Habilitado",IF($A71="","",ROUND(VLOOKUP($A71,'Presupuesto Consolidado'!#REF!,6,FALSE),2)),"")</f>
        <v/>
      </c>
      <c r="Z71" s="142" t="str">
        <f t="shared" ref="Z71" si="554">IF($A71="","",IF(Y71="","",IF($K$4="Media aritmética",(Y71&lt;=$B71)*($G$5/$B$5)+(Y71&gt;$B71)*0,IF(ROUND(AVERAGE($C71,$E71,$G71,$I71,$K71,$M71,$O71,$Q71,$S71,$U71,$W71,$Y71,$AA71,$AC71,$AE71),2)-$B71/2&lt;=Y71,IF(ROUND(AVERAGE($C71,$E71,$G71,$I71,$K71,$M71,$O71,$Q71,$S71,$U71,$W71,$Y71,$AA71,$AC71,$AE71),2)+$B71/2&gt;Y71,($G$5/$B$5),0),0))))</f>
        <v/>
      </c>
      <c r="AA71" s="141" t="str">
        <f>IF($AA$8="Habilitado",IF($A71="","",ROUND(VLOOKUP($A71,'Presupuesto Consolidado'!#REF!,6,FALSE),2)),"")</f>
        <v/>
      </c>
      <c r="AB71" s="142" t="str">
        <f t="shared" ref="AB71" si="555">IF($A71="","",IF(AA71="","",IF($K$4="Media aritmética",(AA71&lt;=$B71)*($G$5/$B$5)+(AA71&gt;$B71)*0,IF(ROUND(AVERAGE($C71,$E71,$G71,$I71,$K71,$M71,$O71,$Q71,$S71,$U71,$W71,$Y71,$AA71,$AC71,$AE71),2)-$B71/2&lt;=AA71,IF(ROUND(AVERAGE($C71,$E71,$G71,$I71,$K71,$M71,$O71,$Q71,$S71,$U71,$W71,$Y71,$AA71,$AC71,$AE71),2)+$B71/2&gt;AA71,($G$5/$B$5),0),0))))</f>
        <v/>
      </c>
      <c r="AC71" s="141" t="str">
        <f>IF($AC$8="Habilitado",IF($A71="","",ROUND(VLOOKUP($A71,'Presupuesto Consolidado'!#REF!,6,FALSE),2)),"")</f>
        <v/>
      </c>
      <c r="AD71" s="142" t="str">
        <f t="shared" ref="AD71" si="556">IF($A71="","",IF(AC71="","",IF($K$4="Media aritmética",(AC71&lt;=$B71)*($G$5/$B$5)+(AC71&gt;$B71)*0,IF(ROUND(AVERAGE($C71,$E71,$G71,$I71,$K71,$M71,$O71,$Q71,$S71,$U71,$W71,$Y71,$AA71,$AC71,$AE71),2)-$B71/2&lt;=AC71,IF(ROUND(AVERAGE($C71,$E71,$G71,$I71,$K71,$M71,$O71,$Q71,$S71,$U71,$W71,$Y71,$AA71,$AC71,$AE71),2)+$B71/2&gt;AC71,($G$5/$B$5),0),0))))</f>
        <v/>
      </c>
      <c r="AE71" s="141" t="str">
        <f>IF($AE$8="Habilitado",IF($A71="","",ROUND(VLOOKUP($A71,'Presupuesto Consolidado'!#REF!,6,FALSE),2)),"")</f>
        <v/>
      </c>
      <c r="AF71" s="142" t="str">
        <f t="shared" ref="AF71" si="557">IF($A71="","",IF(AE71="","",IF($K$4="Media aritmética",(AE71&lt;=$B71)*($G$5/$B$5)+(AE71&gt;$B71)*0,IF(ROUND(AVERAGE($C71,$E71,$G71,$I71,$K71,$M71,$O71,$Q71,$S71,$U71,$W71,$Y71,$AA71,$AC71,$AE71),2)-$B71/2&lt;=AE71,IF(ROUND(AVERAGE($C71,$E71,$G71,$I71,$K71,$M71,$O71,$Q71,$S71,$U71,$W71,$Y71,$AA71,$AC71,$AE71),2)+$B71/2&gt;AE71,($G$5/$B$5),0),0))))</f>
        <v/>
      </c>
    </row>
    <row r="72" spans="1:32" s="135" customFormat="1" ht="21" customHeight="1">
      <c r="A72" s="132" t="str">
        <f>+'Presupuesto Consolidado'!A58</f>
        <v>11.1.2</v>
      </c>
      <c r="B72" s="140">
        <f t="shared" ref="B72" si="558">IF(A72="","",IF($K$4="Media aritmética",ROUND(AVERAGE(C72,E72,G72,I72,K72,M72,O72,Q72,S72,U72,W72,Y72,AA72,AC72,AE72),2),ROUND(_xlfn.STDEV.P(C72,E72,G72,I72,K72,M72,O72,Q72,S72,U72,W72,Y72,AA72,AC72,AE72),2)))</f>
        <v>2532600</v>
      </c>
      <c r="C72" s="141">
        <f>IF($C$8="Habilitado",IF($A72="","",ROUND(VLOOKUP($A72,'Presupuesto Consolidado'!$A$9:$F$600,6,FALSE),2)),"")</f>
        <v>2532600</v>
      </c>
      <c r="D72" s="142">
        <f t="shared" ref="D72" si="559">IF($A72="","",IF(C72="","",IF($K$4="Media aritmética",(C72&lt;=$B72)*($G$5/$B$5)+(C72&gt;$B72)*0,IF(ROUND(AVERAGE($C72,$E72,$G72,$I72,$K72,$M72,$O72,$Q72,$S72,$U72,$W72,$Y72,$AA72,$AC72,$AE72),2)-$B72/2&lt;=C72,IF(ROUND(AVERAGE($C72,$E72,$G72,$I72,$K72,$M72,$O72,$Q72,$S72,$U72,$W72,$Y72,$AA72,$AC72,$AE72),2)+$B72/2&gt;C72,($G$5/$B$5),0),0))))</f>
        <v>0.45714285714285713</v>
      </c>
      <c r="E72" s="141" t="str">
        <f>IF($E$8="Habilitado",IF($A72="","",ROUND(VLOOKUP($A72,'Presupuesto Consolidado'!$I$9:$N$600,6,FALSE),2)),"")</f>
        <v/>
      </c>
      <c r="F72" s="142" t="str">
        <f t="shared" ref="F72" si="560">IF($A72="","",IF(E72="","",IF($K$4="Media aritmética",(E72&lt;=$B72)*($G$5/$B$5)+(E72&gt;$B72)*0,IF(ROUND(AVERAGE($C72,$E72,$G72,$I72,$K72,$M72,$O72,$Q72,$S72,$U72,$W72,$Y72,$AA72,$AC72,$AE72),2)-$B72/2&lt;=E72,IF(ROUND(AVERAGE($C72,$E72,$G72,$I72,$K72,$M72,$O72,$Q72,$S72,$U72,$W72,$Y72,$AA72,$AC72,$AE72),2)+$B72/2&gt;E72,($G$5/$B$5),0),0))))</f>
        <v/>
      </c>
      <c r="G72" s="141" t="str">
        <f>IF($G$8="Habilitado",IF($A72="","",ROUND(VLOOKUP($A72,'Presupuesto Consolidado'!$Q$9:$V$600,6,FALSE),2)),"")</f>
        <v/>
      </c>
      <c r="H72" s="142" t="str">
        <f t="shared" ref="H72" si="561">IF($A72="","",IF(G72="","",IF($K$4="Media aritmética",(G72&lt;=$B72)*($G$5/$B$5)+(G72&gt;$B72)*0,IF(ROUND(AVERAGE($C72,$E72,$G72,$I72,$K72,$M72,$O72,$Q72,$S72,$U72,$W72,$Y72,$AA72,$AC72,$AE72),2)-$B72/2&lt;=G72,IF(ROUND(AVERAGE($C72,$E72,$G72,$I72,$K72,$M72,$O72,$Q72,$S72,$U72,$W72,$Y72,$AA72,$AC72,$AE72),2)+$B72/2&gt;G72,($G$5/$B$5),0),0))))</f>
        <v/>
      </c>
      <c r="I72" s="141" t="str">
        <f>IF($I$8="Habilitado",IF($A72="","",ROUND(VLOOKUP($A72,'Presupuesto Consolidado'!$Y$9:$AD$600,6,FALSE),2)),"")</f>
        <v/>
      </c>
      <c r="J72" s="142" t="str">
        <f t="shared" ref="J72" si="562">IF($A72="","",IF(I72="","",IF($K$4="Media aritmética",(I72&lt;=$B72)*($G$5/$B$5)+(I72&gt;$B72)*0,IF(ROUND(AVERAGE($C72,$E72,$G72,$I72,$K72,$M72,$O72,$Q72,$S72,$U72,$W72,$Y72,$AA72,$AC72,$AE72),2)-$B72/2&lt;=I72,IF(ROUND(AVERAGE($C72,$E72,$G72,$I72,$K72,$M72,$O72,$Q72,$S72,$U72,$W72,$Y72,$AA72,$AC72,$AE72),2)+$B72/2&gt;I72,($G$5/$B$5),0),0))))</f>
        <v/>
      </c>
      <c r="K72" s="141" t="str">
        <f>IF($K$8="Habilitado",IF($A72="","",ROUND(VLOOKUP($A72,'Presupuesto Consolidado'!#REF!,6,FALSE),2)),"")</f>
        <v/>
      </c>
      <c r="L72" s="142" t="str">
        <f t="shared" ref="L72" si="563">IF($A72="","",IF(K72="","",IF($K$4="Media aritmética",(K72&lt;=$B72)*($G$5/$B$5)+(K72&gt;$B72)*0,IF(ROUND(AVERAGE($C72,$E72,$G72,$I72,$K72,$M72,$O72,$Q72,$S72,$U72,$W72,$Y72,$AA72,$AC72,$AE72),2)-$B72/2&lt;=K72,IF(ROUND(AVERAGE($C72,$E72,$G72,$I72,$K72,$M72,$O72,$Q72,$S72,$U72,$W72,$Y72,$AA72,$AC72,$AE72),2)+$B72/2&gt;K72,($G$5/$B$5),0),0))))</f>
        <v/>
      </c>
      <c r="M72" s="141" t="str">
        <f>IF($M$8="Habilitado",IF($A72="","",ROUND(VLOOKUP($A72,'Presupuesto Consolidado'!#REF!,6,FALSE),2)),"")</f>
        <v/>
      </c>
      <c r="N72" s="142" t="str">
        <f t="shared" ref="N72" si="564">IF($A72="","",IF(M72="","",IF($K$4="Media aritmética",(M72&lt;=$B72)*($G$5/$B$5)+(M72&gt;$B72)*0,IF(ROUND(AVERAGE($C72,$E72,$G72,$I72,$K72,$M72,$O72,$Q72,$S72,$U72,$W72,$Y72,$AA72,$AC72,$AE72),2)-$B72/2&lt;=M72,IF(ROUND(AVERAGE($C72,$E72,$G72,$I72,$K72,$M72,$O72,$Q72,$S72,$U72,$W72,$Y72,$AA72,$AC72,$AE72),2)+$B72/2&gt;M72,($G$5/$B$5),0),0))))</f>
        <v/>
      </c>
      <c r="O72" s="141" t="str">
        <f>IF($O$8="Habilitado",IF($A72="","",ROUND(VLOOKUP($A72,'Presupuesto Consolidado'!#REF!,6,FALSE),2)),"")</f>
        <v/>
      </c>
      <c r="P72" s="142" t="str">
        <f t="shared" ref="P72" si="565">IF($A72="","",IF(O72="","",IF($K$4="Media aritmética",(O72&lt;=$B72)*($G$5/$B$5)+(O72&gt;$B72)*0,IF(ROUND(AVERAGE($C72,$E72,$G72,$I72,$K72,$M72,$O72,$Q72,$S72,$U72,$W72,$Y72,$AA72,$AC72,$AE72),2)-$B72/2&lt;=O72,IF(ROUND(AVERAGE($C72,$E72,$G72,$I72,$K72,$M72,$O72,$Q72,$S72,$U72,$W72,$Y72,$AA72,$AC72,$AE72),2)+$B72/2&gt;O72,($G$5/$B$5),0),0))))</f>
        <v/>
      </c>
      <c r="Q72" s="141" t="str">
        <f>IF($Q$8="Habilitado",IF($A72="","",ROUND(VLOOKUP($A72,'Presupuesto Consolidado'!#REF!,6,FALSE),2)),"")</f>
        <v/>
      </c>
      <c r="R72" s="142" t="str">
        <f t="shared" ref="R72" si="566">IF($A72="","",IF(Q72="","",IF($K$4="Media aritmética",(Q72&lt;=$B72)*($G$5/$B$5)+(Q72&gt;$B72)*0,IF(ROUND(AVERAGE($C72,$E72,$G72,$I72,$K72,$M72,$O72,$Q72,$S72,$U72,$W72,$Y72,$AA72,$AC72,$AE72),2)-$B72/2&lt;=Q72,IF(ROUND(AVERAGE($C72,$E72,$G72,$I72,$K72,$M72,$O72,$Q72,$S72,$U72,$W72,$Y72,$AA72,$AC72,$AE72),2)+$B72/2&gt;Q72,($G$5/$B$5),0),0))))</f>
        <v/>
      </c>
      <c r="S72" s="141" t="str">
        <f>IF($S$8="Habilitado",IF($A72="","",ROUND(VLOOKUP($A72,'Presupuesto Consolidado'!#REF!,6,FALSE),2)),"")</f>
        <v/>
      </c>
      <c r="T72" s="142" t="str">
        <f t="shared" ref="T72" si="567">IF($A72="","",IF(S72="","",IF($K$4="Media aritmética",(S72&lt;=$B72)*($G$5/$B$5)+(S72&gt;$B72)*0,IF(ROUND(AVERAGE($C72,$E72,$G72,$I72,$K72,$M72,$O72,$Q72,$S72,$U72,$W72,$Y72,$AA72,$AC72,$AE72),2)-$B72/2&lt;=S72,IF(ROUND(AVERAGE($C72,$E72,$G72,$I72,$K72,$M72,$O72,$Q72,$S72,$U72,$W72,$Y72,$AA72,$AC72,$AE72),2)+$B72/2&gt;S72,($G$5/$B$5),0),0))))</f>
        <v/>
      </c>
      <c r="U72" s="141" t="str">
        <f>IF($U$8="Habilitado",IF($A72="","",ROUND(VLOOKUP($A72,'Presupuesto Consolidado'!#REF!,6,FALSE),2)),"")</f>
        <v/>
      </c>
      <c r="V72" s="142" t="str">
        <f t="shared" ref="V72" si="568">IF($A72="","",IF(U72="","",IF($K$4="Media aritmética",(U72&lt;=$B72)*($G$5/$B$5)+(U72&gt;$B72)*0,IF(ROUND(AVERAGE($C72,$E72,$G72,$I72,$K72,$M72,$O72,$Q72,$S72,$U72,$W72,$Y72,$AA72,$AC72,$AE72),2)-$B72/2&lt;=U72,IF(ROUND(AVERAGE($C72,$E72,$G72,$I72,$K72,$M72,$O72,$Q72,$S72,$U72,$W72,$Y72,$AA72,$AC72,$AE72),2)+$B72/2&gt;U72,($G$5/$B$5),0),0))))</f>
        <v/>
      </c>
      <c r="W72" s="141" t="str">
        <f>IF($W$8="Habilitado",IF($A72="","",ROUND(VLOOKUP($A72,'Presupuesto Consolidado'!#REF!,6,FALSE),2)),"")</f>
        <v/>
      </c>
      <c r="X72" s="142" t="str">
        <f t="shared" ref="X72" si="569">IF($A72="","",IF(W72="","",IF($K$4="Media aritmética",(W72&lt;=$B72)*($G$5/$B$5)+(W72&gt;$B72)*0,IF(ROUND(AVERAGE($C72,$E72,$G72,$I72,$K72,$M72,$O72,$Q72,$S72,$U72,$W72,$Y72,$AA72,$AC72,$AE72),2)-$B72/2&lt;=W72,IF(ROUND(AVERAGE($C72,$E72,$G72,$I72,$K72,$M72,$O72,$Q72,$S72,$U72,$W72,$Y72,$AA72,$AC72,$AE72),2)+$B72/2&gt;W72,($G$5/$B$5),0),0))))</f>
        <v/>
      </c>
      <c r="Y72" s="141" t="str">
        <f>IF($Y$8="Habilitado",IF($A72="","",ROUND(VLOOKUP($A72,'Presupuesto Consolidado'!#REF!,6,FALSE),2)),"")</f>
        <v/>
      </c>
      <c r="Z72" s="142" t="str">
        <f t="shared" ref="Z72" si="570">IF($A72="","",IF(Y72="","",IF($K$4="Media aritmética",(Y72&lt;=$B72)*($G$5/$B$5)+(Y72&gt;$B72)*0,IF(ROUND(AVERAGE($C72,$E72,$G72,$I72,$K72,$M72,$O72,$Q72,$S72,$U72,$W72,$Y72,$AA72,$AC72,$AE72),2)-$B72/2&lt;=Y72,IF(ROUND(AVERAGE($C72,$E72,$G72,$I72,$K72,$M72,$O72,$Q72,$S72,$U72,$W72,$Y72,$AA72,$AC72,$AE72),2)+$B72/2&gt;Y72,($G$5/$B$5),0),0))))</f>
        <v/>
      </c>
      <c r="AA72" s="141" t="str">
        <f>IF($AA$8="Habilitado",IF($A72="","",ROUND(VLOOKUP($A72,'Presupuesto Consolidado'!#REF!,6,FALSE),2)),"")</f>
        <v/>
      </c>
      <c r="AB72" s="142" t="str">
        <f t="shared" ref="AB72" si="571">IF($A72="","",IF(AA72="","",IF($K$4="Media aritmética",(AA72&lt;=$B72)*($G$5/$B$5)+(AA72&gt;$B72)*0,IF(ROUND(AVERAGE($C72,$E72,$G72,$I72,$K72,$M72,$O72,$Q72,$S72,$U72,$W72,$Y72,$AA72,$AC72,$AE72),2)-$B72/2&lt;=AA72,IF(ROUND(AVERAGE($C72,$E72,$G72,$I72,$K72,$M72,$O72,$Q72,$S72,$U72,$W72,$Y72,$AA72,$AC72,$AE72),2)+$B72/2&gt;AA72,($G$5/$B$5),0),0))))</f>
        <v/>
      </c>
      <c r="AC72" s="141" t="str">
        <f>IF($AC$8="Habilitado",IF($A72="","",ROUND(VLOOKUP($A72,'Presupuesto Consolidado'!#REF!,6,FALSE),2)),"")</f>
        <v/>
      </c>
      <c r="AD72" s="142" t="str">
        <f t="shared" ref="AD72" si="572">IF($A72="","",IF(AC72="","",IF($K$4="Media aritmética",(AC72&lt;=$B72)*($G$5/$B$5)+(AC72&gt;$B72)*0,IF(ROUND(AVERAGE($C72,$E72,$G72,$I72,$K72,$M72,$O72,$Q72,$S72,$U72,$W72,$Y72,$AA72,$AC72,$AE72),2)-$B72/2&lt;=AC72,IF(ROUND(AVERAGE($C72,$E72,$G72,$I72,$K72,$M72,$O72,$Q72,$S72,$U72,$W72,$Y72,$AA72,$AC72,$AE72),2)+$B72/2&gt;AC72,($G$5/$B$5),0),0))))</f>
        <v/>
      </c>
      <c r="AE72" s="141" t="str">
        <f>IF($AE$8="Habilitado",IF($A72="","",ROUND(VLOOKUP($A72,'Presupuesto Consolidado'!#REF!,6,FALSE),2)),"")</f>
        <v/>
      </c>
      <c r="AF72" s="142" t="str">
        <f t="shared" ref="AF72" si="573">IF($A72="","",IF(AE72="","",IF($K$4="Media aritmética",(AE72&lt;=$B72)*($G$5/$B$5)+(AE72&gt;$B72)*0,IF(ROUND(AVERAGE($C72,$E72,$G72,$I72,$K72,$M72,$O72,$Q72,$S72,$U72,$W72,$Y72,$AA72,$AC72,$AE72),2)-$B72/2&lt;=AE72,IF(ROUND(AVERAGE($C72,$E72,$G72,$I72,$K72,$M72,$O72,$Q72,$S72,$U72,$W72,$Y72,$AA72,$AC72,$AE72),2)+$B72/2&gt;AE72,($G$5/$B$5),0),0))))</f>
        <v/>
      </c>
    </row>
    <row r="73" spans="1:32" s="135" customFormat="1" ht="21" customHeight="1">
      <c r="A73" s="132" t="str">
        <f>+'Presupuesto Consolidado'!A67</f>
        <v>11.2.7</v>
      </c>
      <c r="B73" s="140">
        <f t="shared" ref="B73" si="574">IF(A73="","",IF($K$4="Media aritmética",ROUND(AVERAGE(C73,E73,G73,I73,K73,M73,O73,Q73,S73,U73,W73,Y73,AA73,AC73,AE73),2),ROUND(_xlfn.STDEV.P(C73,E73,G73,I73,K73,M73,O73,Q73,S73,U73,W73,Y73,AA73,AC73,AE73),2)))</f>
        <v>3859200</v>
      </c>
      <c r="C73" s="141">
        <f>IF($C$8="Habilitado",IF($A73="","",ROUND(VLOOKUP($A73,'Presupuesto Consolidado'!$A$9:$F$600,6,FALSE),2)),"")</f>
        <v>3859200</v>
      </c>
      <c r="D73" s="142">
        <f t="shared" ref="D73" si="575">IF($A73="","",IF(C73="","",IF($K$4="Media aritmética",(C73&lt;=$B73)*($G$5/$B$5)+(C73&gt;$B73)*0,IF(ROUND(AVERAGE($C73,$E73,$G73,$I73,$K73,$M73,$O73,$Q73,$S73,$U73,$W73,$Y73,$AA73,$AC73,$AE73),2)-$B73/2&lt;=C73,IF(ROUND(AVERAGE($C73,$E73,$G73,$I73,$K73,$M73,$O73,$Q73,$S73,$U73,$W73,$Y73,$AA73,$AC73,$AE73),2)+$B73/2&gt;C73,($G$5/$B$5),0),0))))</f>
        <v>0.45714285714285713</v>
      </c>
      <c r="E73" s="141" t="str">
        <f>IF($E$8="Habilitado",IF($A73="","",ROUND(VLOOKUP($A73,'Presupuesto Consolidado'!$I$9:$N$600,6,FALSE),2)),"")</f>
        <v/>
      </c>
      <c r="F73" s="142" t="str">
        <f t="shared" ref="F73" si="576">IF($A73="","",IF(E73="","",IF($K$4="Media aritmética",(E73&lt;=$B73)*($G$5/$B$5)+(E73&gt;$B73)*0,IF(ROUND(AVERAGE($C73,$E73,$G73,$I73,$K73,$M73,$O73,$Q73,$S73,$U73,$W73,$Y73,$AA73,$AC73,$AE73),2)-$B73/2&lt;=E73,IF(ROUND(AVERAGE($C73,$E73,$G73,$I73,$K73,$M73,$O73,$Q73,$S73,$U73,$W73,$Y73,$AA73,$AC73,$AE73),2)+$B73/2&gt;E73,($G$5/$B$5),0),0))))</f>
        <v/>
      </c>
      <c r="G73" s="141" t="str">
        <f>IF($G$8="Habilitado",IF($A73="","",ROUND(VLOOKUP($A73,'Presupuesto Consolidado'!$Q$9:$V$600,6,FALSE),2)),"")</f>
        <v/>
      </c>
      <c r="H73" s="142" t="str">
        <f t="shared" ref="H73" si="577">IF($A73="","",IF(G73="","",IF($K$4="Media aritmética",(G73&lt;=$B73)*($G$5/$B$5)+(G73&gt;$B73)*0,IF(ROUND(AVERAGE($C73,$E73,$G73,$I73,$K73,$M73,$O73,$Q73,$S73,$U73,$W73,$Y73,$AA73,$AC73,$AE73),2)-$B73/2&lt;=G73,IF(ROUND(AVERAGE($C73,$E73,$G73,$I73,$K73,$M73,$O73,$Q73,$S73,$U73,$W73,$Y73,$AA73,$AC73,$AE73),2)+$B73/2&gt;G73,($G$5/$B$5),0),0))))</f>
        <v/>
      </c>
      <c r="I73" s="141" t="str">
        <f>IF($I$8="Habilitado",IF($A73="","",ROUND(VLOOKUP($A73,'Presupuesto Consolidado'!$Y$9:$AD$600,6,FALSE),2)),"")</f>
        <v/>
      </c>
      <c r="J73" s="142" t="str">
        <f t="shared" ref="J73" si="578">IF($A73="","",IF(I73="","",IF($K$4="Media aritmética",(I73&lt;=$B73)*($G$5/$B$5)+(I73&gt;$B73)*0,IF(ROUND(AVERAGE($C73,$E73,$G73,$I73,$K73,$M73,$O73,$Q73,$S73,$U73,$W73,$Y73,$AA73,$AC73,$AE73),2)-$B73/2&lt;=I73,IF(ROUND(AVERAGE($C73,$E73,$G73,$I73,$K73,$M73,$O73,$Q73,$S73,$U73,$W73,$Y73,$AA73,$AC73,$AE73),2)+$B73/2&gt;I73,($G$5/$B$5),0),0))))</f>
        <v/>
      </c>
      <c r="K73" s="141" t="str">
        <f>IF($K$8="Habilitado",IF($A73="","",ROUND(VLOOKUP($A73,'Presupuesto Consolidado'!#REF!,6,FALSE),2)),"")</f>
        <v/>
      </c>
      <c r="L73" s="142" t="str">
        <f t="shared" ref="L73" si="579">IF($A73="","",IF(K73="","",IF($K$4="Media aritmética",(K73&lt;=$B73)*($G$5/$B$5)+(K73&gt;$B73)*0,IF(ROUND(AVERAGE($C73,$E73,$G73,$I73,$K73,$M73,$O73,$Q73,$S73,$U73,$W73,$Y73,$AA73,$AC73,$AE73),2)-$B73/2&lt;=K73,IF(ROUND(AVERAGE($C73,$E73,$G73,$I73,$K73,$M73,$O73,$Q73,$S73,$U73,$W73,$Y73,$AA73,$AC73,$AE73),2)+$B73/2&gt;K73,($G$5/$B$5),0),0))))</f>
        <v/>
      </c>
      <c r="M73" s="141" t="str">
        <f>IF($M$8="Habilitado",IF($A73="","",ROUND(VLOOKUP($A73,'Presupuesto Consolidado'!#REF!,6,FALSE),2)),"")</f>
        <v/>
      </c>
      <c r="N73" s="142" t="str">
        <f t="shared" ref="N73" si="580">IF($A73="","",IF(M73="","",IF($K$4="Media aritmética",(M73&lt;=$B73)*($G$5/$B$5)+(M73&gt;$B73)*0,IF(ROUND(AVERAGE($C73,$E73,$G73,$I73,$K73,$M73,$O73,$Q73,$S73,$U73,$W73,$Y73,$AA73,$AC73,$AE73),2)-$B73/2&lt;=M73,IF(ROUND(AVERAGE($C73,$E73,$G73,$I73,$K73,$M73,$O73,$Q73,$S73,$U73,$W73,$Y73,$AA73,$AC73,$AE73),2)+$B73/2&gt;M73,($G$5/$B$5),0),0))))</f>
        <v/>
      </c>
      <c r="O73" s="141" t="str">
        <f>IF($O$8="Habilitado",IF($A73="","",ROUND(VLOOKUP($A73,'Presupuesto Consolidado'!#REF!,6,FALSE),2)),"")</f>
        <v/>
      </c>
      <c r="P73" s="142" t="str">
        <f t="shared" ref="P73" si="581">IF($A73="","",IF(O73="","",IF($K$4="Media aritmética",(O73&lt;=$B73)*($G$5/$B$5)+(O73&gt;$B73)*0,IF(ROUND(AVERAGE($C73,$E73,$G73,$I73,$K73,$M73,$O73,$Q73,$S73,$U73,$W73,$Y73,$AA73,$AC73,$AE73),2)-$B73/2&lt;=O73,IF(ROUND(AVERAGE($C73,$E73,$G73,$I73,$K73,$M73,$O73,$Q73,$S73,$U73,$W73,$Y73,$AA73,$AC73,$AE73),2)+$B73/2&gt;O73,($G$5/$B$5),0),0))))</f>
        <v/>
      </c>
      <c r="Q73" s="141" t="str">
        <f>IF($Q$8="Habilitado",IF($A73="","",ROUND(VLOOKUP($A73,'Presupuesto Consolidado'!#REF!,6,FALSE),2)),"")</f>
        <v/>
      </c>
      <c r="R73" s="142" t="str">
        <f t="shared" ref="R73" si="582">IF($A73="","",IF(Q73="","",IF($K$4="Media aritmética",(Q73&lt;=$B73)*($G$5/$B$5)+(Q73&gt;$B73)*0,IF(ROUND(AVERAGE($C73,$E73,$G73,$I73,$K73,$M73,$O73,$Q73,$S73,$U73,$W73,$Y73,$AA73,$AC73,$AE73),2)-$B73/2&lt;=Q73,IF(ROUND(AVERAGE($C73,$E73,$G73,$I73,$K73,$M73,$O73,$Q73,$S73,$U73,$W73,$Y73,$AA73,$AC73,$AE73),2)+$B73/2&gt;Q73,($G$5/$B$5),0),0))))</f>
        <v/>
      </c>
      <c r="S73" s="141" t="str">
        <f>IF($S$8="Habilitado",IF($A73="","",ROUND(VLOOKUP($A73,'Presupuesto Consolidado'!#REF!,6,FALSE),2)),"")</f>
        <v/>
      </c>
      <c r="T73" s="142" t="str">
        <f t="shared" ref="T73" si="583">IF($A73="","",IF(S73="","",IF($K$4="Media aritmética",(S73&lt;=$B73)*($G$5/$B$5)+(S73&gt;$B73)*0,IF(ROUND(AVERAGE($C73,$E73,$G73,$I73,$K73,$M73,$O73,$Q73,$S73,$U73,$W73,$Y73,$AA73,$AC73,$AE73),2)-$B73/2&lt;=S73,IF(ROUND(AVERAGE($C73,$E73,$G73,$I73,$K73,$M73,$O73,$Q73,$S73,$U73,$W73,$Y73,$AA73,$AC73,$AE73),2)+$B73/2&gt;S73,($G$5/$B$5),0),0))))</f>
        <v/>
      </c>
      <c r="U73" s="141" t="str">
        <f>IF($U$8="Habilitado",IF($A73="","",ROUND(VLOOKUP($A73,'Presupuesto Consolidado'!#REF!,6,FALSE),2)),"")</f>
        <v/>
      </c>
      <c r="V73" s="142" t="str">
        <f t="shared" ref="V73" si="584">IF($A73="","",IF(U73="","",IF($K$4="Media aritmética",(U73&lt;=$B73)*($G$5/$B$5)+(U73&gt;$B73)*0,IF(ROUND(AVERAGE($C73,$E73,$G73,$I73,$K73,$M73,$O73,$Q73,$S73,$U73,$W73,$Y73,$AA73,$AC73,$AE73),2)-$B73/2&lt;=U73,IF(ROUND(AVERAGE($C73,$E73,$G73,$I73,$K73,$M73,$O73,$Q73,$S73,$U73,$W73,$Y73,$AA73,$AC73,$AE73),2)+$B73/2&gt;U73,($G$5/$B$5),0),0))))</f>
        <v/>
      </c>
      <c r="W73" s="141" t="str">
        <f>IF($W$8="Habilitado",IF($A73="","",ROUND(VLOOKUP($A73,'Presupuesto Consolidado'!#REF!,6,FALSE),2)),"")</f>
        <v/>
      </c>
      <c r="X73" s="142" t="str">
        <f t="shared" ref="X73" si="585">IF($A73="","",IF(W73="","",IF($K$4="Media aritmética",(W73&lt;=$B73)*($G$5/$B$5)+(W73&gt;$B73)*0,IF(ROUND(AVERAGE($C73,$E73,$G73,$I73,$K73,$M73,$O73,$Q73,$S73,$U73,$W73,$Y73,$AA73,$AC73,$AE73),2)-$B73/2&lt;=W73,IF(ROUND(AVERAGE($C73,$E73,$G73,$I73,$K73,$M73,$O73,$Q73,$S73,$U73,$W73,$Y73,$AA73,$AC73,$AE73),2)+$B73/2&gt;W73,($G$5/$B$5),0),0))))</f>
        <v/>
      </c>
      <c r="Y73" s="141" t="str">
        <f>IF($Y$8="Habilitado",IF($A73="","",ROUND(VLOOKUP($A73,'Presupuesto Consolidado'!#REF!,6,FALSE),2)),"")</f>
        <v/>
      </c>
      <c r="Z73" s="142" t="str">
        <f t="shared" ref="Z73" si="586">IF($A73="","",IF(Y73="","",IF($K$4="Media aritmética",(Y73&lt;=$B73)*($G$5/$B$5)+(Y73&gt;$B73)*0,IF(ROUND(AVERAGE($C73,$E73,$G73,$I73,$K73,$M73,$O73,$Q73,$S73,$U73,$W73,$Y73,$AA73,$AC73,$AE73),2)-$B73/2&lt;=Y73,IF(ROUND(AVERAGE($C73,$E73,$G73,$I73,$K73,$M73,$O73,$Q73,$S73,$U73,$W73,$Y73,$AA73,$AC73,$AE73),2)+$B73/2&gt;Y73,($G$5/$B$5),0),0))))</f>
        <v/>
      </c>
      <c r="AA73" s="141" t="str">
        <f>IF($AA$8="Habilitado",IF($A73="","",ROUND(VLOOKUP($A73,'Presupuesto Consolidado'!#REF!,6,FALSE),2)),"")</f>
        <v/>
      </c>
      <c r="AB73" s="142" t="str">
        <f t="shared" ref="AB73" si="587">IF($A73="","",IF(AA73="","",IF($K$4="Media aritmética",(AA73&lt;=$B73)*($G$5/$B$5)+(AA73&gt;$B73)*0,IF(ROUND(AVERAGE($C73,$E73,$G73,$I73,$K73,$M73,$O73,$Q73,$S73,$U73,$W73,$Y73,$AA73,$AC73,$AE73),2)-$B73/2&lt;=AA73,IF(ROUND(AVERAGE($C73,$E73,$G73,$I73,$K73,$M73,$O73,$Q73,$S73,$U73,$W73,$Y73,$AA73,$AC73,$AE73),2)+$B73/2&gt;AA73,($G$5/$B$5),0),0))))</f>
        <v/>
      </c>
      <c r="AC73" s="141" t="str">
        <f>IF($AC$8="Habilitado",IF($A73="","",ROUND(VLOOKUP($A73,'Presupuesto Consolidado'!#REF!,6,FALSE),2)),"")</f>
        <v/>
      </c>
      <c r="AD73" s="142" t="str">
        <f t="shared" ref="AD73" si="588">IF($A73="","",IF(AC73="","",IF($K$4="Media aritmética",(AC73&lt;=$B73)*($G$5/$B$5)+(AC73&gt;$B73)*0,IF(ROUND(AVERAGE($C73,$E73,$G73,$I73,$K73,$M73,$O73,$Q73,$S73,$U73,$W73,$Y73,$AA73,$AC73,$AE73),2)-$B73/2&lt;=AC73,IF(ROUND(AVERAGE($C73,$E73,$G73,$I73,$K73,$M73,$O73,$Q73,$S73,$U73,$W73,$Y73,$AA73,$AC73,$AE73),2)+$B73/2&gt;AC73,($G$5/$B$5),0),0))))</f>
        <v/>
      </c>
      <c r="AE73" s="141" t="str">
        <f>IF($AE$8="Habilitado",IF($A73="","",ROUND(VLOOKUP($A73,'Presupuesto Consolidado'!#REF!,6,FALSE),2)),"")</f>
        <v/>
      </c>
      <c r="AF73" s="142" t="str">
        <f t="shared" ref="AF73" si="589">IF($A73="","",IF(AE73="","",IF($K$4="Media aritmética",(AE73&lt;=$B73)*($G$5/$B$5)+(AE73&gt;$B73)*0,IF(ROUND(AVERAGE($C73,$E73,$G73,$I73,$K73,$M73,$O73,$Q73,$S73,$U73,$W73,$Y73,$AA73,$AC73,$AE73),2)-$B73/2&lt;=AE73,IF(ROUND(AVERAGE($C73,$E73,$G73,$I73,$K73,$M73,$O73,$Q73,$S73,$U73,$W73,$Y73,$AA73,$AC73,$AE73),2)+$B73/2&gt;AE73,($G$5/$B$5),0),0))))</f>
        <v/>
      </c>
    </row>
    <row r="74" spans="1:32" s="135" customFormat="1" ht="21" customHeight="1">
      <c r="A74" s="132" t="str">
        <f>+'Presupuesto Consolidado'!A69</f>
        <v>11.3.1</v>
      </c>
      <c r="B74" s="140">
        <f t="shared" ref="B74" si="590">IF(A74="","",IF($K$4="Media aritmética",ROUND(AVERAGE(C74,E74,G74,I74,K74,M74,O74,Q74,S74,U74,W74,Y74,AA74,AC74,AE74),2),ROUND(_xlfn.STDEV.P(C74,E74,G74,I74,K74,M74,O74,Q74,S74,U74,W74,Y74,AA74,AC74,AE74),2)))</f>
        <v>1748700</v>
      </c>
      <c r="C74" s="141">
        <f>IF($C$8="Habilitado",IF($A74="","",ROUND(VLOOKUP($A74,'Presupuesto Consolidado'!$A$9:$F$600,6,FALSE),2)),"")</f>
        <v>1748700</v>
      </c>
      <c r="D74" s="142">
        <f t="shared" ref="D74" si="591">IF($A74="","",IF(C74="","",IF($K$4="Media aritmética",(C74&lt;=$B74)*($G$5/$B$5)+(C74&gt;$B74)*0,IF(ROUND(AVERAGE($C74,$E74,$G74,$I74,$K74,$M74,$O74,$Q74,$S74,$U74,$W74,$Y74,$AA74,$AC74,$AE74),2)-$B74/2&lt;=C74,IF(ROUND(AVERAGE($C74,$E74,$G74,$I74,$K74,$M74,$O74,$Q74,$S74,$U74,$W74,$Y74,$AA74,$AC74,$AE74),2)+$B74/2&gt;C74,($G$5/$B$5),0),0))))</f>
        <v>0.45714285714285713</v>
      </c>
      <c r="E74" s="141" t="str">
        <f>IF($E$8="Habilitado",IF($A74="","",ROUND(VLOOKUP($A74,'Presupuesto Consolidado'!$I$9:$N$600,6,FALSE),2)),"")</f>
        <v/>
      </c>
      <c r="F74" s="142" t="str">
        <f t="shared" ref="F74" si="592">IF($A74="","",IF(E74="","",IF($K$4="Media aritmética",(E74&lt;=$B74)*($G$5/$B$5)+(E74&gt;$B74)*0,IF(ROUND(AVERAGE($C74,$E74,$G74,$I74,$K74,$M74,$O74,$Q74,$S74,$U74,$W74,$Y74,$AA74,$AC74,$AE74),2)-$B74/2&lt;=E74,IF(ROUND(AVERAGE($C74,$E74,$G74,$I74,$K74,$M74,$O74,$Q74,$S74,$U74,$W74,$Y74,$AA74,$AC74,$AE74),2)+$B74/2&gt;E74,($G$5/$B$5),0),0))))</f>
        <v/>
      </c>
      <c r="G74" s="141" t="str">
        <f>IF($G$8="Habilitado",IF($A74="","",ROUND(VLOOKUP($A74,'Presupuesto Consolidado'!$Q$9:$V$600,6,FALSE),2)),"")</f>
        <v/>
      </c>
      <c r="H74" s="142" t="str">
        <f t="shared" ref="H74" si="593">IF($A74="","",IF(G74="","",IF($K$4="Media aritmética",(G74&lt;=$B74)*($G$5/$B$5)+(G74&gt;$B74)*0,IF(ROUND(AVERAGE($C74,$E74,$G74,$I74,$K74,$M74,$O74,$Q74,$S74,$U74,$W74,$Y74,$AA74,$AC74,$AE74),2)-$B74/2&lt;=G74,IF(ROUND(AVERAGE($C74,$E74,$G74,$I74,$K74,$M74,$O74,$Q74,$S74,$U74,$W74,$Y74,$AA74,$AC74,$AE74),2)+$B74/2&gt;G74,($G$5/$B$5),0),0))))</f>
        <v/>
      </c>
      <c r="I74" s="141" t="str">
        <f>IF($I$8="Habilitado",IF($A74="","",ROUND(VLOOKUP($A74,'Presupuesto Consolidado'!$Y$9:$AD$600,6,FALSE),2)),"")</f>
        <v/>
      </c>
      <c r="J74" s="142" t="str">
        <f t="shared" ref="J74" si="594">IF($A74="","",IF(I74="","",IF($K$4="Media aritmética",(I74&lt;=$B74)*($G$5/$B$5)+(I74&gt;$B74)*0,IF(ROUND(AVERAGE($C74,$E74,$G74,$I74,$K74,$M74,$O74,$Q74,$S74,$U74,$W74,$Y74,$AA74,$AC74,$AE74),2)-$B74/2&lt;=I74,IF(ROUND(AVERAGE($C74,$E74,$G74,$I74,$K74,$M74,$O74,$Q74,$S74,$U74,$W74,$Y74,$AA74,$AC74,$AE74),2)+$B74/2&gt;I74,($G$5/$B$5),0),0))))</f>
        <v/>
      </c>
      <c r="K74" s="141" t="str">
        <f>IF($K$8="Habilitado",IF($A74="","",ROUND(VLOOKUP($A74,'Presupuesto Consolidado'!#REF!,6,FALSE),2)),"")</f>
        <v/>
      </c>
      <c r="L74" s="142" t="str">
        <f t="shared" ref="L74" si="595">IF($A74="","",IF(K74="","",IF($K$4="Media aritmética",(K74&lt;=$B74)*($G$5/$B$5)+(K74&gt;$B74)*0,IF(ROUND(AVERAGE($C74,$E74,$G74,$I74,$K74,$M74,$O74,$Q74,$S74,$U74,$W74,$Y74,$AA74,$AC74,$AE74),2)-$B74/2&lt;=K74,IF(ROUND(AVERAGE($C74,$E74,$G74,$I74,$K74,$M74,$O74,$Q74,$S74,$U74,$W74,$Y74,$AA74,$AC74,$AE74),2)+$B74/2&gt;K74,($G$5/$B$5),0),0))))</f>
        <v/>
      </c>
      <c r="M74" s="141" t="str">
        <f>IF($M$8="Habilitado",IF($A74="","",ROUND(VLOOKUP($A74,'Presupuesto Consolidado'!#REF!,6,FALSE),2)),"")</f>
        <v/>
      </c>
      <c r="N74" s="142" t="str">
        <f t="shared" ref="N74" si="596">IF($A74="","",IF(M74="","",IF($K$4="Media aritmética",(M74&lt;=$B74)*($G$5/$B$5)+(M74&gt;$B74)*0,IF(ROUND(AVERAGE($C74,$E74,$G74,$I74,$K74,$M74,$O74,$Q74,$S74,$U74,$W74,$Y74,$AA74,$AC74,$AE74),2)-$B74/2&lt;=M74,IF(ROUND(AVERAGE($C74,$E74,$G74,$I74,$K74,$M74,$O74,$Q74,$S74,$U74,$W74,$Y74,$AA74,$AC74,$AE74),2)+$B74/2&gt;M74,($G$5/$B$5),0),0))))</f>
        <v/>
      </c>
      <c r="O74" s="141" t="str">
        <f>IF($O$8="Habilitado",IF($A74="","",ROUND(VLOOKUP($A74,'Presupuesto Consolidado'!#REF!,6,FALSE),2)),"")</f>
        <v/>
      </c>
      <c r="P74" s="142" t="str">
        <f t="shared" ref="P74" si="597">IF($A74="","",IF(O74="","",IF($K$4="Media aritmética",(O74&lt;=$B74)*($G$5/$B$5)+(O74&gt;$B74)*0,IF(ROUND(AVERAGE($C74,$E74,$G74,$I74,$K74,$M74,$O74,$Q74,$S74,$U74,$W74,$Y74,$AA74,$AC74,$AE74),2)-$B74/2&lt;=O74,IF(ROUND(AVERAGE($C74,$E74,$G74,$I74,$K74,$M74,$O74,$Q74,$S74,$U74,$W74,$Y74,$AA74,$AC74,$AE74),2)+$B74/2&gt;O74,($G$5/$B$5),0),0))))</f>
        <v/>
      </c>
      <c r="Q74" s="141" t="str">
        <f>IF($Q$8="Habilitado",IF($A74="","",ROUND(VLOOKUP($A74,'Presupuesto Consolidado'!#REF!,6,FALSE),2)),"")</f>
        <v/>
      </c>
      <c r="R74" s="142" t="str">
        <f t="shared" ref="R74" si="598">IF($A74="","",IF(Q74="","",IF($K$4="Media aritmética",(Q74&lt;=$B74)*($G$5/$B$5)+(Q74&gt;$B74)*0,IF(ROUND(AVERAGE($C74,$E74,$G74,$I74,$K74,$M74,$O74,$Q74,$S74,$U74,$W74,$Y74,$AA74,$AC74,$AE74),2)-$B74/2&lt;=Q74,IF(ROUND(AVERAGE($C74,$E74,$G74,$I74,$K74,$M74,$O74,$Q74,$S74,$U74,$W74,$Y74,$AA74,$AC74,$AE74),2)+$B74/2&gt;Q74,($G$5/$B$5),0),0))))</f>
        <v/>
      </c>
      <c r="S74" s="141" t="str">
        <f>IF($S$8="Habilitado",IF($A74="","",ROUND(VLOOKUP($A74,'Presupuesto Consolidado'!#REF!,6,FALSE),2)),"")</f>
        <v/>
      </c>
      <c r="T74" s="142" t="str">
        <f t="shared" ref="T74" si="599">IF($A74="","",IF(S74="","",IF($K$4="Media aritmética",(S74&lt;=$B74)*($G$5/$B$5)+(S74&gt;$B74)*0,IF(ROUND(AVERAGE($C74,$E74,$G74,$I74,$K74,$M74,$O74,$Q74,$S74,$U74,$W74,$Y74,$AA74,$AC74,$AE74),2)-$B74/2&lt;=S74,IF(ROUND(AVERAGE($C74,$E74,$G74,$I74,$K74,$M74,$O74,$Q74,$S74,$U74,$W74,$Y74,$AA74,$AC74,$AE74),2)+$B74/2&gt;S74,($G$5/$B$5),0),0))))</f>
        <v/>
      </c>
      <c r="U74" s="141" t="str">
        <f>IF($U$8="Habilitado",IF($A74="","",ROUND(VLOOKUP($A74,'Presupuesto Consolidado'!#REF!,6,FALSE),2)),"")</f>
        <v/>
      </c>
      <c r="V74" s="142" t="str">
        <f t="shared" ref="V74" si="600">IF($A74="","",IF(U74="","",IF($K$4="Media aritmética",(U74&lt;=$B74)*($G$5/$B$5)+(U74&gt;$B74)*0,IF(ROUND(AVERAGE($C74,$E74,$G74,$I74,$K74,$M74,$O74,$Q74,$S74,$U74,$W74,$Y74,$AA74,$AC74,$AE74),2)-$B74/2&lt;=U74,IF(ROUND(AVERAGE($C74,$E74,$G74,$I74,$K74,$M74,$O74,$Q74,$S74,$U74,$W74,$Y74,$AA74,$AC74,$AE74),2)+$B74/2&gt;U74,($G$5/$B$5),0),0))))</f>
        <v/>
      </c>
      <c r="W74" s="141" t="str">
        <f>IF($W$8="Habilitado",IF($A74="","",ROUND(VLOOKUP($A74,'Presupuesto Consolidado'!#REF!,6,FALSE),2)),"")</f>
        <v/>
      </c>
      <c r="X74" s="142" t="str">
        <f t="shared" ref="X74" si="601">IF($A74="","",IF(W74="","",IF($K$4="Media aritmética",(W74&lt;=$B74)*($G$5/$B$5)+(W74&gt;$B74)*0,IF(ROUND(AVERAGE($C74,$E74,$G74,$I74,$K74,$M74,$O74,$Q74,$S74,$U74,$W74,$Y74,$AA74,$AC74,$AE74),2)-$B74/2&lt;=W74,IF(ROUND(AVERAGE($C74,$E74,$G74,$I74,$K74,$M74,$O74,$Q74,$S74,$U74,$W74,$Y74,$AA74,$AC74,$AE74),2)+$B74/2&gt;W74,($G$5/$B$5),0),0))))</f>
        <v/>
      </c>
      <c r="Y74" s="141" t="str">
        <f>IF($Y$8="Habilitado",IF($A74="","",ROUND(VLOOKUP($A74,'Presupuesto Consolidado'!#REF!,6,FALSE),2)),"")</f>
        <v/>
      </c>
      <c r="Z74" s="142" t="str">
        <f t="shared" ref="Z74" si="602">IF($A74="","",IF(Y74="","",IF($K$4="Media aritmética",(Y74&lt;=$B74)*($G$5/$B$5)+(Y74&gt;$B74)*0,IF(ROUND(AVERAGE($C74,$E74,$G74,$I74,$K74,$M74,$O74,$Q74,$S74,$U74,$W74,$Y74,$AA74,$AC74,$AE74),2)-$B74/2&lt;=Y74,IF(ROUND(AVERAGE($C74,$E74,$G74,$I74,$K74,$M74,$O74,$Q74,$S74,$U74,$W74,$Y74,$AA74,$AC74,$AE74),2)+$B74/2&gt;Y74,($G$5/$B$5),0),0))))</f>
        <v/>
      </c>
      <c r="AA74" s="141" t="str">
        <f>IF($AA$8="Habilitado",IF($A74="","",ROUND(VLOOKUP($A74,'Presupuesto Consolidado'!#REF!,6,FALSE),2)),"")</f>
        <v/>
      </c>
      <c r="AB74" s="142" t="str">
        <f t="shared" ref="AB74" si="603">IF($A74="","",IF(AA74="","",IF($K$4="Media aritmética",(AA74&lt;=$B74)*($G$5/$B$5)+(AA74&gt;$B74)*0,IF(ROUND(AVERAGE($C74,$E74,$G74,$I74,$K74,$M74,$O74,$Q74,$S74,$U74,$W74,$Y74,$AA74,$AC74,$AE74),2)-$B74/2&lt;=AA74,IF(ROUND(AVERAGE($C74,$E74,$G74,$I74,$K74,$M74,$O74,$Q74,$S74,$U74,$W74,$Y74,$AA74,$AC74,$AE74),2)+$B74/2&gt;AA74,($G$5/$B$5),0),0))))</f>
        <v/>
      </c>
      <c r="AC74" s="141" t="str">
        <f>IF($AC$8="Habilitado",IF($A74="","",ROUND(VLOOKUP($A74,'Presupuesto Consolidado'!#REF!,6,FALSE),2)),"")</f>
        <v/>
      </c>
      <c r="AD74" s="142" t="str">
        <f t="shared" ref="AD74" si="604">IF($A74="","",IF(AC74="","",IF($K$4="Media aritmética",(AC74&lt;=$B74)*($G$5/$B$5)+(AC74&gt;$B74)*0,IF(ROUND(AVERAGE($C74,$E74,$G74,$I74,$K74,$M74,$O74,$Q74,$S74,$U74,$W74,$Y74,$AA74,$AC74,$AE74),2)-$B74/2&lt;=AC74,IF(ROUND(AVERAGE($C74,$E74,$G74,$I74,$K74,$M74,$O74,$Q74,$S74,$U74,$W74,$Y74,$AA74,$AC74,$AE74),2)+$B74/2&gt;AC74,($G$5/$B$5),0),0))))</f>
        <v/>
      </c>
      <c r="AE74" s="141" t="str">
        <f>IF($AE$8="Habilitado",IF($A74="","",ROUND(VLOOKUP($A74,'Presupuesto Consolidado'!#REF!,6,FALSE),2)),"")</f>
        <v/>
      </c>
      <c r="AF74" s="142" t="str">
        <f t="shared" ref="AF74" si="605">IF($A74="","",IF(AE74="","",IF($K$4="Media aritmética",(AE74&lt;=$B74)*($G$5/$B$5)+(AE74&gt;$B74)*0,IF(ROUND(AVERAGE($C74,$E74,$G74,$I74,$K74,$M74,$O74,$Q74,$S74,$U74,$W74,$Y74,$AA74,$AC74,$AE74),2)-$B74/2&lt;=AE74,IF(ROUND(AVERAGE($C74,$E74,$G74,$I74,$K74,$M74,$O74,$Q74,$S74,$U74,$W74,$Y74,$AA74,$AC74,$AE74),2)+$B74/2&gt;AE74,($G$5/$B$5),0),0))))</f>
        <v/>
      </c>
    </row>
    <row r="75" spans="1:32" s="135" customFormat="1" ht="21" customHeight="1">
      <c r="A75" s="132" t="str">
        <f>+'Presupuesto Consolidado'!A70</f>
        <v>11.3.2</v>
      </c>
      <c r="B75" s="140">
        <f t="shared" ref="B75" si="606">IF(A75="","",IF($K$4="Media aritmética",ROUND(AVERAGE(C75,E75,G75,I75,K75,M75,O75,Q75,S75,U75,W75,Y75,AA75,AC75,AE75),2),ROUND(_xlfn.STDEV.P(C75,E75,G75,I75,K75,M75,O75,Q75,S75,U75,W75,Y75,AA75,AC75,AE75),2)))</f>
        <v>102510</v>
      </c>
      <c r="C75" s="141">
        <f>IF($C$8="Habilitado",IF($A75="","",ROUND(VLOOKUP($A75,'Presupuesto Consolidado'!$A$9:$F$600,6,FALSE),2)),"")</f>
        <v>102510</v>
      </c>
      <c r="D75" s="142">
        <f t="shared" ref="D75" si="607">IF($A75="","",IF(C75="","",IF($K$4="Media aritmética",(C75&lt;=$B75)*($G$5/$B$5)+(C75&gt;$B75)*0,IF(ROUND(AVERAGE($C75,$E75,$G75,$I75,$K75,$M75,$O75,$Q75,$S75,$U75,$W75,$Y75,$AA75,$AC75,$AE75),2)-$B75/2&lt;=C75,IF(ROUND(AVERAGE($C75,$E75,$G75,$I75,$K75,$M75,$O75,$Q75,$S75,$U75,$W75,$Y75,$AA75,$AC75,$AE75),2)+$B75/2&gt;C75,($G$5/$B$5),0),0))))</f>
        <v>0.45714285714285713</v>
      </c>
      <c r="E75" s="141" t="str">
        <f>IF($E$8="Habilitado",IF($A75="","",ROUND(VLOOKUP($A75,'Presupuesto Consolidado'!$I$9:$N$600,6,FALSE),2)),"")</f>
        <v/>
      </c>
      <c r="F75" s="142" t="str">
        <f t="shared" ref="F75" si="608">IF($A75="","",IF(E75="","",IF($K$4="Media aritmética",(E75&lt;=$B75)*($G$5/$B$5)+(E75&gt;$B75)*0,IF(ROUND(AVERAGE($C75,$E75,$G75,$I75,$K75,$M75,$O75,$Q75,$S75,$U75,$W75,$Y75,$AA75,$AC75,$AE75),2)-$B75/2&lt;=E75,IF(ROUND(AVERAGE($C75,$E75,$G75,$I75,$K75,$M75,$O75,$Q75,$S75,$U75,$W75,$Y75,$AA75,$AC75,$AE75),2)+$B75/2&gt;E75,($G$5/$B$5),0),0))))</f>
        <v/>
      </c>
      <c r="G75" s="141" t="str">
        <f>IF($G$8="Habilitado",IF($A75="","",ROUND(VLOOKUP($A75,'Presupuesto Consolidado'!$Q$9:$V$600,6,FALSE),2)),"")</f>
        <v/>
      </c>
      <c r="H75" s="142" t="str">
        <f t="shared" ref="H75" si="609">IF($A75="","",IF(G75="","",IF($K$4="Media aritmética",(G75&lt;=$B75)*($G$5/$B$5)+(G75&gt;$B75)*0,IF(ROUND(AVERAGE($C75,$E75,$G75,$I75,$K75,$M75,$O75,$Q75,$S75,$U75,$W75,$Y75,$AA75,$AC75,$AE75),2)-$B75/2&lt;=G75,IF(ROUND(AVERAGE($C75,$E75,$G75,$I75,$K75,$M75,$O75,$Q75,$S75,$U75,$W75,$Y75,$AA75,$AC75,$AE75),2)+$B75/2&gt;G75,($G$5/$B$5),0),0))))</f>
        <v/>
      </c>
      <c r="I75" s="141" t="str">
        <f>IF($I$8="Habilitado",IF($A75="","",ROUND(VLOOKUP($A75,'Presupuesto Consolidado'!$Y$9:$AD$600,6,FALSE),2)),"")</f>
        <v/>
      </c>
      <c r="J75" s="142" t="str">
        <f t="shared" ref="J75" si="610">IF($A75="","",IF(I75="","",IF($K$4="Media aritmética",(I75&lt;=$B75)*($G$5/$B$5)+(I75&gt;$B75)*0,IF(ROUND(AVERAGE($C75,$E75,$G75,$I75,$K75,$M75,$O75,$Q75,$S75,$U75,$W75,$Y75,$AA75,$AC75,$AE75),2)-$B75/2&lt;=I75,IF(ROUND(AVERAGE($C75,$E75,$G75,$I75,$K75,$M75,$O75,$Q75,$S75,$U75,$W75,$Y75,$AA75,$AC75,$AE75),2)+$B75/2&gt;I75,($G$5/$B$5),0),0))))</f>
        <v/>
      </c>
      <c r="K75" s="141" t="str">
        <f>IF($K$8="Habilitado",IF($A75="","",ROUND(VLOOKUP($A75,'Presupuesto Consolidado'!#REF!,6,FALSE),2)),"")</f>
        <v/>
      </c>
      <c r="L75" s="142" t="str">
        <f t="shared" ref="L75" si="611">IF($A75="","",IF(K75="","",IF($K$4="Media aritmética",(K75&lt;=$B75)*($G$5/$B$5)+(K75&gt;$B75)*0,IF(ROUND(AVERAGE($C75,$E75,$G75,$I75,$K75,$M75,$O75,$Q75,$S75,$U75,$W75,$Y75,$AA75,$AC75,$AE75),2)-$B75/2&lt;=K75,IF(ROUND(AVERAGE($C75,$E75,$G75,$I75,$K75,$M75,$O75,$Q75,$S75,$U75,$W75,$Y75,$AA75,$AC75,$AE75),2)+$B75/2&gt;K75,($G$5/$B$5),0),0))))</f>
        <v/>
      </c>
      <c r="M75" s="141" t="str">
        <f>IF($M$8="Habilitado",IF($A75="","",ROUND(VLOOKUP($A75,'Presupuesto Consolidado'!#REF!,6,FALSE),2)),"")</f>
        <v/>
      </c>
      <c r="N75" s="142" t="str">
        <f t="shared" ref="N75" si="612">IF($A75="","",IF(M75="","",IF($K$4="Media aritmética",(M75&lt;=$B75)*($G$5/$B$5)+(M75&gt;$B75)*0,IF(ROUND(AVERAGE($C75,$E75,$G75,$I75,$K75,$M75,$O75,$Q75,$S75,$U75,$W75,$Y75,$AA75,$AC75,$AE75),2)-$B75/2&lt;=M75,IF(ROUND(AVERAGE($C75,$E75,$G75,$I75,$K75,$M75,$O75,$Q75,$S75,$U75,$W75,$Y75,$AA75,$AC75,$AE75),2)+$B75/2&gt;M75,($G$5/$B$5),0),0))))</f>
        <v/>
      </c>
      <c r="O75" s="141" t="str">
        <f>IF($O$8="Habilitado",IF($A75="","",ROUND(VLOOKUP($A75,'Presupuesto Consolidado'!#REF!,6,FALSE),2)),"")</f>
        <v/>
      </c>
      <c r="P75" s="142" t="str">
        <f t="shared" ref="P75" si="613">IF($A75="","",IF(O75="","",IF($K$4="Media aritmética",(O75&lt;=$B75)*($G$5/$B$5)+(O75&gt;$B75)*0,IF(ROUND(AVERAGE($C75,$E75,$G75,$I75,$K75,$M75,$O75,$Q75,$S75,$U75,$W75,$Y75,$AA75,$AC75,$AE75),2)-$B75/2&lt;=O75,IF(ROUND(AVERAGE($C75,$E75,$G75,$I75,$K75,$M75,$O75,$Q75,$S75,$U75,$W75,$Y75,$AA75,$AC75,$AE75),2)+$B75/2&gt;O75,($G$5/$B$5),0),0))))</f>
        <v/>
      </c>
      <c r="Q75" s="141" t="str">
        <f>IF($Q$8="Habilitado",IF($A75="","",ROUND(VLOOKUP($A75,'Presupuesto Consolidado'!#REF!,6,FALSE),2)),"")</f>
        <v/>
      </c>
      <c r="R75" s="142" t="str">
        <f t="shared" ref="R75" si="614">IF($A75="","",IF(Q75="","",IF($K$4="Media aritmética",(Q75&lt;=$B75)*($G$5/$B$5)+(Q75&gt;$B75)*0,IF(ROUND(AVERAGE($C75,$E75,$G75,$I75,$K75,$M75,$O75,$Q75,$S75,$U75,$W75,$Y75,$AA75,$AC75,$AE75),2)-$B75/2&lt;=Q75,IF(ROUND(AVERAGE($C75,$E75,$G75,$I75,$K75,$M75,$O75,$Q75,$S75,$U75,$W75,$Y75,$AA75,$AC75,$AE75),2)+$B75/2&gt;Q75,($G$5/$B$5),0),0))))</f>
        <v/>
      </c>
      <c r="S75" s="141" t="str">
        <f>IF($S$8="Habilitado",IF($A75="","",ROUND(VLOOKUP($A75,'Presupuesto Consolidado'!#REF!,6,FALSE),2)),"")</f>
        <v/>
      </c>
      <c r="T75" s="142" t="str">
        <f t="shared" ref="T75" si="615">IF($A75="","",IF(S75="","",IF($K$4="Media aritmética",(S75&lt;=$B75)*($G$5/$B$5)+(S75&gt;$B75)*0,IF(ROUND(AVERAGE($C75,$E75,$G75,$I75,$K75,$M75,$O75,$Q75,$S75,$U75,$W75,$Y75,$AA75,$AC75,$AE75),2)-$B75/2&lt;=S75,IF(ROUND(AVERAGE($C75,$E75,$G75,$I75,$K75,$M75,$O75,$Q75,$S75,$U75,$W75,$Y75,$AA75,$AC75,$AE75),2)+$B75/2&gt;S75,($G$5/$B$5),0),0))))</f>
        <v/>
      </c>
      <c r="U75" s="141" t="str">
        <f>IF($U$8="Habilitado",IF($A75="","",ROUND(VLOOKUP($A75,'Presupuesto Consolidado'!#REF!,6,FALSE),2)),"")</f>
        <v/>
      </c>
      <c r="V75" s="142" t="str">
        <f t="shared" ref="V75" si="616">IF($A75="","",IF(U75="","",IF($K$4="Media aritmética",(U75&lt;=$B75)*($G$5/$B$5)+(U75&gt;$B75)*0,IF(ROUND(AVERAGE($C75,$E75,$G75,$I75,$K75,$M75,$O75,$Q75,$S75,$U75,$W75,$Y75,$AA75,$AC75,$AE75),2)-$B75/2&lt;=U75,IF(ROUND(AVERAGE($C75,$E75,$G75,$I75,$K75,$M75,$O75,$Q75,$S75,$U75,$W75,$Y75,$AA75,$AC75,$AE75),2)+$B75/2&gt;U75,($G$5/$B$5),0),0))))</f>
        <v/>
      </c>
      <c r="W75" s="141" t="str">
        <f>IF($W$8="Habilitado",IF($A75="","",ROUND(VLOOKUP($A75,'Presupuesto Consolidado'!#REF!,6,FALSE),2)),"")</f>
        <v/>
      </c>
      <c r="X75" s="142" t="str">
        <f t="shared" ref="X75" si="617">IF($A75="","",IF(W75="","",IF($K$4="Media aritmética",(W75&lt;=$B75)*($G$5/$B$5)+(W75&gt;$B75)*0,IF(ROUND(AVERAGE($C75,$E75,$G75,$I75,$K75,$M75,$O75,$Q75,$S75,$U75,$W75,$Y75,$AA75,$AC75,$AE75),2)-$B75/2&lt;=W75,IF(ROUND(AVERAGE($C75,$E75,$G75,$I75,$K75,$M75,$O75,$Q75,$S75,$U75,$W75,$Y75,$AA75,$AC75,$AE75),2)+$B75/2&gt;W75,($G$5/$B$5),0),0))))</f>
        <v/>
      </c>
      <c r="Y75" s="141" t="str">
        <f>IF($Y$8="Habilitado",IF($A75="","",ROUND(VLOOKUP($A75,'Presupuesto Consolidado'!#REF!,6,FALSE),2)),"")</f>
        <v/>
      </c>
      <c r="Z75" s="142" t="str">
        <f t="shared" ref="Z75" si="618">IF($A75="","",IF(Y75="","",IF($K$4="Media aritmética",(Y75&lt;=$B75)*($G$5/$B$5)+(Y75&gt;$B75)*0,IF(ROUND(AVERAGE($C75,$E75,$G75,$I75,$K75,$M75,$O75,$Q75,$S75,$U75,$W75,$Y75,$AA75,$AC75,$AE75),2)-$B75/2&lt;=Y75,IF(ROUND(AVERAGE($C75,$E75,$G75,$I75,$K75,$M75,$O75,$Q75,$S75,$U75,$W75,$Y75,$AA75,$AC75,$AE75),2)+$B75/2&gt;Y75,($G$5/$B$5),0),0))))</f>
        <v/>
      </c>
      <c r="AA75" s="141" t="str">
        <f>IF($AA$8="Habilitado",IF($A75="","",ROUND(VLOOKUP($A75,'Presupuesto Consolidado'!#REF!,6,FALSE),2)),"")</f>
        <v/>
      </c>
      <c r="AB75" s="142" t="str">
        <f t="shared" ref="AB75" si="619">IF($A75="","",IF(AA75="","",IF($K$4="Media aritmética",(AA75&lt;=$B75)*($G$5/$B$5)+(AA75&gt;$B75)*0,IF(ROUND(AVERAGE($C75,$E75,$G75,$I75,$K75,$M75,$O75,$Q75,$S75,$U75,$W75,$Y75,$AA75,$AC75,$AE75),2)-$B75/2&lt;=AA75,IF(ROUND(AVERAGE($C75,$E75,$G75,$I75,$K75,$M75,$O75,$Q75,$S75,$U75,$W75,$Y75,$AA75,$AC75,$AE75),2)+$B75/2&gt;AA75,($G$5/$B$5),0),0))))</f>
        <v/>
      </c>
      <c r="AC75" s="141" t="str">
        <f>IF($AC$8="Habilitado",IF($A75="","",ROUND(VLOOKUP($A75,'Presupuesto Consolidado'!#REF!,6,FALSE),2)),"")</f>
        <v/>
      </c>
      <c r="AD75" s="142" t="str">
        <f t="shared" ref="AD75" si="620">IF($A75="","",IF(AC75="","",IF($K$4="Media aritmética",(AC75&lt;=$B75)*($G$5/$B$5)+(AC75&gt;$B75)*0,IF(ROUND(AVERAGE($C75,$E75,$G75,$I75,$K75,$M75,$O75,$Q75,$S75,$U75,$W75,$Y75,$AA75,$AC75,$AE75),2)-$B75/2&lt;=AC75,IF(ROUND(AVERAGE($C75,$E75,$G75,$I75,$K75,$M75,$O75,$Q75,$S75,$U75,$W75,$Y75,$AA75,$AC75,$AE75),2)+$B75/2&gt;AC75,($G$5/$B$5),0),0))))</f>
        <v/>
      </c>
      <c r="AE75" s="141" t="str">
        <f>IF($AE$8="Habilitado",IF($A75="","",ROUND(VLOOKUP($A75,'Presupuesto Consolidado'!#REF!,6,FALSE),2)),"")</f>
        <v/>
      </c>
      <c r="AF75" s="142" t="str">
        <f t="shared" ref="AF75" si="621">IF($A75="","",IF(AE75="","",IF($K$4="Media aritmética",(AE75&lt;=$B75)*($G$5/$B$5)+(AE75&gt;$B75)*0,IF(ROUND(AVERAGE($C75,$E75,$G75,$I75,$K75,$M75,$O75,$Q75,$S75,$U75,$W75,$Y75,$AA75,$AC75,$AE75),2)-$B75/2&lt;=AE75,IF(ROUND(AVERAGE($C75,$E75,$G75,$I75,$K75,$M75,$O75,$Q75,$S75,$U75,$W75,$Y75,$AA75,$AC75,$AE75),2)+$B75/2&gt;AE75,($G$5/$B$5),0),0))))</f>
        <v/>
      </c>
    </row>
    <row r="76" spans="1:32" s="135" customFormat="1" ht="21" customHeight="1">
      <c r="A76" s="132" t="str">
        <f>+'Presupuesto Consolidado'!A72</f>
        <v>11.4.1</v>
      </c>
      <c r="B76" s="140">
        <f t="shared" ref="B76" si="622">IF(A76="","",IF($K$4="Media aritmética",ROUND(AVERAGE(C76,E76,G76,I76,K76,M76,O76,Q76,S76,U76,W76,Y76,AA76,AC76,AE76),2),ROUND(_xlfn.STDEV.P(C76,E76,G76,I76,K76,M76,O76,Q76,S76,U76,W76,Y76,AA76,AC76,AE76),2)))</f>
        <v>979272</v>
      </c>
      <c r="C76" s="141">
        <f>IF($C$8="Habilitado",IF($A76="","",ROUND(VLOOKUP($A76,'Presupuesto Consolidado'!$A$9:$F$600,6,FALSE),2)),"")</f>
        <v>979272</v>
      </c>
      <c r="D76" s="142">
        <f t="shared" ref="D76" si="623">IF($A76="","",IF(C76="","",IF($K$4="Media aritmética",(C76&lt;=$B76)*($G$5/$B$5)+(C76&gt;$B76)*0,IF(ROUND(AVERAGE($C76,$E76,$G76,$I76,$K76,$M76,$O76,$Q76,$S76,$U76,$W76,$Y76,$AA76,$AC76,$AE76),2)-$B76/2&lt;=C76,IF(ROUND(AVERAGE($C76,$E76,$G76,$I76,$K76,$M76,$O76,$Q76,$S76,$U76,$W76,$Y76,$AA76,$AC76,$AE76),2)+$B76/2&gt;C76,($G$5/$B$5),0),0))))</f>
        <v>0.45714285714285713</v>
      </c>
      <c r="E76" s="141" t="str">
        <f>IF($E$8="Habilitado",IF($A76="","",ROUND(VLOOKUP($A76,'Presupuesto Consolidado'!$I$9:$N$600,6,FALSE),2)),"")</f>
        <v/>
      </c>
      <c r="F76" s="142" t="str">
        <f t="shared" ref="F76" si="624">IF($A76="","",IF(E76="","",IF($K$4="Media aritmética",(E76&lt;=$B76)*($G$5/$B$5)+(E76&gt;$B76)*0,IF(ROUND(AVERAGE($C76,$E76,$G76,$I76,$K76,$M76,$O76,$Q76,$S76,$U76,$W76,$Y76,$AA76,$AC76,$AE76),2)-$B76/2&lt;=E76,IF(ROUND(AVERAGE($C76,$E76,$G76,$I76,$K76,$M76,$O76,$Q76,$S76,$U76,$W76,$Y76,$AA76,$AC76,$AE76),2)+$B76/2&gt;E76,($G$5/$B$5),0),0))))</f>
        <v/>
      </c>
      <c r="G76" s="141" t="str">
        <f>IF($G$8="Habilitado",IF($A76="","",ROUND(VLOOKUP($A76,'Presupuesto Consolidado'!$Q$9:$V$600,6,FALSE),2)),"")</f>
        <v/>
      </c>
      <c r="H76" s="142" t="str">
        <f t="shared" ref="H76" si="625">IF($A76="","",IF(G76="","",IF($K$4="Media aritmética",(G76&lt;=$B76)*($G$5/$B$5)+(G76&gt;$B76)*0,IF(ROUND(AVERAGE($C76,$E76,$G76,$I76,$K76,$M76,$O76,$Q76,$S76,$U76,$W76,$Y76,$AA76,$AC76,$AE76),2)-$B76/2&lt;=G76,IF(ROUND(AVERAGE($C76,$E76,$G76,$I76,$K76,$M76,$O76,$Q76,$S76,$U76,$W76,$Y76,$AA76,$AC76,$AE76),2)+$B76/2&gt;G76,($G$5/$B$5),0),0))))</f>
        <v/>
      </c>
      <c r="I76" s="141" t="str">
        <f>IF($I$8="Habilitado",IF($A76="","",ROUND(VLOOKUP($A76,'Presupuesto Consolidado'!$Y$9:$AD$600,6,FALSE),2)),"")</f>
        <v/>
      </c>
      <c r="J76" s="142" t="str">
        <f t="shared" ref="J76" si="626">IF($A76="","",IF(I76="","",IF($K$4="Media aritmética",(I76&lt;=$B76)*($G$5/$B$5)+(I76&gt;$B76)*0,IF(ROUND(AVERAGE($C76,$E76,$G76,$I76,$K76,$M76,$O76,$Q76,$S76,$U76,$W76,$Y76,$AA76,$AC76,$AE76),2)-$B76/2&lt;=I76,IF(ROUND(AVERAGE($C76,$E76,$G76,$I76,$K76,$M76,$O76,$Q76,$S76,$U76,$W76,$Y76,$AA76,$AC76,$AE76),2)+$B76/2&gt;I76,($G$5/$B$5),0),0))))</f>
        <v/>
      </c>
      <c r="K76" s="141" t="str">
        <f>IF($K$8="Habilitado",IF($A76="","",ROUND(VLOOKUP($A76,'Presupuesto Consolidado'!#REF!,6,FALSE),2)),"")</f>
        <v/>
      </c>
      <c r="L76" s="142" t="str">
        <f t="shared" ref="L76" si="627">IF($A76="","",IF(K76="","",IF($K$4="Media aritmética",(K76&lt;=$B76)*($G$5/$B$5)+(K76&gt;$B76)*0,IF(ROUND(AVERAGE($C76,$E76,$G76,$I76,$K76,$M76,$O76,$Q76,$S76,$U76,$W76,$Y76,$AA76,$AC76,$AE76),2)-$B76/2&lt;=K76,IF(ROUND(AVERAGE($C76,$E76,$G76,$I76,$K76,$M76,$O76,$Q76,$S76,$U76,$W76,$Y76,$AA76,$AC76,$AE76),2)+$B76/2&gt;K76,($G$5/$B$5),0),0))))</f>
        <v/>
      </c>
      <c r="M76" s="141" t="str">
        <f>IF($M$8="Habilitado",IF($A76="","",ROUND(VLOOKUP($A76,'Presupuesto Consolidado'!#REF!,6,FALSE),2)),"")</f>
        <v/>
      </c>
      <c r="N76" s="142" t="str">
        <f t="shared" ref="N76" si="628">IF($A76="","",IF(M76="","",IF($K$4="Media aritmética",(M76&lt;=$B76)*($G$5/$B$5)+(M76&gt;$B76)*0,IF(ROUND(AVERAGE($C76,$E76,$G76,$I76,$K76,$M76,$O76,$Q76,$S76,$U76,$W76,$Y76,$AA76,$AC76,$AE76),2)-$B76/2&lt;=M76,IF(ROUND(AVERAGE($C76,$E76,$G76,$I76,$K76,$M76,$O76,$Q76,$S76,$U76,$W76,$Y76,$AA76,$AC76,$AE76),2)+$B76/2&gt;M76,($G$5/$B$5),0),0))))</f>
        <v/>
      </c>
      <c r="O76" s="141" t="str">
        <f>IF($O$8="Habilitado",IF($A76="","",ROUND(VLOOKUP($A76,'Presupuesto Consolidado'!#REF!,6,FALSE),2)),"")</f>
        <v/>
      </c>
      <c r="P76" s="142" t="str">
        <f t="shared" ref="P76" si="629">IF($A76="","",IF(O76="","",IF($K$4="Media aritmética",(O76&lt;=$B76)*($G$5/$B$5)+(O76&gt;$B76)*0,IF(ROUND(AVERAGE($C76,$E76,$G76,$I76,$K76,$M76,$O76,$Q76,$S76,$U76,$W76,$Y76,$AA76,$AC76,$AE76),2)-$B76/2&lt;=O76,IF(ROUND(AVERAGE($C76,$E76,$G76,$I76,$K76,$M76,$O76,$Q76,$S76,$U76,$W76,$Y76,$AA76,$AC76,$AE76),2)+$B76/2&gt;O76,($G$5/$B$5),0),0))))</f>
        <v/>
      </c>
      <c r="Q76" s="141" t="str">
        <f>IF($Q$8="Habilitado",IF($A76="","",ROUND(VLOOKUP($A76,'Presupuesto Consolidado'!#REF!,6,FALSE),2)),"")</f>
        <v/>
      </c>
      <c r="R76" s="142" t="str">
        <f t="shared" ref="R76" si="630">IF($A76="","",IF(Q76="","",IF($K$4="Media aritmética",(Q76&lt;=$B76)*($G$5/$B$5)+(Q76&gt;$B76)*0,IF(ROUND(AVERAGE($C76,$E76,$G76,$I76,$K76,$M76,$O76,$Q76,$S76,$U76,$W76,$Y76,$AA76,$AC76,$AE76),2)-$B76/2&lt;=Q76,IF(ROUND(AVERAGE($C76,$E76,$G76,$I76,$K76,$M76,$O76,$Q76,$S76,$U76,$W76,$Y76,$AA76,$AC76,$AE76),2)+$B76/2&gt;Q76,($G$5/$B$5),0),0))))</f>
        <v/>
      </c>
      <c r="S76" s="141" t="str">
        <f>IF($S$8="Habilitado",IF($A76="","",ROUND(VLOOKUP($A76,'Presupuesto Consolidado'!#REF!,6,FALSE),2)),"")</f>
        <v/>
      </c>
      <c r="T76" s="142" t="str">
        <f t="shared" ref="T76" si="631">IF($A76="","",IF(S76="","",IF($K$4="Media aritmética",(S76&lt;=$B76)*($G$5/$B$5)+(S76&gt;$B76)*0,IF(ROUND(AVERAGE($C76,$E76,$G76,$I76,$K76,$M76,$O76,$Q76,$S76,$U76,$W76,$Y76,$AA76,$AC76,$AE76),2)-$B76/2&lt;=S76,IF(ROUND(AVERAGE($C76,$E76,$G76,$I76,$K76,$M76,$O76,$Q76,$S76,$U76,$W76,$Y76,$AA76,$AC76,$AE76),2)+$B76/2&gt;S76,($G$5/$B$5),0),0))))</f>
        <v/>
      </c>
      <c r="U76" s="141" t="str">
        <f>IF($U$8="Habilitado",IF($A76="","",ROUND(VLOOKUP($A76,'Presupuesto Consolidado'!#REF!,6,FALSE),2)),"")</f>
        <v/>
      </c>
      <c r="V76" s="142" t="str">
        <f t="shared" ref="V76" si="632">IF($A76="","",IF(U76="","",IF($K$4="Media aritmética",(U76&lt;=$B76)*($G$5/$B$5)+(U76&gt;$B76)*0,IF(ROUND(AVERAGE($C76,$E76,$G76,$I76,$K76,$M76,$O76,$Q76,$S76,$U76,$W76,$Y76,$AA76,$AC76,$AE76),2)-$B76/2&lt;=U76,IF(ROUND(AVERAGE($C76,$E76,$G76,$I76,$K76,$M76,$O76,$Q76,$S76,$U76,$W76,$Y76,$AA76,$AC76,$AE76),2)+$B76/2&gt;U76,($G$5/$B$5),0),0))))</f>
        <v/>
      </c>
      <c r="W76" s="141" t="str">
        <f>IF($W$8="Habilitado",IF($A76="","",ROUND(VLOOKUP($A76,'Presupuesto Consolidado'!#REF!,6,FALSE),2)),"")</f>
        <v/>
      </c>
      <c r="X76" s="142" t="str">
        <f t="shared" ref="X76" si="633">IF($A76="","",IF(W76="","",IF($K$4="Media aritmética",(W76&lt;=$B76)*($G$5/$B$5)+(W76&gt;$B76)*0,IF(ROUND(AVERAGE($C76,$E76,$G76,$I76,$K76,$M76,$O76,$Q76,$S76,$U76,$W76,$Y76,$AA76,$AC76,$AE76),2)-$B76/2&lt;=W76,IF(ROUND(AVERAGE($C76,$E76,$G76,$I76,$K76,$M76,$O76,$Q76,$S76,$U76,$W76,$Y76,$AA76,$AC76,$AE76),2)+$B76/2&gt;W76,($G$5/$B$5),0),0))))</f>
        <v/>
      </c>
      <c r="Y76" s="141" t="str">
        <f>IF($Y$8="Habilitado",IF($A76="","",ROUND(VLOOKUP($A76,'Presupuesto Consolidado'!#REF!,6,FALSE),2)),"")</f>
        <v/>
      </c>
      <c r="Z76" s="142" t="str">
        <f t="shared" ref="Z76" si="634">IF($A76="","",IF(Y76="","",IF($K$4="Media aritmética",(Y76&lt;=$B76)*($G$5/$B$5)+(Y76&gt;$B76)*0,IF(ROUND(AVERAGE($C76,$E76,$G76,$I76,$K76,$M76,$O76,$Q76,$S76,$U76,$W76,$Y76,$AA76,$AC76,$AE76),2)-$B76/2&lt;=Y76,IF(ROUND(AVERAGE($C76,$E76,$G76,$I76,$K76,$M76,$O76,$Q76,$S76,$U76,$W76,$Y76,$AA76,$AC76,$AE76),2)+$B76/2&gt;Y76,($G$5/$B$5),0),0))))</f>
        <v/>
      </c>
      <c r="AA76" s="141" t="str">
        <f>IF($AA$8="Habilitado",IF($A76="","",ROUND(VLOOKUP($A76,'Presupuesto Consolidado'!#REF!,6,FALSE),2)),"")</f>
        <v/>
      </c>
      <c r="AB76" s="142" t="str">
        <f t="shared" ref="AB76" si="635">IF($A76="","",IF(AA76="","",IF($K$4="Media aritmética",(AA76&lt;=$B76)*($G$5/$B$5)+(AA76&gt;$B76)*0,IF(ROUND(AVERAGE($C76,$E76,$G76,$I76,$K76,$M76,$O76,$Q76,$S76,$U76,$W76,$Y76,$AA76,$AC76,$AE76),2)-$B76/2&lt;=AA76,IF(ROUND(AVERAGE($C76,$E76,$G76,$I76,$K76,$M76,$O76,$Q76,$S76,$U76,$W76,$Y76,$AA76,$AC76,$AE76),2)+$B76/2&gt;AA76,($G$5/$B$5),0),0))))</f>
        <v/>
      </c>
      <c r="AC76" s="141" t="str">
        <f>IF($AC$8="Habilitado",IF($A76="","",ROUND(VLOOKUP($A76,'Presupuesto Consolidado'!#REF!,6,FALSE),2)),"")</f>
        <v/>
      </c>
      <c r="AD76" s="142" t="str">
        <f t="shared" ref="AD76" si="636">IF($A76="","",IF(AC76="","",IF($K$4="Media aritmética",(AC76&lt;=$B76)*($G$5/$B$5)+(AC76&gt;$B76)*0,IF(ROUND(AVERAGE($C76,$E76,$G76,$I76,$K76,$M76,$O76,$Q76,$S76,$U76,$W76,$Y76,$AA76,$AC76,$AE76),2)-$B76/2&lt;=AC76,IF(ROUND(AVERAGE($C76,$E76,$G76,$I76,$K76,$M76,$O76,$Q76,$S76,$U76,$W76,$Y76,$AA76,$AC76,$AE76),2)+$B76/2&gt;AC76,($G$5/$B$5),0),0))))</f>
        <v/>
      </c>
      <c r="AE76" s="141" t="str">
        <f>IF($AE$8="Habilitado",IF($A76="","",ROUND(VLOOKUP($A76,'Presupuesto Consolidado'!#REF!,6,FALSE),2)),"")</f>
        <v/>
      </c>
      <c r="AF76" s="142" t="str">
        <f t="shared" ref="AF76" si="637">IF($A76="","",IF(AE76="","",IF($K$4="Media aritmética",(AE76&lt;=$B76)*($G$5/$B$5)+(AE76&gt;$B76)*0,IF(ROUND(AVERAGE($C76,$E76,$G76,$I76,$K76,$M76,$O76,$Q76,$S76,$U76,$W76,$Y76,$AA76,$AC76,$AE76),2)-$B76/2&lt;=AE76,IF(ROUND(AVERAGE($C76,$E76,$G76,$I76,$K76,$M76,$O76,$Q76,$S76,$U76,$W76,$Y76,$AA76,$AC76,$AE76),2)+$B76/2&gt;AE76,($G$5/$B$5),0),0))))</f>
        <v/>
      </c>
    </row>
    <row r="77" spans="1:32" s="135" customFormat="1" ht="21" customHeight="1">
      <c r="A77" s="132" t="str">
        <f>+'Presupuesto Consolidado'!A74</f>
        <v>11.5.1</v>
      </c>
      <c r="B77" s="140">
        <f t="shared" ref="B77" si="638">IF(A77="","",IF($K$4="Media aritmética",ROUND(AVERAGE(C77,E77,G77,I77,K77,M77,O77,Q77,S77,U77,W77,Y77,AA77,AC77,AE77),2),ROUND(_xlfn.STDEV.P(C77,E77,G77,I77,K77,M77,O77,Q77,S77,U77,W77,Y77,AA77,AC77,AE77),2)))</f>
        <v>183312</v>
      </c>
      <c r="C77" s="141">
        <f>IF($C$8="Habilitado",IF($A77="","",ROUND(VLOOKUP($A77,'Presupuesto Consolidado'!$A$9:$F$600,6,FALSE),2)),"")</f>
        <v>183312</v>
      </c>
      <c r="D77" s="142">
        <f t="shared" ref="D77" si="639">IF($A77="","",IF(C77="","",IF($K$4="Media aritmética",(C77&lt;=$B77)*($G$5/$B$5)+(C77&gt;$B77)*0,IF(ROUND(AVERAGE($C77,$E77,$G77,$I77,$K77,$M77,$O77,$Q77,$S77,$U77,$W77,$Y77,$AA77,$AC77,$AE77),2)-$B77/2&lt;=C77,IF(ROUND(AVERAGE($C77,$E77,$G77,$I77,$K77,$M77,$O77,$Q77,$S77,$U77,$W77,$Y77,$AA77,$AC77,$AE77),2)+$B77/2&gt;C77,($G$5/$B$5),0),0))))</f>
        <v>0.45714285714285713</v>
      </c>
      <c r="E77" s="141" t="str">
        <f>IF($E$8="Habilitado",IF($A77="","",ROUND(VLOOKUP($A77,'Presupuesto Consolidado'!$I$9:$N$600,6,FALSE),2)),"")</f>
        <v/>
      </c>
      <c r="F77" s="142" t="str">
        <f t="shared" ref="F77" si="640">IF($A77="","",IF(E77="","",IF($K$4="Media aritmética",(E77&lt;=$B77)*($G$5/$B$5)+(E77&gt;$B77)*0,IF(ROUND(AVERAGE($C77,$E77,$G77,$I77,$K77,$M77,$O77,$Q77,$S77,$U77,$W77,$Y77,$AA77,$AC77,$AE77),2)-$B77/2&lt;=E77,IF(ROUND(AVERAGE($C77,$E77,$G77,$I77,$K77,$M77,$O77,$Q77,$S77,$U77,$W77,$Y77,$AA77,$AC77,$AE77),2)+$B77/2&gt;E77,($G$5/$B$5),0),0))))</f>
        <v/>
      </c>
      <c r="G77" s="141" t="str">
        <f>IF($G$8="Habilitado",IF($A77="","",ROUND(VLOOKUP($A77,'Presupuesto Consolidado'!$Q$9:$V$600,6,FALSE),2)),"")</f>
        <v/>
      </c>
      <c r="H77" s="142" t="str">
        <f t="shared" ref="H77" si="641">IF($A77="","",IF(G77="","",IF($K$4="Media aritmética",(G77&lt;=$B77)*($G$5/$B$5)+(G77&gt;$B77)*0,IF(ROUND(AVERAGE($C77,$E77,$G77,$I77,$K77,$M77,$O77,$Q77,$S77,$U77,$W77,$Y77,$AA77,$AC77,$AE77),2)-$B77/2&lt;=G77,IF(ROUND(AVERAGE($C77,$E77,$G77,$I77,$K77,$M77,$O77,$Q77,$S77,$U77,$W77,$Y77,$AA77,$AC77,$AE77),2)+$B77/2&gt;G77,($G$5/$B$5),0),0))))</f>
        <v/>
      </c>
      <c r="I77" s="141" t="str">
        <f>IF($I$8="Habilitado",IF($A77="","",ROUND(VLOOKUP($A77,'Presupuesto Consolidado'!$Y$9:$AD$600,6,FALSE),2)),"")</f>
        <v/>
      </c>
      <c r="J77" s="142" t="str">
        <f t="shared" ref="J77" si="642">IF($A77="","",IF(I77="","",IF($K$4="Media aritmética",(I77&lt;=$B77)*($G$5/$B$5)+(I77&gt;$B77)*0,IF(ROUND(AVERAGE($C77,$E77,$G77,$I77,$K77,$M77,$O77,$Q77,$S77,$U77,$W77,$Y77,$AA77,$AC77,$AE77),2)-$B77/2&lt;=I77,IF(ROUND(AVERAGE($C77,$E77,$G77,$I77,$K77,$M77,$O77,$Q77,$S77,$U77,$W77,$Y77,$AA77,$AC77,$AE77),2)+$B77/2&gt;I77,($G$5/$B$5),0),0))))</f>
        <v/>
      </c>
      <c r="K77" s="141" t="str">
        <f>IF($K$8="Habilitado",IF($A77="","",ROUND(VLOOKUP($A77,'Presupuesto Consolidado'!#REF!,6,FALSE),2)),"")</f>
        <v/>
      </c>
      <c r="L77" s="142" t="str">
        <f t="shared" ref="L77" si="643">IF($A77="","",IF(K77="","",IF($K$4="Media aritmética",(K77&lt;=$B77)*($G$5/$B$5)+(K77&gt;$B77)*0,IF(ROUND(AVERAGE($C77,$E77,$G77,$I77,$K77,$M77,$O77,$Q77,$S77,$U77,$W77,$Y77,$AA77,$AC77,$AE77),2)-$B77/2&lt;=K77,IF(ROUND(AVERAGE($C77,$E77,$G77,$I77,$K77,$M77,$O77,$Q77,$S77,$U77,$W77,$Y77,$AA77,$AC77,$AE77),2)+$B77/2&gt;K77,($G$5/$B$5),0),0))))</f>
        <v/>
      </c>
      <c r="M77" s="141" t="str">
        <f>IF($M$8="Habilitado",IF($A77="","",ROUND(VLOOKUP($A77,'Presupuesto Consolidado'!#REF!,6,FALSE),2)),"")</f>
        <v/>
      </c>
      <c r="N77" s="142" t="str">
        <f t="shared" ref="N77" si="644">IF($A77="","",IF(M77="","",IF($K$4="Media aritmética",(M77&lt;=$B77)*($G$5/$B$5)+(M77&gt;$B77)*0,IF(ROUND(AVERAGE($C77,$E77,$G77,$I77,$K77,$M77,$O77,$Q77,$S77,$U77,$W77,$Y77,$AA77,$AC77,$AE77),2)-$B77/2&lt;=M77,IF(ROUND(AVERAGE($C77,$E77,$G77,$I77,$K77,$M77,$O77,$Q77,$S77,$U77,$W77,$Y77,$AA77,$AC77,$AE77),2)+$B77/2&gt;M77,($G$5/$B$5),0),0))))</f>
        <v/>
      </c>
      <c r="O77" s="141" t="str">
        <f>IF($O$8="Habilitado",IF($A77="","",ROUND(VLOOKUP($A77,'Presupuesto Consolidado'!#REF!,6,FALSE),2)),"")</f>
        <v/>
      </c>
      <c r="P77" s="142" t="str">
        <f t="shared" ref="P77" si="645">IF($A77="","",IF(O77="","",IF($K$4="Media aritmética",(O77&lt;=$B77)*($G$5/$B$5)+(O77&gt;$B77)*0,IF(ROUND(AVERAGE($C77,$E77,$G77,$I77,$K77,$M77,$O77,$Q77,$S77,$U77,$W77,$Y77,$AA77,$AC77,$AE77),2)-$B77/2&lt;=O77,IF(ROUND(AVERAGE($C77,$E77,$G77,$I77,$K77,$M77,$O77,$Q77,$S77,$U77,$W77,$Y77,$AA77,$AC77,$AE77),2)+$B77/2&gt;O77,($G$5/$B$5),0),0))))</f>
        <v/>
      </c>
      <c r="Q77" s="141" t="str">
        <f>IF($Q$8="Habilitado",IF($A77="","",ROUND(VLOOKUP($A77,'Presupuesto Consolidado'!#REF!,6,FALSE),2)),"")</f>
        <v/>
      </c>
      <c r="R77" s="142" t="str">
        <f t="shared" ref="R77" si="646">IF($A77="","",IF(Q77="","",IF($K$4="Media aritmética",(Q77&lt;=$B77)*($G$5/$B$5)+(Q77&gt;$B77)*0,IF(ROUND(AVERAGE($C77,$E77,$G77,$I77,$K77,$M77,$O77,$Q77,$S77,$U77,$W77,$Y77,$AA77,$AC77,$AE77),2)-$B77/2&lt;=Q77,IF(ROUND(AVERAGE($C77,$E77,$G77,$I77,$K77,$M77,$O77,$Q77,$S77,$U77,$W77,$Y77,$AA77,$AC77,$AE77),2)+$B77/2&gt;Q77,($G$5/$B$5),0),0))))</f>
        <v/>
      </c>
      <c r="S77" s="141" t="str">
        <f>IF($S$8="Habilitado",IF($A77="","",ROUND(VLOOKUP($A77,'Presupuesto Consolidado'!#REF!,6,FALSE),2)),"")</f>
        <v/>
      </c>
      <c r="T77" s="142" t="str">
        <f t="shared" ref="T77" si="647">IF($A77="","",IF(S77="","",IF($K$4="Media aritmética",(S77&lt;=$B77)*($G$5/$B$5)+(S77&gt;$B77)*0,IF(ROUND(AVERAGE($C77,$E77,$G77,$I77,$K77,$M77,$O77,$Q77,$S77,$U77,$W77,$Y77,$AA77,$AC77,$AE77),2)-$B77/2&lt;=S77,IF(ROUND(AVERAGE($C77,$E77,$G77,$I77,$K77,$M77,$O77,$Q77,$S77,$U77,$W77,$Y77,$AA77,$AC77,$AE77),2)+$B77/2&gt;S77,($G$5/$B$5),0),0))))</f>
        <v/>
      </c>
      <c r="U77" s="141" t="str">
        <f>IF($U$8="Habilitado",IF($A77="","",ROUND(VLOOKUP($A77,'Presupuesto Consolidado'!#REF!,6,FALSE),2)),"")</f>
        <v/>
      </c>
      <c r="V77" s="142" t="str">
        <f t="shared" ref="V77" si="648">IF($A77="","",IF(U77="","",IF($K$4="Media aritmética",(U77&lt;=$B77)*($G$5/$B$5)+(U77&gt;$B77)*0,IF(ROUND(AVERAGE($C77,$E77,$G77,$I77,$K77,$M77,$O77,$Q77,$S77,$U77,$W77,$Y77,$AA77,$AC77,$AE77),2)-$B77/2&lt;=U77,IF(ROUND(AVERAGE($C77,$E77,$G77,$I77,$K77,$M77,$O77,$Q77,$S77,$U77,$W77,$Y77,$AA77,$AC77,$AE77),2)+$B77/2&gt;U77,($G$5/$B$5),0),0))))</f>
        <v/>
      </c>
      <c r="W77" s="141" t="str">
        <f>IF($W$8="Habilitado",IF($A77="","",ROUND(VLOOKUP($A77,'Presupuesto Consolidado'!#REF!,6,FALSE),2)),"")</f>
        <v/>
      </c>
      <c r="X77" s="142" t="str">
        <f t="shared" ref="X77" si="649">IF($A77="","",IF(W77="","",IF($K$4="Media aritmética",(W77&lt;=$B77)*($G$5/$B$5)+(W77&gt;$B77)*0,IF(ROUND(AVERAGE($C77,$E77,$G77,$I77,$K77,$M77,$O77,$Q77,$S77,$U77,$W77,$Y77,$AA77,$AC77,$AE77),2)-$B77/2&lt;=W77,IF(ROUND(AVERAGE($C77,$E77,$G77,$I77,$K77,$M77,$O77,$Q77,$S77,$U77,$W77,$Y77,$AA77,$AC77,$AE77),2)+$B77/2&gt;W77,($G$5/$B$5),0),0))))</f>
        <v/>
      </c>
      <c r="Y77" s="141" t="str">
        <f>IF($Y$8="Habilitado",IF($A77="","",ROUND(VLOOKUP($A77,'Presupuesto Consolidado'!#REF!,6,FALSE),2)),"")</f>
        <v/>
      </c>
      <c r="Z77" s="142" t="str">
        <f t="shared" ref="Z77" si="650">IF($A77="","",IF(Y77="","",IF($K$4="Media aritmética",(Y77&lt;=$B77)*($G$5/$B$5)+(Y77&gt;$B77)*0,IF(ROUND(AVERAGE($C77,$E77,$G77,$I77,$K77,$M77,$O77,$Q77,$S77,$U77,$W77,$Y77,$AA77,$AC77,$AE77),2)-$B77/2&lt;=Y77,IF(ROUND(AVERAGE($C77,$E77,$G77,$I77,$K77,$M77,$O77,$Q77,$S77,$U77,$W77,$Y77,$AA77,$AC77,$AE77),2)+$B77/2&gt;Y77,($G$5/$B$5),0),0))))</f>
        <v/>
      </c>
      <c r="AA77" s="141" t="str">
        <f>IF($AA$8="Habilitado",IF($A77="","",ROUND(VLOOKUP($A77,'Presupuesto Consolidado'!#REF!,6,FALSE),2)),"")</f>
        <v/>
      </c>
      <c r="AB77" s="142" t="str">
        <f t="shared" ref="AB77" si="651">IF($A77="","",IF(AA77="","",IF($K$4="Media aritmética",(AA77&lt;=$B77)*($G$5/$B$5)+(AA77&gt;$B77)*0,IF(ROUND(AVERAGE($C77,$E77,$G77,$I77,$K77,$M77,$O77,$Q77,$S77,$U77,$W77,$Y77,$AA77,$AC77,$AE77),2)-$B77/2&lt;=AA77,IF(ROUND(AVERAGE($C77,$E77,$G77,$I77,$K77,$M77,$O77,$Q77,$S77,$U77,$W77,$Y77,$AA77,$AC77,$AE77),2)+$B77/2&gt;AA77,($G$5/$B$5),0),0))))</f>
        <v/>
      </c>
      <c r="AC77" s="141" t="str">
        <f>IF($AC$8="Habilitado",IF($A77="","",ROUND(VLOOKUP($A77,'Presupuesto Consolidado'!#REF!,6,FALSE),2)),"")</f>
        <v/>
      </c>
      <c r="AD77" s="142" t="str">
        <f t="shared" ref="AD77" si="652">IF($A77="","",IF(AC77="","",IF($K$4="Media aritmética",(AC77&lt;=$B77)*($G$5/$B$5)+(AC77&gt;$B77)*0,IF(ROUND(AVERAGE($C77,$E77,$G77,$I77,$K77,$M77,$O77,$Q77,$S77,$U77,$W77,$Y77,$AA77,$AC77,$AE77),2)-$B77/2&lt;=AC77,IF(ROUND(AVERAGE($C77,$E77,$G77,$I77,$K77,$M77,$O77,$Q77,$S77,$U77,$W77,$Y77,$AA77,$AC77,$AE77),2)+$B77/2&gt;AC77,($G$5/$B$5),0),0))))</f>
        <v/>
      </c>
      <c r="AE77" s="141" t="str">
        <f>IF($AE$8="Habilitado",IF($A77="","",ROUND(VLOOKUP($A77,'Presupuesto Consolidado'!#REF!,6,FALSE),2)),"")</f>
        <v/>
      </c>
      <c r="AF77" s="142" t="str">
        <f t="shared" ref="AF77" si="653">IF($A77="","",IF(AE77="","",IF($K$4="Media aritmética",(AE77&lt;=$B77)*($G$5/$B$5)+(AE77&gt;$B77)*0,IF(ROUND(AVERAGE($C77,$E77,$G77,$I77,$K77,$M77,$O77,$Q77,$S77,$U77,$W77,$Y77,$AA77,$AC77,$AE77),2)-$B77/2&lt;=AE77,IF(ROUND(AVERAGE($C77,$E77,$G77,$I77,$K77,$M77,$O77,$Q77,$S77,$U77,$W77,$Y77,$AA77,$AC77,$AE77),2)+$B77/2&gt;AE77,($G$5/$B$5),0),0))))</f>
        <v/>
      </c>
    </row>
    <row r="78" spans="1:32" s="135" customFormat="1" ht="21" customHeight="1">
      <c r="A78" s="132" t="str">
        <f>+'Presupuesto Consolidado'!A75</f>
        <v>11.5.2</v>
      </c>
      <c r="B78" s="140">
        <f t="shared" ref="B78" si="654">IF(A78="","",IF($K$4="Media aritmética",ROUND(AVERAGE(C78,E78,G78,I78,K78,M78,O78,Q78,S78,U78,W78,Y78,AA78,AC78,AE78),2),ROUND(_xlfn.STDEV.P(C78,E78,G78,I78,K78,M78,O78,Q78,S78,U78,W78,Y78,AA78,AC78,AE78),2)))</f>
        <v>1193940</v>
      </c>
      <c r="C78" s="141">
        <f>IF($C$8="Habilitado",IF($A78="","",ROUND(VLOOKUP($A78,'Presupuesto Consolidado'!$A$9:$F$600,6,FALSE),2)),"")</f>
        <v>1193940</v>
      </c>
      <c r="D78" s="142">
        <f t="shared" ref="D78" si="655">IF($A78="","",IF(C78="","",IF($K$4="Media aritmética",(C78&lt;=$B78)*($G$5/$B$5)+(C78&gt;$B78)*0,IF(ROUND(AVERAGE($C78,$E78,$G78,$I78,$K78,$M78,$O78,$Q78,$S78,$U78,$W78,$Y78,$AA78,$AC78,$AE78),2)-$B78/2&lt;=C78,IF(ROUND(AVERAGE($C78,$E78,$G78,$I78,$K78,$M78,$O78,$Q78,$S78,$U78,$W78,$Y78,$AA78,$AC78,$AE78),2)+$B78/2&gt;C78,($G$5/$B$5),0),0))))</f>
        <v>0.45714285714285713</v>
      </c>
      <c r="E78" s="141" t="str">
        <f>IF($E$8="Habilitado",IF($A78="","",ROUND(VLOOKUP($A78,'Presupuesto Consolidado'!$I$9:$N$600,6,FALSE),2)),"")</f>
        <v/>
      </c>
      <c r="F78" s="142" t="str">
        <f t="shared" ref="F78" si="656">IF($A78="","",IF(E78="","",IF($K$4="Media aritmética",(E78&lt;=$B78)*($G$5/$B$5)+(E78&gt;$B78)*0,IF(ROUND(AVERAGE($C78,$E78,$G78,$I78,$K78,$M78,$O78,$Q78,$S78,$U78,$W78,$Y78,$AA78,$AC78,$AE78),2)-$B78/2&lt;=E78,IF(ROUND(AVERAGE($C78,$E78,$G78,$I78,$K78,$M78,$O78,$Q78,$S78,$U78,$W78,$Y78,$AA78,$AC78,$AE78),2)+$B78/2&gt;E78,($G$5/$B$5),0),0))))</f>
        <v/>
      </c>
      <c r="G78" s="141" t="str">
        <f>IF($G$8="Habilitado",IF($A78="","",ROUND(VLOOKUP($A78,'Presupuesto Consolidado'!$Q$9:$V$600,6,FALSE),2)),"")</f>
        <v/>
      </c>
      <c r="H78" s="142" t="str">
        <f t="shared" ref="H78" si="657">IF($A78="","",IF(G78="","",IF($K$4="Media aritmética",(G78&lt;=$B78)*($G$5/$B$5)+(G78&gt;$B78)*0,IF(ROUND(AVERAGE($C78,$E78,$G78,$I78,$K78,$M78,$O78,$Q78,$S78,$U78,$W78,$Y78,$AA78,$AC78,$AE78),2)-$B78/2&lt;=G78,IF(ROUND(AVERAGE($C78,$E78,$G78,$I78,$K78,$M78,$O78,$Q78,$S78,$U78,$W78,$Y78,$AA78,$AC78,$AE78),2)+$B78/2&gt;G78,($G$5/$B$5),0),0))))</f>
        <v/>
      </c>
      <c r="I78" s="141" t="str">
        <f>IF($I$8="Habilitado",IF($A78="","",ROUND(VLOOKUP($A78,'Presupuesto Consolidado'!$Y$9:$AD$600,6,FALSE),2)),"")</f>
        <v/>
      </c>
      <c r="J78" s="142" t="str">
        <f t="shared" ref="J78" si="658">IF($A78="","",IF(I78="","",IF($K$4="Media aritmética",(I78&lt;=$B78)*($G$5/$B$5)+(I78&gt;$B78)*0,IF(ROUND(AVERAGE($C78,$E78,$G78,$I78,$K78,$M78,$O78,$Q78,$S78,$U78,$W78,$Y78,$AA78,$AC78,$AE78),2)-$B78/2&lt;=I78,IF(ROUND(AVERAGE($C78,$E78,$G78,$I78,$K78,$M78,$O78,$Q78,$S78,$U78,$W78,$Y78,$AA78,$AC78,$AE78),2)+$B78/2&gt;I78,($G$5/$B$5),0),0))))</f>
        <v/>
      </c>
      <c r="K78" s="141" t="str">
        <f>IF($K$8="Habilitado",IF($A78="","",ROUND(VLOOKUP($A78,'Presupuesto Consolidado'!#REF!,6,FALSE),2)),"")</f>
        <v/>
      </c>
      <c r="L78" s="142" t="str">
        <f t="shared" ref="L78" si="659">IF($A78="","",IF(K78="","",IF($K$4="Media aritmética",(K78&lt;=$B78)*($G$5/$B$5)+(K78&gt;$B78)*0,IF(ROUND(AVERAGE($C78,$E78,$G78,$I78,$K78,$M78,$O78,$Q78,$S78,$U78,$W78,$Y78,$AA78,$AC78,$AE78),2)-$B78/2&lt;=K78,IF(ROUND(AVERAGE($C78,$E78,$G78,$I78,$K78,$M78,$O78,$Q78,$S78,$U78,$W78,$Y78,$AA78,$AC78,$AE78),2)+$B78/2&gt;K78,($G$5/$B$5),0),0))))</f>
        <v/>
      </c>
      <c r="M78" s="141" t="str">
        <f>IF($M$8="Habilitado",IF($A78="","",ROUND(VLOOKUP($A78,'Presupuesto Consolidado'!#REF!,6,FALSE),2)),"")</f>
        <v/>
      </c>
      <c r="N78" s="142" t="str">
        <f t="shared" ref="N78" si="660">IF($A78="","",IF(M78="","",IF($K$4="Media aritmética",(M78&lt;=$B78)*($G$5/$B$5)+(M78&gt;$B78)*0,IF(ROUND(AVERAGE($C78,$E78,$G78,$I78,$K78,$M78,$O78,$Q78,$S78,$U78,$W78,$Y78,$AA78,$AC78,$AE78),2)-$B78/2&lt;=M78,IF(ROUND(AVERAGE($C78,$E78,$G78,$I78,$K78,$M78,$O78,$Q78,$S78,$U78,$W78,$Y78,$AA78,$AC78,$AE78),2)+$B78/2&gt;M78,($G$5/$B$5),0),0))))</f>
        <v/>
      </c>
      <c r="O78" s="141" t="str">
        <f>IF($O$8="Habilitado",IF($A78="","",ROUND(VLOOKUP($A78,'Presupuesto Consolidado'!#REF!,6,FALSE),2)),"")</f>
        <v/>
      </c>
      <c r="P78" s="142" t="str">
        <f t="shared" ref="P78" si="661">IF($A78="","",IF(O78="","",IF($K$4="Media aritmética",(O78&lt;=$B78)*($G$5/$B$5)+(O78&gt;$B78)*0,IF(ROUND(AVERAGE($C78,$E78,$G78,$I78,$K78,$M78,$O78,$Q78,$S78,$U78,$W78,$Y78,$AA78,$AC78,$AE78),2)-$B78/2&lt;=O78,IF(ROUND(AVERAGE($C78,$E78,$G78,$I78,$K78,$M78,$O78,$Q78,$S78,$U78,$W78,$Y78,$AA78,$AC78,$AE78),2)+$B78/2&gt;O78,($G$5/$B$5),0),0))))</f>
        <v/>
      </c>
      <c r="Q78" s="141" t="str">
        <f>IF($Q$8="Habilitado",IF($A78="","",ROUND(VLOOKUP($A78,'Presupuesto Consolidado'!#REF!,6,FALSE),2)),"")</f>
        <v/>
      </c>
      <c r="R78" s="142" t="str">
        <f t="shared" ref="R78" si="662">IF($A78="","",IF(Q78="","",IF($K$4="Media aritmética",(Q78&lt;=$B78)*($G$5/$B$5)+(Q78&gt;$B78)*0,IF(ROUND(AVERAGE($C78,$E78,$G78,$I78,$K78,$M78,$O78,$Q78,$S78,$U78,$W78,$Y78,$AA78,$AC78,$AE78),2)-$B78/2&lt;=Q78,IF(ROUND(AVERAGE($C78,$E78,$G78,$I78,$K78,$M78,$O78,$Q78,$S78,$U78,$W78,$Y78,$AA78,$AC78,$AE78),2)+$B78/2&gt;Q78,($G$5/$B$5),0),0))))</f>
        <v/>
      </c>
      <c r="S78" s="141" t="str">
        <f>IF($S$8="Habilitado",IF($A78="","",ROUND(VLOOKUP($A78,'Presupuesto Consolidado'!#REF!,6,FALSE),2)),"")</f>
        <v/>
      </c>
      <c r="T78" s="142" t="str">
        <f t="shared" ref="T78" si="663">IF($A78="","",IF(S78="","",IF($K$4="Media aritmética",(S78&lt;=$B78)*($G$5/$B$5)+(S78&gt;$B78)*0,IF(ROUND(AVERAGE($C78,$E78,$G78,$I78,$K78,$M78,$O78,$Q78,$S78,$U78,$W78,$Y78,$AA78,$AC78,$AE78),2)-$B78/2&lt;=S78,IF(ROUND(AVERAGE($C78,$E78,$G78,$I78,$K78,$M78,$O78,$Q78,$S78,$U78,$W78,$Y78,$AA78,$AC78,$AE78),2)+$B78/2&gt;S78,($G$5/$B$5),0),0))))</f>
        <v/>
      </c>
      <c r="U78" s="141" t="str">
        <f>IF($U$8="Habilitado",IF($A78="","",ROUND(VLOOKUP($A78,'Presupuesto Consolidado'!#REF!,6,FALSE),2)),"")</f>
        <v/>
      </c>
      <c r="V78" s="142" t="str">
        <f t="shared" ref="V78" si="664">IF($A78="","",IF(U78="","",IF($K$4="Media aritmética",(U78&lt;=$B78)*($G$5/$B$5)+(U78&gt;$B78)*0,IF(ROUND(AVERAGE($C78,$E78,$G78,$I78,$K78,$M78,$O78,$Q78,$S78,$U78,$W78,$Y78,$AA78,$AC78,$AE78),2)-$B78/2&lt;=U78,IF(ROUND(AVERAGE($C78,$E78,$G78,$I78,$K78,$M78,$O78,$Q78,$S78,$U78,$W78,$Y78,$AA78,$AC78,$AE78),2)+$B78/2&gt;U78,($G$5/$B$5),0),0))))</f>
        <v/>
      </c>
      <c r="W78" s="141" t="str">
        <f>IF($W$8="Habilitado",IF($A78="","",ROUND(VLOOKUP($A78,'Presupuesto Consolidado'!#REF!,6,FALSE),2)),"")</f>
        <v/>
      </c>
      <c r="X78" s="142" t="str">
        <f t="shared" ref="X78" si="665">IF($A78="","",IF(W78="","",IF($K$4="Media aritmética",(W78&lt;=$B78)*($G$5/$B$5)+(W78&gt;$B78)*0,IF(ROUND(AVERAGE($C78,$E78,$G78,$I78,$K78,$M78,$O78,$Q78,$S78,$U78,$W78,$Y78,$AA78,$AC78,$AE78),2)-$B78/2&lt;=W78,IF(ROUND(AVERAGE($C78,$E78,$G78,$I78,$K78,$M78,$O78,$Q78,$S78,$U78,$W78,$Y78,$AA78,$AC78,$AE78),2)+$B78/2&gt;W78,($G$5/$B$5),0),0))))</f>
        <v/>
      </c>
      <c r="Y78" s="141" t="str">
        <f>IF($Y$8="Habilitado",IF($A78="","",ROUND(VLOOKUP($A78,'Presupuesto Consolidado'!#REF!,6,FALSE),2)),"")</f>
        <v/>
      </c>
      <c r="Z78" s="142" t="str">
        <f t="shared" ref="Z78" si="666">IF($A78="","",IF(Y78="","",IF($K$4="Media aritmética",(Y78&lt;=$B78)*($G$5/$B$5)+(Y78&gt;$B78)*0,IF(ROUND(AVERAGE($C78,$E78,$G78,$I78,$K78,$M78,$O78,$Q78,$S78,$U78,$W78,$Y78,$AA78,$AC78,$AE78),2)-$B78/2&lt;=Y78,IF(ROUND(AVERAGE($C78,$E78,$G78,$I78,$K78,$M78,$O78,$Q78,$S78,$U78,$W78,$Y78,$AA78,$AC78,$AE78),2)+$B78/2&gt;Y78,($G$5/$B$5),0),0))))</f>
        <v/>
      </c>
      <c r="AA78" s="141" t="str">
        <f>IF($AA$8="Habilitado",IF($A78="","",ROUND(VLOOKUP($A78,'Presupuesto Consolidado'!#REF!,6,FALSE),2)),"")</f>
        <v/>
      </c>
      <c r="AB78" s="142" t="str">
        <f t="shared" ref="AB78" si="667">IF($A78="","",IF(AA78="","",IF($K$4="Media aritmética",(AA78&lt;=$B78)*($G$5/$B$5)+(AA78&gt;$B78)*0,IF(ROUND(AVERAGE($C78,$E78,$G78,$I78,$K78,$M78,$O78,$Q78,$S78,$U78,$W78,$Y78,$AA78,$AC78,$AE78),2)-$B78/2&lt;=AA78,IF(ROUND(AVERAGE($C78,$E78,$G78,$I78,$K78,$M78,$O78,$Q78,$S78,$U78,$W78,$Y78,$AA78,$AC78,$AE78),2)+$B78/2&gt;AA78,($G$5/$B$5),0),0))))</f>
        <v/>
      </c>
      <c r="AC78" s="141" t="str">
        <f>IF($AC$8="Habilitado",IF($A78="","",ROUND(VLOOKUP($A78,'Presupuesto Consolidado'!#REF!,6,FALSE),2)),"")</f>
        <v/>
      </c>
      <c r="AD78" s="142" t="str">
        <f t="shared" ref="AD78" si="668">IF($A78="","",IF(AC78="","",IF($K$4="Media aritmética",(AC78&lt;=$B78)*($G$5/$B$5)+(AC78&gt;$B78)*0,IF(ROUND(AVERAGE($C78,$E78,$G78,$I78,$K78,$M78,$O78,$Q78,$S78,$U78,$W78,$Y78,$AA78,$AC78,$AE78),2)-$B78/2&lt;=AC78,IF(ROUND(AVERAGE($C78,$E78,$G78,$I78,$K78,$M78,$O78,$Q78,$S78,$U78,$W78,$Y78,$AA78,$AC78,$AE78),2)+$B78/2&gt;AC78,($G$5/$B$5),0),0))))</f>
        <v/>
      </c>
      <c r="AE78" s="141" t="str">
        <f>IF($AE$8="Habilitado",IF($A78="","",ROUND(VLOOKUP($A78,'Presupuesto Consolidado'!#REF!,6,FALSE),2)),"")</f>
        <v/>
      </c>
      <c r="AF78" s="142" t="str">
        <f t="shared" ref="AF78" si="669">IF($A78="","",IF(AE78="","",IF($K$4="Media aritmética",(AE78&lt;=$B78)*($G$5/$B$5)+(AE78&gt;$B78)*0,IF(ROUND(AVERAGE($C78,$E78,$G78,$I78,$K78,$M78,$O78,$Q78,$S78,$U78,$W78,$Y78,$AA78,$AC78,$AE78),2)-$B78/2&lt;=AE78,IF(ROUND(AVERAGE($C78,$E78,$G78,$I78,$K78,$M78,$O78,$Q78,$S78,$U78,$W78,$Y78,$AA78,$AC78,$AE78),2)+$B78/2&gt;AE78,($G$5/$B$5),0),0))))</f>
        <v/>
      </c>
    </row>
    <row r="79" spans="1:32" s="135" customFormat="1" ht="21" customHeight="1">
      <c r="A79" s="132" t="str">
        <f>+'Presupuesto Consolidado'!A76</f>
        <v>11.5.3</v>
      </c>
      <c r="B79" s="140">
        <f t="shared" ref="B79" si="670">IF(A79="","",IF($K$4="Media aritmética",ROUND(AVERAGE(C79,E79,G79,I79,K79,M79,O79,Q79,S79,U79,W79,Y79,AA79,AC79,AE79),2),ROUND(_xlfn.STDEV.P(C79,E79,G79,I79,K79,M79,O79,Q79,S79,U79,W79,Y79,AA79,AC79,AE79),2)))</f>
        <v>385920</v>
      </c>
      <c r="C79" s="141">
        <f>IF($C$8="Habilitado",IF($A79="","",ROUND(VLOOKUP($A79,'Presupuesto Consolidado'!$A$9:$F$600,6,FALSE),2)),"")</f>
        <v>385920</v>
      </c>
      <c r="D79" s="142">
        <f t="shared" ref="D79" si="671">IF($A79="","",IF(C79="","",IF($K$4="Media aritmética",(C79&lt;=$B79)*($G$5/$B$5)+(C79&gt;$B79)*0,IF(ROUND(AVERAGE($C79,$E79,$G79,$I79,$K79,$M79,$O79,$Q79,$S79,$U79,$W79,$Y79,$AA79,$AC79,$AE79),2)-$B79/2&lt;=C79,IF(ROUND(AVERAGE($C79,$E79,$G79,$I79,$K79,$M79,$O79,$Q79,$S79,$U79,$W79,$Y79,$AA79,$AC79,$AE79),2)+$B79/2&gt;C79,($G$5/$B$5),0),0))))</f>
        <v>0.45714285714285713</v>
      </c>
      <c r="E79" s="141" t="str">
        <f>IF($E$8="Habilitado",IF($A79="","",ROUND(VLOOKUP($A79,'Presupuesto Consolidado'!$I$9:$N$600,6,FALSE),2)),"")</f>
        <v/>
      </c>
      <c r="F79" s="142" t="str">
        <f t="shared" ref="F79" si="672">IF($A79="","",IF(E79="","",IF($K$4="Media aritmética",(E79&lt;=$B79)*($G$5/$B$5)+(E79&gt;$B79)*0,IF(ROUND(AVERAGE($C79,$E79,$G79,$I79,$K79,$M79,$O79,$Q79,$S79,$U79,$W79,$Y79,$AA79,$AC79,$AE79),2)-$B79/2&lt;=E79,IF(ROUND(AVERAGE($C79,$E79,$G79,$I79,$K79,$M79,$O79,$Q79,$S79,$U79,$W79,$Y79,$AA79,$AC79,$AE79),2)+$B79/2&gt;E79,($G$5/$B$5),0),0))))</f>
        <v/>
      </c>
      <c r="G79" s="141" t="str">
        <f>IF($G$8="Habilitado",IF($A79="","",ROUND(VLOOKUP($A79,'Presupuesto Consolidado'!$Q$9:$V$600,6,FALSE),2)),"")</f>
        <v/>
      </c>
      <c r="H79" s="142" t="str">
        <f t="shared" ref="H79" si="673">IF($A79="","",IF(G79="","",IF($K$4="Media aritmética",(G79&lt;=$B79)*($G$5/$B$5)+(G79&gt;$B79)*0,IF(ROUND(AVERAGE($C79,$E79,$G79,$I79,$K79,$M79,$O79,$Q79,$S79,$U79,$W79,$Y79,$AA79,$AC79,$AE79),2)-$B79/2&lt;=G79,IF(ROUND(AVERAGE($C79,$E79,$G79,$I79,$K79,$M79,$O79,$Q79,$S79,$U79,$W79,$Y79,$AA79,$AC79,$AE79),2)+$B79/2&gt;G79,($G$5/$B$5),0),0))))</f>
        <v/>
      </c>
      <c r="I79" s="141" t="str">
        <f>IF($I$8="Habilitado",IF($A79="","",ROUND(VLOOKUP($A79,'Presupuesto Consolidado'!$Y$9:$AD$600,6,FALSE),2)),"")</f>
        <v/>
      </c>
      <c r="J79" s="142" t="str">
        <f t="shared" ref="J79" si="674">IF($A79="","",IF(I79="","",IF($K$4="Media aritmética",(I79&lt;=$B79)*($G$5/$B$5)+(I79&gt;$B79)*0,IF(ROUND(AVERAGE($C79,$E79,$G79,$I79,$K79,$M79,$O79,$Q79,$S79,$U79,$W79,$Y79,$AA79,$AC79,$AE79),2)-$B79/2&lt;=I79,IF(ROUND(AVERAGE($C79,$E79,$G79,$I79,$K79,$M79,$O79,$Q79,$S79,$U79,$W79,$Y79,$AA79,$AC79,$AE79),2)+$B79/2&gt;I79,($G$5/$B$5),0),0))))</f>
        <v/>
      </c>
      <c r="K79" s="141" t="str">
        <f>IF($K$8="Habilitado",IF($A79="","",ROUND(VLOOKUP($A79,'Presupuesto Consolidado'!#REF!,6,FALSE),2)),"")</f>
        <v/>
      </c>
      <c r="L79" s="142" t="str">
        <f t="shared" ref="L79" si="675">IF($A79="","",IF(K79="","",IF($K$4="Media aritmética",(K79&lt;=$B79)*($G$5/$B$5)+(K79&gt;$B79)*0,IF(ROUND(AVERAGE($C79,$E79,$G79,$I79,$K79,$M79,$O79,$Q79,$S79,$U79,$W79,$Y79,$AA79,$AC79,$AE79),2)-$B79/2&lt;=K79,IF(ROUND(AVERAGE($C79,$E79,$G79,$I79,$K79,$M79,$O79,$Q79,$S79,$U79,$W79,$Y79,$AA79,$AC79,$AE79),2)+$B79/2&gt;K79,($G$5/$B$5),0),0))))</f>
        <v/>
      </c>
      <c r="M79" s="141" t="str">
        <f>IF($M$8="Habilitado",IF($A79="","",ROUND(VLOOKUP($A79,'Presupuesto Consolidado'!#REF!,6,FALSE),2)),"")</f>
        <v/>
      </c>
      <c r="N79" s="142" t="str">
        <f t="shared" ref="N79" si="676">IF($A79="","",IF(M79="","",IF($K$4="Media aritmética",(M79&lt;=$B79)*($G$5/$B$5)+(M79&gt;$B79)*0,IF(ROUND(AVERAGE($C79,$E79,$G79,$I79,$K79,$M79,$O79,$Q79,$S79,$U79,$W79,$Y79,$AA79,$AC79,$AE79),2)-$B79/2&lt;=M79,IF(ROUND(AVERAGE($C79,$E79,$G79,$I79,$K79,$M79,$O79,$Q79,$S79,$U79,$W79,$Y79,$AA79,$AC79,$AE79),2)+$B79/2&gt;M79,($G$5/$B$5),0),0))))</f>
        <v/>
      </c>
      <c r="O79" s="141" t="str">
        <f>IF($O$8="Habilitado",IF($A79="","",ROUND(VLOOKUP($A79,'Presupuesto Consolidado'!#REF!,6,FALSE),2)),"")</f>
        <v/>
      </c>
      <c r="P79" s="142" t="str">
        <f t="shared" ref="P79" si="677">IF($A79="","",IF(O79="","",IF($K$4="Media aritmética",(O79&lt;=$B79)*($G$5/$B$5)+(O79&gt;$B79)*0,IF(ROUND(AVERAGE($C79,$E79,$G79,$I79,$K79,$M79,$O79,$Q79,$S79,$U79,$W79,$Y79,$AA79,$AC79,$AE79),2)-$B79/2&lt;=O79,IF(ROUND(AVERAGE($C79,$E79,$G79,$I79,$K79,$M79,$O79,$Q79,$S79,$U79,$W79,$Y79,$AA79,$AC79,$AE79),2)+$B79/2&gt;O79,($G$5/$B$5),0),0))))</f>
        <v/>
      </c>
      <c r="Q79" s="141" t="str">
        <f>IF($Q$8="Habilitado",IF($A79="","",ROUND(VLOOKUP($A79,'Presupuesto Consolidado'!#REF!,6,FALSE),2)),"")</f>
        <v/>
      </c>
      <c r="R79" s="142" t="str">
        <f t="shared" ref="R79" si="678">IF($A79="","",IF(Q79="","",IF($K$4="Media aritmética",(Q79&lt;=$B79)*($G$5/$B$5)+(Q79&gt;$B79)*0,IF(ROUND(AVERAGE($C79,$E79,$G79,$I79,$K79,$M79,$O79,$Q79,$S79,$U79,$W79,$Y79,$AA79,$AC79,$AE79),2)-$B79/2&lt;=Q79,IF(ROUND(AVERAGE($C79,$E79,$G79,$I79,$K79,$M79,$O79,$Q79,$S79,$U79,$W79,$Y79,$AA79,$AC79,$AE79),2)+$B79/2&gt;Q79,($G$5/$B$5),0),0))))</f>
        <v/>
      </c>
      <c r="S79" s="141" t="str">
        <f>IF($S$8="Habilitado",IF($A79="","",ROUND(VLOOKUP($A79,'Presupuesto Consolidado'!#REF!,6,FALSE),2)),"")</f>
        <v/>
      </c>
      <c r="T79" s="142" t="str">
        <f t="shared" ref="T79" si="679">IF($A79="","",IF(S79="","",IF($K$4="Media aritmética",(S79&lt;=$B79)*($G$5/$B$5)+(S79&gt;$B79)*0,IF(ROUND(AVERAGE($C79,$E79,$G79,$I79,$K79,$M79,$O79,$Q79,$S79,$U79,$W79,$Y79,$AA79,$AC79,$AE79),2)-$B79/2&lt;=S79,IF(ROUND(AVERAGE($C79,$E79,$G79,$I79,$K79,$M79,$O79,$Q79,$S79,$U79,$W79,$Y79,$AA79,$AC79,$AE79),2)+$B79/2&gt;S79,($G$5/$B$5),0),0))))</f>
        <v/>
      </c>
      <c r="U79" s="141" t="str">
        <f>IF($U$8="Habilitado",IF($A79="","",ROUND(VLOOKUP($A79,'Presupuesto Consolidado'!#REF!,6,FALSE),2)),"")</f>
        <v/>
      </c>
      <c r="V79" s="142" t="str">
        <f t="shared" ref="V79" si="680">IF($A79="","",IF(U79="","",IF($K$4="Media aritmética",(U79&lt;=$B79)*($G$5/$B$5)+(U79&gt;$B79)*0,IF(ROUND(AVERAGE($C79,$E79,$G79,$I79,$K79,$M79,$O79,$Q79,$S79,$U79,$W79,$Y79,$AA79,$AC79,$AE79),2)-$B79/2&lt;=U79,IF(ROUND(AVERAGE($C79,$E79,$G79,$I79,$K79,$M79,$O79,$Q79,$S79,$U79,$W79,$Y79,$AA79,$AC79,$AE79),2)+$B79/2&gt;U79,($G$5/$B$5),0),0))))</f>
        <v/>
      </c>
      <c r="W79" s="141" t="str">
        <f>IF($W$8="Habilitado",IF($A79="","",ROUND(VLOOKUP($A79,'Presupuesto Consolidado'!#REF!,6,FALSE),2)),"")</f>
        <v/>
      </c>
      <c r="X79" s="142" t="str">
        <f t="shared" ref="X79" si="681">IF($A79="","",IF(W79="","",IF($K$4="Media aritmética",(W79&lt;=$B79)*($G$5/$B$5)+(W79&gt;$B79)*0,IF(ROUND(AVERAGE($C79,$E79,$G79,$I79,$K79,$M79,$O79,$Q79,$S79,$U79,$W79,$Y79,$AA79,$AC79,$AE79),2)-$B79/2&lt;=W79,IF(ROUND(AVERAGE($C79,$E79,$G79,$I79,$K79,$M79,$O79,$Q79,$S79,$U79,$W79,$Y79,$AA79,$AC79,$AE79),2)+$B79/2&gt;W79,($G$5/$B$5),0),0))))</f>
        <v/>
      </c>
      <c r="Y79" s="141" t="str">
        <f>IF($Y$8="Habilitado",IF($A79="","",ROUND(VLOOKUP($A79,'Presupuesto Consolidado'!#REF!,6,FALSE),2)),"")</f>
        <v/>
      </c>
      <c r="Z79" s="142" t="str">
        <f t="shared" ref="Z79" si="682">IF($A79="","",IF(Y79="","",IF($K$4="Media aritmética",(Y79&lt;=$B79)*($G$5/$B$5)+(Y79&gt;$B79)*0,IF(ROUND(AVERAGE($C79,$E79,$G79,$I79,$K79,$M79,$O79,$Q79,$S79,$U79,$W79,$Y79,$AA79,$AC79,$AE79),2)-$B79/2&lt;=Y79,IF(ROUND(AVERAGE($C79,$E79,$G79,$I79,$K79,$M79,$O79,$Q79,$S79,$U79,$W79,$Y79,$AA79,$AC79,$AE79),2)+$B79/2&gt;Y79,($G$5/$B$5),0),0))))</f>
        <v/>
      </c>
      <c r="AA79" s="141" t="str">
        <f>IF($AA$8="Habilitado",IF($A79="","",ROUND(VLOOKUP($A79,'Presupuesto Consolidado'!#REF!,6,FALSE),2)),"")</f>
        <v/>
      </c>
      <c r="AB79" s="142" t="str">
        <f t="shared" ref="AB79" si="683">IF($A79="","",IF(AA79="","",IF($K$4="Media aritmética",(AA79&lt;=$B79)*($G$5/$B$5)+(AA79&gt;$B79)*0,IF(ROUND(AVERAGE($C79,$E79,$G79,$I79,$K79,$M79,$O79,$Q79,$S79,$U79,$W79,$Y79,$AA79,$AC79,$AE79),2)-$B79/2&lt;=AA79,IF(ROUND(AVERAGE($C79,$E79,$G79,$I79,$K79,$M79,$O79,$Q79,$S79,$U79,$W79,$Y79,$AA79,$AC79,$AE79),2)+$B79/2&gt;AA79,($G$5/$B$5),0),0))))</f>
        <v/>
      </c>
      <c r="AC79" s="141" t="str">
        <f>IF($AC$8="Habilitado",IF($A79="","",ROUND(VLOOKUP($A79,'Presupuesto Consolidado'!#REF!,6,FALSE),2)),"")</f>
        <v/>
      </c>
      <c r="AD79" s="142" t="str">
        <f t="shared" ref="AD79" si="684">IF($A79="","",IF(AC79="","",IF($K$4="Media aritmética",(AC79&lt;=$B79)*($G$5/$B$5)+(AC79&gt;$B79)*0,IF(ROUND(AVERAGE($C79,$E79,$G79,$I79,$K79,$M79,$O79,$Q79,$S79,$U79,$W79,$Y79,$AA79,$AC79,$AE79),2)-$B79/2&lt;=AC79,IF(ROUND(AVERAGE($C79,$E79,$G79,$I79,$K79,$M79,$O79,$Q79,$S79,$U79,$W79,$Y79,$AA79,$AC79,$AE79),2)+$B79/2&gt;AC79,($G$5/$B$5),0),0))))</f>
        <v/>
      </c>
      <c r="AE79" s="141" t="str">
        <f>IF($AE$8="Habilitado",IF($A79="","",ROUND(VLOOKUP($A79,'Presupuesto Consolidado'!#REF!,6,FALSE),2)),"")</f>
        <v/>
      </c>
      <c r="AF79" s="142" t="str">
        <f t="shared" ref="AF79" si="685">IF($A79="","",IF(AE79="","",IF($K$4="Media aritmética",(AE79&lt;=$B79)*($G$5/$B$5)+(AE79&gt;$B79)*0,IF(ROUND(AVERAGE($C79,$E79,$G79,$I79,$K79,$M79,$O79,$Q79,$S79,$U79,$W79,$Y79,$AA79,$AC79,$AE79),2)-$B79/2&lt;=AE79,IF(ROUND(AVERAGE($C79,$E79,$G79,$I79,$K79,$M79,$O79,$Q79,$S79,$U79,$W79,$Y79,$AA79,$AC79,$AE79),2)+$B79/2&gt;AE79,($G$5/$B$5),0),0))))</f>
        <v/>
      </c>
    </row>
    <row r="80" spans="1:32" s="135" customFormat="1" ht="21" customHeight="1">
      <c r="A80" s="132" t="str">
        <f>+'Presupuesto Consolidado'!A82</f>
        <v>11.8.1</v>
      </c>
      <c r="B80" s="140">
        <f t="shared" ref="B80" si="686">IF(A80="","",IF($K$4="Media aritmética",ROUND(AVERAGE(C80,E80,G80,I80,K80,M80,O80,Q80,S80,U80,W80,Y80,AA80,AC80,AE80),2),ROUND(_xlfn.STDEV.P(C80,E80,G80,I80,K80,M80,O80,Q80,S80,U80,W80,Y80,AA80,AC80,AE80),2)))</f>
        <v>2170800</v>
      </c>
      <c r="C80" s="141">
        <f>IF($C$8="Habilitado",IF($A80="","",ROUND(VLOOKUP($A80,'Presupuesto Consolidado'!$A$9:$F$600,6,FALSE),2)),"")</f>
        <v>2170800</v>
      </c>
      <c r="D80" s="142">
        <f t="shared" ref="D80" si="687">IF($A80="","",IF(C80="","",IF($K$4="Media aritmética",(C80&lt;=$B80)*($G$5/$B$5)+(C80&gt;$B80)*0,IF(ROUND(AVERAGE($C80,$E80,$G80,$I80,$K80,$M80,$O80,$Q80,$S80,$U80,$W80,$Y80,$AA80,$AC80,$AE80),2)-$B80/2&lt;=C80,IF(ROUND(AVERAGE($C80,$E80,$G80,$I80,$K80,$M80,$O80,$Q80,$S80,$U80,$W80,$Y80,$AA80,$AC80,$AE80),2)+$B80/2&gt;C80,($G$5/$B$5),0),0))))</f>
        <v>0.45714285714285713</v>
      </c>
      <c r="E80" s="141" t="str">
        <f>IF($E$8="Habilitado",IF($A80="","",ROUND(VLOOKUP($A80,'Presupuesto Consolidado'!$I$9:$N$600,6,FALSE),2)),"")</f>
        <v/>
      </c>
      <c r="F80" s="142" t="str">
        <f t="shared" ref="F80" si="688">IF($A80="","",IF(E80="","",IF($K$4="Media aritmética",(E80&lt;=$B80)*($G$5/$B$5)+(E80&gt;$B80)*0,IF(ROUND(AVERAGE($C80,$E80,$G80,$I80,$K80,$M80,$O80,$Q80,$S80,$U80,$W80,$Y80,$AA80,$AC80,$AE80),2)-$B80/2&lt;=E80,IF(ROUND(AVERAGE($C80,$E80,$G80,$I80,$K80,$M80,$O80,$Q80,$S80,$U80,$W80,$Y80,$AA80,$AC80,$AE80),2)+$B80/2&gt;E80,($G$5/$B$5),0),0))))</f>
        <v/>
      </c>
      <c r="G80" s="141" t="str">
        <f>IF($G$8="Habilitado",IF($A80="","",ROUND(VLOOKUP($A80,'Presupuesto Consolidado'!$Q$9:$V$600,6,FALSE),2)),"")</f>
        <v/>
      </c>
      <c r="H80" s="142" t="str">
        <f t="shared" ref="H80" si="689">IF($A80="","",IF(G80="","",IF($K$4="Media aritmética",(G80&lt;=$B80)*($G$5/$B$5)+(G80&gt;$B80)*0,IF(ROUND(AVERAGE($C80,$E80,$G80,$I80,$K80,$M80,$O80,$Q80,$S80,$U80,$W80,$Y80,$AA80,$AC80,$AE80),2)-$B80/2&lt;=G80,IF(ROUND(AVERAGE($C80,$E80,$G80,$I80,$K80,$M80,$O80,$Q80,$S80,$U80,$W80,$Y80,$AA80,$AC80,$AE80),2)+$B80/2&gt;G80,($G$5/$B$5),0),0))))</f>
        <v/>
      </c>
      <c r="I80" s="141" t="str">
        <f>IF($I$8="Habilitado",IF($A80="","",ROUND(VLOOKUP($A80,'Presupuesto Consolidado'!$Y$9:$AD$600,6,FALSE),2)),"")</f>
        <v/>
      </c>
      <c r="J80" s="142" t="str">
        <f t="shared" ref="J80" si="690">IF($A80="","",IF(I80="","",IF($K$4="Media aritmética",(I80&lt;=$B80)*($G$5/$B$5)+(I80&gt;$B80)*0,IF(ROUND(AVERAGE($C80,$E80,$G80,$I80,$K80,$M80,$O80,$Q80,$S80,$U80,$W80,$Y80,$AA80,$AC80,$AE80),2)-$B80/2&lt;=I80,IF(ROUND(AVERAGE($C80,$E80,$G80,$I80,$K80,$M80,$O80,$Q80,$S80,$U80,$W80,$Y80,$AA80,$AC80,$AE80),2)+$B80/2&gt;I80,($G$5/$B$5),0),0))))</f>
        <v/>
      </c>
      <c r="K80" s="141" t="str">
        <f>IF($K$8="Habilitado",IF($A80="","",ROUND(VLOOKUP($A80,'Presupuesto Consolidado'!#REF!,6,FALSE),2)),"")</f>
        <v/>
      </c>
      <c r="L80" s="142" t="str">
        <f t="shared" ref="L80" si="691">IF($A80="","",IF(K80="","",IF($K$4="Media aritmética",(K80&lt;=$B80)*($G$5/$B$5)+(K80&gt;$B80)*0,IF(ROUND(AVERAGE($C80,$E80,$G80,$I80,$K80,$M80,$O80,$Q80,$S80,$U80,$W80,$Y80,$AA80,$AC80,$AE80),2)-$B80/2&lt;=K80,IF(ROUND(AVERAGE($C80,$E80,$G80,$I80,$K80,$M80,$O80,$Q80,$S80,$U80,$W80,$Y80,$AA80,$AC80,$AE80),2)+$B80/2&gt;K80,($G$5/$B$5),0),0))))</f>
        <v/>
      </c>
      <c r="M80" s="141" t="str">
        <f>IF($M$8="Habilitado",IF($A80="","",ROUND(VLOOKUP($A80,'Presupuesto Consolidado'!#REF!,6,FALSE),2)),"")</f>
        <v/>
      </c>
      <c r="N80" s="142" t="str">
        <f t="shared" ref="N80" si="692">IF($A80="","",IF(M80="","",IF($K$4="Media aritmética",(M80&lt;=$B80)*($G$5/$B$5)+(M80&gt;$B80)*0,IF(ROUND(AVERAGE($C80,$E80,$G80,$I80,$K80,$M80,$O80,$Q80,$S80,$U80,$W80,$Y80,$AA80,$AC80,$AE80),2)-$B80/2&lt;=M80,IF(ROUND(AVERAGE($C80,$E80,$G80,$I80,$K80,$M80,$O80,$Q80,$S80,$U80,$W80,$Y80,$AA80,$AC80,$AE80),2)+$B80/2&gt;M80,($G$5/$B$5),0),0))))</f>
        <v/>
      </c>
      <c r="O80" s="141" t="str">
        <f>IF($O$8="Habilitado",IF($A80="","",ROUND(VLOOKUP($A80,'Presupuesto Consolidado'!#REF!,6,FALSE),2)),"")</f>
        <v/>
      </c>
      <c r="P80" s="142" t="str">
        <f t="shared" ref="P80" si="693">IF($A80="","",IF(O80="","",IF($K$4="Media aritmética",(O80&lt;=$B80)*($G$5/$B$5)+(O80&gt;$B80)*0,IF(ROUND(AVERAGE($C80,$E80,$G80,$I80,$K80,$M80,$O80,$Q80,$S80,$U80,$W80,$Y80,$AA80,$AC80,$AE80),2)-$B80/2&lt;=O80,IF(ROUND(AVERAGE($C80,$E80,$G80,$I80,$K80,$M80,$O80,$Q80,$S80,$U80,$W80,$Y80,$AA80,$AC80,$AE80),2)+$B80/2&gt;O80,($G$5/$B$5),0),0))))</f>
        <v/>
      </c>
      <c r="Q80" s="141" t="str">
        <f>IF($Q$8="Habilitado",IF($A80="","",ROUND(VLOOKUP($A80,'Presupuesto Consolidado'!#REF!,6,FALSE),2)),"")</f>
        <v/>
      </c>
      <c r="R80" s="142" t="str">
        <f t="shared" ref="R80" si="694">IF($A80="","",IF(Q80="","",IF($K$4="Media aritmética",(Q80&lt;=$B80)*($G$5/$B$5)+(Q80&gt;$B80)*0,IF(ROUND(AVERAGE($C80,$E80,$G80,$I80,$K80,$M80,$O80,$Q80,$S80,$U80,$W80,$Y80,$AA80,$AC80,$AE80),2)-$B80/2&lt;=Q80,IF(ROUND(AVERAGE($C80,$E80,$G80,$I80,$K80,$M80,$O80,$Q80,$S80,$U80,$W80,$Y80,$AA80,$AC80,$AE80),2)+$B80/2&gt;Q80,($G$5/$B$5),0),0))))</f>
        <v/>
      </c>
      <c r="S80" s="141" t="str">
        <f>IF($S$8="Habilitado",IF($A80="","",ROUND(VLOOKUP($A80,'Presupuesto Consolidado'!#REF!,6,FALSE),2)),"")</f>
        <v/>
      </c>
      <c r="T80" s="142" t="str">
        <f t="shared" ref="T80" si="695">IF($A80="","",IF(S80="","",IF($K$4="Media aritmética",(S80&lt;=$B80)*($G$5/$B$5)+(S80&gt;$B80)*0,IF(ROUND(AVERAGE($C80,$E80,$G80,$I80,$K80,$M80,$O80,$Q80,$S80,$U80,$W80,$Y80,$AA80,$AC80,$AE80),2)-$B80/2&lt;=S80,IF(ROUND(AVERAGE($C80,$E80,$G80,$I80,$K80,$M80,$O80,$Q80,$S80,$U80,$W80,$Y80,$AA80,$AC80,$AE80),2)+$B80/2&gt;S80,($G$5/$B$5),0),0))))</f>
        <v/>
      </c>
      <c r="U80" s="141" t="str">
        <f>IF($U$8="Habilitado",IF($A80="","",ROUND(VLOOKUP($A80,'Presupuesto Consolidado'!#REF!,6,FALSE),2)),"")</f>
        <v/>
      </c>
      <c r="V80" s="142" t="str">
        <f t="shared" ref="V80" si="696">IF($A80="","",IF(U80="","",IF($K$4="Media aritmética",(U80&lt;=$B80)*($G$5/$B$5)+(U80&gt;$B80)*0,IF(ROUND(AVERAGE($C80,$E80,$G80,$I80,$K80,$M80,$O80,$Q80,$S80,$U80,$W80,$Y80,$AA80,$AC80,$AE80),2)-$B80/2&lt;=U80,IF(ROUND(AVERAGE($C80,$E80,$G80,$I80,$K80,$M80,$O80,$Q80,$S80,$U80,$W80,$Y80,$AA80,$AC80,$AE80),2)+$B80/2&gt;U80,($G$5/$B$5),0),0))))</f>
        <v/>
      </c>
      <c r="W80" s="141" t="str">
        <f>IF($W$8="Habilitado",IF($A80="","",ROUND(VLOOKUP($A80,'Presupuesto Consolidado'!#REF!,6,FALSE),2)),"")</f>
        <v/>
      </c>
      <c r="X80" s="142" t="str">
        <f t="shared" ref="X80" si="697">IF($A80="","",IF(W80="","",IF($K$4="Media aritmética",(W80&lt;=$B80)*($G$5/$B$5)+(W80&gt;$B80)*0,IF(ROUND(AVERAGE($C80,$E80,$G80,$I80,$K80,$M80,$O80,$Q80,$S80,$U80,$W80,$Y80,$AA80,$AC80,$AE80),2)-$B80/2&lt;=W80,IF(ROUND(AVERAGE($C80,$E80,$G80,$I80,$K80,$M80,$O80,$Q80,$S80,$U80,$W80,$Y80,$AA80,$AC80,$AE80),2)+$B80/2&gt;W80,($G$5/$B$5),0),0))))</f>
        <v/>
      </c>
      <c r="Y80" s="141" t="str">
        <f>IF($Y$8="Habilitado",IF($A80="","",ROUND(VLOOKUP($A80,'Presupuesto Consolidado'!#REF!,6,FALSE),2)),"")</f>
        <v/>
      </c>
      <c r="Z80" s="142" t="str">
        <f t="shared" ref="Z80" si="698">IF($A80="","",IF(Y80="","",IF($K$4="Media aritmética",(Y80&lt;=$B80)*($G$5/$B$5)+(Y80&gt;$B80)*0,IF(ROUND(AVERAGE($C80,$E80,$G80,$I80,$K80,$M80,$O80,$Q80,$S80,$U80,$W80,$Y80,$AA80,$AC80,$AE80),2)-$B80/2&lt;=Y80,IF(ROUND(AVERAGE($C80,$E80,$G80,$I80,$K80,$M80,$O80,$Q80,$S80,$U80,$W80,$Y80,$AA80,$AC80,$AE80),2)+$B80/2&gt;Y80,($G$5/$B$5),0),0))))</f>
        <v/>
      </c>
      <c r="AA80" s="141" t="str">
        <f>IF($AA$8="Habilitado",IF($A80="","",ROUND(VLOOKUP($A80,'Presupuesto Consolidado'!#REF!,6,FALSE),2)),"")</f>
        <v/>
      </c>
      <c r="AB80" s="142" t="str">
        <f t="shared" ref="AB80" si="699">IF($A80="","",IF(AA80="","",IF($K$4="Media aritmética",(AA80&lt;=$B80)*($G$5/$B$5)+(AA80&gt;$B80)*0,IF(ROUND(AVERAGE($C80,$E80,$G80,$I80,$K80,$M80,$O80,$Q80,$S80,$U80,$W80,$Y80,$AA80,$AC80,$AE80),2)-$B80/2&lt;=AA80,IF(ROUND(AVERAGE($C80,$E80,$G80,$I80,$K80,$M80,$O80,$Q80,$S80,$U80,$W80,$Y80,$AA80,$AC80,$AE80),2)+$B80/2&gt;AA80,($G$5/$B$5),0),0))))</f>
        <v/>
      </c>
      <c r="AC80" s="141" t="str">
        <f>IF($AC$8="Habilitado",IF($A80="","",ROUND(VLOOKUP($A80,'Presupuesto Consolidado'!#REF!,6,FALSE),2)),"")</f>
        <v/>
      </c>
      <c r="AD80" s="142" t="str">
        <f t="shared" ref="AD80" si="700">IF($A80="","",IF(AC80="","",IF($K$4="Media aritmética",(AC80&lt;=$B80)*($G$5/$B$5)+(AC80&gt;$B80)*0,IF(ROUND(AVERAGE($C80,$E80,$G80,$I80,$K80,$M80,$O80,$Q80,$S80,$U80,$W80,$Y80,$AA80,$AC80,$AE80),2)-$B80/2&lt;=AC80,IF(ROUND(AVERAGE($C80,$E80,$G80,$I80,$K80,$M80,$O80,$Q80,$S80,$U80,$W80,$Y80,$AA80,$AC80,$AE80),2)+$B80/2&gt;AC80,($G$5/$B$5),0),0))))</f>
        <v/>
      </c>
      <c r="AE80" s="141" t="str">
        <f>IF($AE$8="Habilitado",IF($A80="","",ROUND(VLOOKUP($A80,'Presupuesto Consolidado'!#REF!,6,FALSE),2)),"")</f>
        <v/>
      </c>
      <c r="AF80" s="142" t="str">
        <f t="shared" ref="AF80" si="701">IF($A80="","",IF(AE80="","",IF($K$4="Media aritmética",(AE80&lt;=$B80)*($G$5/$B$5)+(AE80&gt;$B80)*0,IF(ROUND(AVERAGE($C80,$E80,$G80,$I80,$K80,$M80,$O80,$Q80,$S80,$U80,$W80,$Y80,$AA80,$AC80,$AE80),2)-$B80/2&lt;=AE80,IF(ROUND(AVERAGE($C80,$E80,$G80,$I80,$K80,$M80,$O80,$Q80,$S80,$U80,$W80,$Y80,$AA80,$AC80,$AE80),2)+$B80/2&gt;AE80,($G$5/$B$5),0),0))))</f>
        <v/>
      </c>
    </row>
    <row r="81" spans="1:32" s="135" customFormat="1" ht="21" customHeight="1">
      <c r="A81" s="132" t="str">
        <f>+'Presupuesto Consolidado'!A83</f>
        <v>11.8.2</v>
      </c>
      <c r="B81" s="140">
        <f t="shared" ref="B81" si="702">IF(A81="","",IF($K$4="Media aritmética",ROUND(AVERAGE(C81,E81,G81,I81,K81,M81,O81,Q81,S81,U81,W81,Y81,AA81,AC81,AE81),2),ROUND(_xlfn.STDEV.P(C81,E81,G81,I81,K81,M81,O81,Q81,S81,U81,W81,Y81,AA81,AC81,AE81),2)))</f>
        <v>2431260</v>
      </c>
      <c r="C81" s="141">
        <f>IF($C$8="Habilitado",IF($A81="","",ROUND(VLOOKUP($A81,'Presupuesto Consolidado'!$A$9:$F$600,6,FALSE),2)),"")</f>
        <v>2431260</v>
      </c>
      <c r="D81" s="142">
        <f t="shared" ref="D81" si="703">IF($A81="","",IF(C81="","",IF($K$4="Media aritmética",(C81&lt;=$B81)*($G$5/$B$5)+(C81&gt;$B81)*0,IF(ROUND(AVERAGE($C81,$E81,$G81,$I81,$K81,$M81,$O81,$Q81,$S81,$U81,$W81,$Y81,$AA81,$AC81,$AE81),2)-$B81/2&lt;=C81,IF(ROUND(AVERAGE($C81,$E81,$G81,$I81,$K81,$M81,$O81,$Q81,$S81,$U81,$W81,$Y81,$AA81,$AC81,$AE81),2)+$B81/2&gt;C81,($G$5/$B$5),0),0))))</f>
        <v>0.45714285714285713</v>
      </c>
      <c r="E81" s="141" t="str">
        <f>IF($E$8="Habilitado",IF($A81="","",ROUND(VLOOKUP($A81,'Presupuesto Consolidado'!$I$9:$N$600,6,FALSE),2)),"")</f>
        <v/>
      </c>
      <c r="F81" s="142" t="str">
        <f t="shared" ref="F81" si="704">IF($A81="","",IF(E81="","",IF($K$4="Media aritmética",(E81&lt;=$B81)*($G$5/$B$5)+(E81&gt;$B81)*0,IF(ROUND(AVERAGE($C81,$E81,$G81,$I81,$K81,$M81,$O81,$Q81,$S81,$U81,$W81,$Y81,$AA81,$AC81,$AE81),2)-$B81/2&lt;=E81,IF(ROUND(AVERAGE($C81,$E81,$G81,$I81,$K81,$M81,$O81,$Q81,$S81,$U81,$W81,$Y81,$AA81,$AC81,$AE81),2)+$B81/2&gt;E81,($G$5/$B$5),0),0))))</f>
        <v/>
      </c>
      <c r="G81" s="141" t="str">
        <f>IF($G$8="Habilitado",IF($A81="","",ROUND(VLOOKUP($A81,'Presupuesto Consolidado'!$Q$9:$V$600,6,FALSE),2)),"")</f>
        <v/>
      </c>
      <c r="H81" s="142" t="str">
        <f t="shared" ref="H81" si="705">IF($A81="","",IF(G81="","",IF($K$4="Media aritmética",(G81&lt;=$B81)*($G$5/$B$5)+(G81&gt;$B81)*0,IF(ROUND(AVERAGE($C81,$E81,$G81,$I81,$K81,$M81,$O81,$Q81,$S81,$U81,$W81,$Y81,$AA81,$AC81,$AE81),2)-$B81/2&lt;=G81,IF(ROUND(AVERAGE($C81,$E81,$G81,$I81,$K81,$M81,$O81,$Q81,$S81,$U81,$W81,$Y81,$AA81,$AC81,$AE81),2)+$B81/2&gt;G81,($G$5/$B$5),0),0))))</f>
        <v/>
      </c>
      <c r="I81" s="141" t="str">
        <f>IF($I$8="Habilitado",IF($A81="","",ROUND(VLOOKUP($A81,'Presupuesto Consolidado'!$Y$9:$AD$600,6,FALSE),2)),"")</f>
        <v/>
      </c>
      <c r="J81" s="142" t="str">
        <f t="shared" ref="J81" si="706">IF($A81="","",IF(I81="","",IF($K$4="Media aritmética",(I81&lt;=$B81)*($G$5/$B$5)+(I81&gt;$B81)*0,IF(ROUND(AVERAGE($C81,$E81,$G81,$I81,$K81,$M81,$O81,$Q81,$S81,$U81,$W81,$Y81,$AA81,$AC81,$AE81),2)-$B81/2&lt;=I81,IF(ROUND(AVERAGE($C81,$E81,$G81,$I81,$K81,$M81,$O81,$Q81,$S81,$U81,$W81,$Y81,$AA81,$AC81,$AE81),2)+$B81/2&gt;I81,($G$5/$B$5),0),0))))</f>
        <v/>
      </c>
      <c r="K81" s="141" t="str">
        <f>IF($K$8="Habilitado",IF($A81="","",ROUND(VLOOKUP($A81,'Presupuesto Consolidado'!#REF!,6,FALSE),2)),"")</f>
        <v/>
      </c>
      <c r="L81" s="142" t="str">
        <f t="shared" ref="L81" si="707">IF($A81="","",IF(K81="","",IF($K$4="Media aritmética",(K81&lt;=$B81)*($G$5/$B$5)+(K81&gt;$B81)*0,IF(ROUND(AVERAGE($C81,$E81,$G81,$I81,$K81,$M81,$O81,$Q81,$S81,$U81,$W81,$Y81,$AA81,$AC81,$AE81),2)-$B81/2&lt;=K81,IF(ROUND(AVERAGE($C81,$E81,$G81,$I81,$K81,$M81,$O81,$Q81,$S81,$U81,$W81,$Y81,$AA81,$AC81,$AE81),2)+$B81/2&gt;K81,($G$5/$B$5),0),0))))</f>
        <v/>
      </c>
      <c r="M81" s="141" t="str">
        <f>IF($M$8="Habilitado",IF($A81="","",ROUND(VLOOKUP($A81,'Presupuesto Consolidado'!#REF!,6,FALSE),2)),"")</f>
        <v/>
      </c>
      <c r="N81" s="142" t="str">
        <f t="shared" ref="N81" si="708">IF($A81="","",IF(M81="","",IF($K$4="Media aritmética",(M81&lt;=$B81)*($G$5/$B$5)+(M81&gt;$B81)*0,IF(ROUND(AVERAGE($C81,$E81,$G81,$I81,$K81,$M81,$O81,$Q81,$S81,$U81,$W81,$Y81,$AA81,$AC81,$AE81),2)-$B81/2&lt;=M81,IF(ROUND(AVERAGE($C81,$E81,$G81,$I81,$K81,$M81,$O81,$Q81,$S81,$U81,$W81,$Y81,$AA81,$AC81,$AE81),2)+$B81/2&gt;M81,($G$5/$B$5),0),0))))</f>
        <v/>
      </c>
      <c r="O81" s="141" t="str">
        <f>IF($O$8="Habilitado",IF($A81="","",ROUND(VLOOKUP($A81,'Presupuesto Consolidado'!#REF!,6,FALSE),2)),"")</f>
        <v/>
      </c>
      <c r="P81" s="142" t="str">
        <f t="shared" ref="P81" si="709">IF($A81="","",IF(O81="","",IF($K$4="Media aritmética",(O81&lt;=$B81)*($G$5/$B$5)+(O81&gt;$B81)*0,IF(ROUND(AVERAGE($C81,$E81,$G81,$I81,$K81,$M81,$O81,$Q81,$S81,$U81,$W81,$Y81,$AA81,$AC81,$AE81),2)-$B81/2&lt;=O81,IF(ROUND(AVERAGE($C81,$E81,$G81,$I81,$K81,$M81,$O81,$Q81,$S81,$U81,$W81,$Y81,$AA81,$AC81,$AE81),2)+$B81/2&gt;O81,($G$5/$B$5),0),0))))</f>
        <v/>
      </c>
      <c r="Q81" s="141" t="str">
        <f>IF($Q$8="Habilitado",IF($A81="","",ROUND(VLOOKUP($A81,'Presupuesto Consolidado'!#REF!,6,FALSE),2)),"")</f>
        <v/>
      </c>
      <c r="R81" s="142" t="str">
        <f t="shared" ref="R81" si="710">IF($A81="","",IF(Q81="","",IF($K$4="Media aritmética",(Q81&lt;=$B81)*($G$5/$B$5)+(Q81&gt;$B81)*0,IF(ROUND(AVERAGE($C81,$E81,$G81,$I81,$K81,$M81,$O81,$Q81,$S81,$U81,$W81,$Y81,$AA81,$AC81,$AE81),2)-$B81/2&lt;=Q81,IF(ROUND(AVERAGE($C81,$E81,$G81,$I81,$K81,$M81,$O81,$Q81,$S81,$U81,$W81,$Y81,$AA81,$AC81,$AE81),2)+$B81/2&gt;Q81,($G$5/$B$5),0),0))))</f>
        <v/>
      </c>
      <c r="S81" s="141" t="str">
        <f>IF($S$8="Habilitado",IF($A81="","",ROUND(VLOOKUP($A81,'Presupuesto Consolidado'!#REF!,6,FALSE),2)),"")</f>
        <v/>
      </c>
      <c r="T81" s="142" t="str">
        <f t="shared" ref="T81" si="711">IF($A81="","",IF(S81="","",IF($K$4="Media aritmética",(S81&lt;=$B81)*($G$5/$B$5)+(S81&gt;$B81)*0,IF(ROUND(AVERAGE($C81,$E81,$G81,$I81,$K81,$M81,$O81,$Q81,$S81,$U81,$W81,$Y81,$AA81,$AC81,$AE81),2)-$B81/2&lt;=S81,IF(ROUND(AVERAGE($C81,$E81,$G81,$I81,$K81,$M81,$O81,$Q81,$S81,$U81,$W81,$Y81,$AA81,$AC81,$AE81),2)+$B81/2&gt;S81,($G$5/$B$5),0),0))))</f>
        <v/>
      </c>
      <c r="U81" s="141" t="str">
        <f>IF($U$8="Habilitado",IF($A81="","",ROUND(VLOOKUP($A81,'Presupuesto Consolidado'!#REF!,6,FALSE),2)),"")</f>
        <v/>
      </c>
      <c r="V81" s="142" t="str">
        <f t="shared" ref="V81" si="712">IF($A81="","",IF(U81="","",IF($K$4="Media aritmética",(U81&lt;=$B81)*($G$5/$B$5)+(U81&gt;$B81)*0,IF(ROUND(AVERAGE($C81,$E81,$G81,$I81,$K81,$M81,$O81,$Q81,$S81,$U81,$W81,$Y81,$AA81,$AC81,$AE81),2)-$B81/2&lt;=U81,IF(ROUND(AVERAGE($C81,$E81,$G81,$I81,$K81,$M81,$O81,$Q81,$S81,$U81,$W81,$Y81,$AA81,$AC81,$AE81),2)+$B81/2&gt;U81,($G$5/$B$5),0),0))))</f>
        <v/>
      </c>
      <c r="W81" s="141" t="str">
        <f>IF($W$8="Habilitado",IF($A81="","",ROUND(VLOOKUP($A81,'Presupuesto Consolidado'!#REF!,6,FALSE),2)),"")</f>
        <v/>
      </c>
      <c r="X81" s="142" t="str">
        <f t="shared" ref="X81" si="713">IF($A81="","",IF(W81="","",IF($K$4="Media aritmética",(W81&lt;=$B81)*($G$5/$B$5)+(W81&gt;$B81)*0,IF(ROUND(AVERAGE($C81,$E81,$G81,$I81,$K81,$M81,$O81,$Q81,$S81,$U81,$W81,$Y81,$AA81,$AC81,$AE81),2)-$B81/2&lt;=W81,IF(ROUND(AVERAGE($C81,$E81,$G81,$I81,$K81,$M81,$O81,$Q81,$S81,$U81,$W81,$Y81,$AA81,$AC81,$AE81),2)+$B81/2&gt;W81,($G$5/$B$5),0),0))))</f>
        <v/>
      </c>
      <c r="Y81" s="141" t="str">
        <f>IF($Y$8="Habilitado",IF($A81="","",ROUND(VLOOKUP($A81,'Presupuesto Consolidado'!#REF!,6,FALSE),2)),"")</f>
        <v/>
      </c>
      <c r="Z81" s="142" t="str">
        <f t="shared" ref="Z81" si="714">IF($A81="","",IF(Y81="","",IF($K$4="Media aritmética",(Y81&lt;=$B81)*($G$5/$B$5)+(Y81&gt;$B81)*0,IF(ROUND(AVERAGE($C81,$E81,$G81,$I81,$K81,$M81,$O81,$Q81,$S81,$U81,$W81,$Y81,$AA81,$AC81,$AE81),2)-$B81/2&lt;=Y81,IF(ROUND(AVERAGE($C81,$E81,$G81,$I81,$K81,$M81,$O81,$Q81,$S81,$U81,$W81,$Y81,$AA81,$AC81,$AE81),2)+$B81/2&gt;Y81,($G$5/$B$5),0),0))))</f>
        <v/>
      </c>
      <c r="AA81" s="141" t="str">
        <f>IF($AA$8="Habilitado",IF($A81="","",ROUND(VLOOKUP($A81,'Presupuesto Consolidado'!#REF!,6,FALSE),2)),"")</f>
        <v/>
      </c>
      <c r="AB81" s="142" t="str">
        <f t="shared" ref="AB81" si="715">IF($A81="","",IF(AA81="","",IF($K$4="Media aritmética",(AA81&lt;=$B81)*($G$5/$B$5)+(AA81&gt;$B81)*0,IF(ROUND(AVERAGE($C81,$E81,$G81,$I81,$K81,$M81,$O81,$Q81,$S81,$U81,$W81,$Y81,$AA81,$AC81,$AE81),2)-$B81/2&lt;=AA81,IF(ROUND(AVERAGE($C81,$E81,$G81,$I81,$K81,$M81,$O81,$Q81,$S81,$U81,$W81,$Y81,$AA81,$AC81,$AE81),2)+$B81/2&gt;AA81,($G$5/$B$5),0),0))))</f>
        <v/>
      </c>
      <c r="AC81" s="141" t="str">
        <f>IF($AC$8="Habilitado",IF($A81="","",ROUND(VLOOKUP($A81,'Presupuesto Consolidado'!#REF!,6,FALSE),2)),"")</f>
        <v/>
      </c>
      <c r="AD81" s="142" t="str">
        <f t="shared" ref="AD81" si="716">IF($A81="","",IF(AC81="","",IF($K$4="Media aritmética",(AC81&lt;=$B81)*($G$5/$B$5)+(AC81&gt;$B81)*0,IF(ROUND(AVERAGE($C81,$E81,$G81,$I81,$K81,$M81,$O81,$Q81,$S81,$U81,$W81,$Y81,$AA81,$AC81,$AE81),2)-$B81/2&lt;=AC81,IF(ROUND(AVERAGE($C81,$E81,$G81,$I81,$K81,$M81,$O81,$Q81,$S81,$U81,$W81,$Y81,$AA81,$AC81,$AE81),2)+$B81/2&gt;AC81,($G$5/$B$5),0),0))))</f>
        <v/>
      </c>
      <c r="AE81" s="141" t="str">
        <f>IF($AE$8="Habilitado",IF($A81="","",ROUND(VLOOKUP($A81,'Presupuesto Consolidado'!#REF!,6,FALSE),2)),"")</f>
        <v/>
      </c>
      <c r="AF81" s="142" t="str">
        <f t="shared" ref="AF81" si="717">IF($A81="","",IF(AE81="","",IF($K$4="Media aritmética",(AE81&lt;=$B81)*($G$5/$B$5)+(AE81&gt;$B81)*0,IF(ROUND(AVERAGE($C81,$E81,$G81,$I81,$K81,$M81,$O81,$Q81,$S81,$U81,$W81,$Y81,$AA81,$AC81,$AE81),2)-$B81/2&lt;=AE81,IF(ROUND(AVERAGE($C81,$E81,$G81,$I81,$K81,$M81,$O81,$Q81,$S81,$U81,$W81,$Y81,$AA81,$AC81,$AE81),2)+$B81/2&gt;AE81,($G$5/$B$5),0),0))))</f>
        <v/>
      </c>
    </row>
    <row r="82" spans="1:32" s="135" customFormat="1" ht="21" customHeight="1">
      <c r="A82" s="132" t="str">
        <f>+'Presupuesto Consolidado'!A85</f>
        <v>11.9.1</v>
      </c>
      <c r="B82" s="140">
        <f t="shared" ref="B82" si="718">IF(A82="","",IF($K$4="Media aritmética",ROUND(AVERAGE(C82,E82,G82,I82,K82,M82,O82,Q82,S82,U82,W82,Y82,AA82,AC82,AE82),2),ROUND(_xlfn.STDEV.P(C82,E82,G82,I82,K82,M82,O82,Q82,S82,U82,W82,Y82,AA82,AC82,AE82),2)))</f>
        <v>12143920</v>
      </c>
      <c r="C82" s="141">
        <f>IF($C$8="Habilitado",IF($A82="","",ROUND(VLOOKUP($A82,'Presupuesto Consolidado'!$A$9:$F$600,6,FALSE),2)),"")</f>
        <v>12143920</v>
      </c>
      <c r="D82" s="142">
        <f t="shared" ref="D82" si="719">IF($A82="","",IF(C82="","",IF($K$4="Media aritmética",(C82&lt;=$B82)*($G$5/$B$5)+(C82&gt;$B82)*0,IF(ROUND(AVERAGE($C82,$E82,$G82,$I82,$K82,$M82,$O82,$Q82,$S82,$U82,$W82,$Y82,$AA82,$AC82,$AE82),2)-$B82/2&lt;=C82,IF(ROUND(AVERAGE($C82,$E82,$G82,$I82,$K82,$M82,$O82,$Q82,$S82,$U82,$W82,$Y82,$AA82,$AC82,$AE82),2)+$B82/2&gt;C82,($G$5/$B$5),0),0))))</f>
        <v>0.45714285714285713</v>
      </c>
      <c r="E82" s="141" t="str">
        <f>IF($E$8="Habilitado",IF($A82="","",ROUND(VLOOKUP($A82,'Presupuesto Consolidado'!$I$9:$N$600,6,FALSE),2)),"")</f>
        <v/>
      </c>
      <c r="F82" s="142" t="str">
        <f t="shared" ref="F82" si="720">IF($A82="","",IF(E82="","",IF($K$4="Media aritmética",(E82&lt;=$B82)*($G$5/$B$5)+(E82&gt;$B82)*0,IF(ROUND(AVERAGE($C82,$E82,$G82,$I82,$K82,$M82,$O82,$Q82,$S82,$U82,$W82,$Y82,$AA82,$AC82,$AE82),2)-$B82/2&lt;=E82,IF(ROUND(AVERAGE($C82,$E82,$G82,$I82,$K82,$M82,$O82,$Q82,$S82,$U82,$W82,$Y82,$AA82,$AC82,$AE82),2)+$B82/2&gt;E82,($G$5/$B$5),0),0))))</f>
        <v/>
      </c>
      <c r="G82" s="141" t="str">
        <f>IF($G$8="Habilitado",IF($A82="","",ROUND(VLOOKUP($A82,'Presupuesto Consolidado'!$Q$9:$V$600,6,FALSE),2)),"")</f>
        <v/>
      </c>
      <c r="H82" s="142" t="str">
        <f t="shared" ref="H82" si="721">IF($A82="","",IF(G82="","",IF($K$4="Media aritmética",(G82&lt;=$B82)*($G$5/$B$5)+(G82&gt;$B82)*0,IF(ROUND(AVERAGE($C82,$E82,$G82,$I82,$K82,$M82,$O82,$Q82,$S82,$U82,$W82,$Y82,$AA82,$AC82,$AE82),2)-$B82/2&lt;=G82,IF(ROUND(AVERAGE($C82,$E82,$G82,$I82,$K82,$M82,$O82,$Q82,$S82,$U82,$W82,$Y82,$AA82,$AC82,$AE82),2)+$B82/2&gt;G82,($G$5/$B$5),0),0))))</f>
        <v/>
      </c>
      <c r="I82" s="141" t="str">
        <f>IF($I$8="Habilitado",IF($A82="","",ROUND(VLOOKUP($A82,'Presupuesto Consolidado'!$Y$9:$AD$600,6,FALSE),2)),"")</f>
        <v/>
      </c>
      <c r="J82" s="142" t="str">
        <f t="shared" ref="J82" si="722">IF($A82="","",IF(I82="","",IF($K$4="Media aritmética",(I82&lt;=$B82)*($G$5/$B$5)+(I82&gt;$B82)*0,IF(ROUND(AVERAGE($C82,$E82,$G82,$I82,$K82,$M82,$O82,$Q82,$S82,$U82,$W82,$Y82,$AA82,$AC82,$AE82),2)-$B82/2&lt;=I82,IF(ROUND(AVERAGE($C82,$E82,$G82,$I82,$K82,$M82,$O82,$Q82,$S82,$U82,$W82,$Y82,$AA82,$AC82,$AE82),2)+$B82/2&gt;I82,($G$5/$B$5),0),0))))</f>
        <v/>
      </c>
      <c r="K82" s="141" t="str">
        <f>IF($K$8="Habilitado",IF($A82="","",ROUND(VLOOKUP($A82,'Presupuesto Consolidado'!#REF!,6,FALSE),2)),"")</f>
        <v/>
      </c>
      <c r="L82" s="142" t="str">
        <f t="shared" ref="L82" si="723">IF($A82="","",IF(K82="","",IF($K$4="Media aritmética",(K82&lt;=$B82)*($G$5/$B$5)+(K82&gt;$B82)*0,IF(ROUND(AVERAGE($C82,$E82,$G82,$I82,$K82,$M82,$O82,$Q82,$S82,$U82,$W82,$Y82,$AA82,$AC82,$AE82),2)-$B82/2&lt;=K82,IF(ROUND(AVERAGE($C82,$E82,$G82,$I82,$K82,$M82,$O82,$Q82,$S82,$U82,$W82,$Y82,$AA82,$AC82,$AE82),2)+$B82/2&gt;K82,($G$5/$B$5),0),0))))</f>
        <v/>
      </c>
      <c r="M82" s="141" t="str">
        <f>IF($M$8="Habilitado",IF($A82="","",ROUND(VLOOKUP($A82,'Presupuesto Consolidado'!#REF!,6,FALSE),2)),"")</f>
        <v/>
      </c>
      <c r="N82" s="142" t="str">
        <f t="shared" ref="N82" si="724">IF($A82="","",IF(M82="","",IF($K$4="Media aritmética",(M82&lt;=$B82)*($G$5/$B$5)+(M82&gt;$B82)*0,IF(ROUND(AVERAGE($C82,$E82,$G82,$I82,$K82,$M82,$O82,$Q82,$S82,$U82,$W82,$Y82,$AA82,$AC82,$AE82),2)-$B82/2&lt;=M82,IF(ROUND(AVERAGE($C82,$E82,$G82,$I82,$K82,$M82,$O82,$Q82,$S82,$U82,$W82,$Y82,$AA82,$AC82,$AE82),2)+$B82/2&gt;M82,($G$5/$B$5),0),0))))</f>
        <v/>
      </c>
      <c r="O82" s="141" t="str">
        <f>IF($O$8="Habilitado",IF($A82="","",ROUND(VLOOKUP($A82,'Presupuesto Consolidado'!#REF!,6,FALSE),2)),"")</f>
        <v/>
      </c>
      <c r="P82" s="142" t="str">
        <f t="shared" ref="P82" si="725">IF($A82="","",IF(O82="","",IF($K$4="Media aritmética",(O82&lt;=$B82)*($G$5/$B$5)+(O82&gt;$B82)*0,IF(ROUND(AVERAGE($C82,$E82,$G82,$I82,$K82,$M82,$O82,$Q82,$S82,$U82,$W82,$Y82,$AA82,$AC82,$AE82),2)-$B82/2&lt;=O82,IF(ROUND(AVERAGE($C82,$E82,$G82,$I82,$K82,$M82,$O82,$Q82,$S82,$U82,$W82,$Y82,$AA82,$AC82,$AE82),2)+$B82/2&gt;O82,($G$5/$B$5),0),0))))</f>
        <v/>
      </c>
      <c r="Q82" s="141" t="str">
        <f>IF($Q$8="Habilitado",IF($A82="","",ROUND(VLOOKUP($A82,'Presupuesto Consolidado'!#REF!,6,FALSE),2)),"")</f>
        <v/>
      </c>
      <c r="R82" s="142" t="str">
        <f t="shared" ref="R82" si="726">IF($A82="","",IF(Q82="","",IF($K$4="Media aritmética",(Q82&lt;=$B82)*($G$5/$B$5)+(Q82&gt;$B82)*0,IF(ROUND(AVERAGE($C82,$E82,$G82,$I82,$K82,$M82,$O82,$Q82,$S82,$U82,$W82,$Y82,$AA82,$AC82,$AE82),2)-$B82/2&lt;=Q82,IF(ROUND(AVERAGE($C82,$E82,$G82,$I82,$K82,$M82,$O82,$Q82,$S82,$U82,$W82,$Y82,$AA82,$AC82,$AE82),2)+$B82/2&gt;Q82,($G$5/$B$5),0),0))))</f>
        <v/>
      </c>
      <c r="S82" s="141" t="str">
        <f>IF($S$8="Habilitado",IF($A82="","",ROUND(VLOOKUP($A82,'Presupuesto Consolidado'!#REF!,6,FALSE),2)),"")</f>
        <v/>
      </c>
      <c r="T82" s="142" t="str">
        <f t="shared" ref="T82" si="727">IF($A82="","",IF(S82="","",IF($K$4="Media aritmética",(S82&lt;=$B82)*($G$5/$B$5)+(S82&gt;$B82)*0,IF(ROUND(AVERAGE($C82,$E82,$G82,$I82,$K82,$M82,$O82,$Q82,$S82,$U82,$W82,$Y82,$AA82,$AC82,$AE82),2)-$B82/2&lt;=S82,IF(ROUND(AVERAGE($C82,$E82,$G82,$I82,$K82,$M82,$O82,$Q82,$S82,$U82,$W82,$Y82,$AA82,$AC82,$AE82),2)+$B82/2&gt;S82,($G$5/$B$5),0),0))))</f>
        <v/>
      </c>
      <c r="U82" s="141" t="str">
        <f>IF($U$8="Habilitado",IF($A82="","",ROUND(VLOOKUP($A82,'Presupuesto Consolidado'!#REF!,6,FALSE),2)),"")</f>
        <v/>
      </c>
      <c r="V82" s="142" t="str">
        <f t="shared" ref="V82" si="728">IF($A82="","",IF(U82="","",IF($K$4="Media aritmética",(U82&lt;=$B82)*($G$5/$B$5)+(U82&gt;$B82)*0,IF(ROUND(AVERAGE($C82,$E82,$G82,$I82,$K82,$M82,$O82,$Q82,$S82,$U82,$W82,$Y82,$AA82,$AC82,$AE82),2)-$B82/2&lt;=U82,IF(ROUND(AVERAGE($C82,$E82,$G82,$I82,$K82,$M82,$O82,$Q82,$S82,$U82,$W82,$Y82,$AA82,$AC82,$AE82),2)+$B82/2&gt;U82,($G$5/$B$5),0),0))))</f>
        <v/>
      </c>
      <c r="W82" s="141" t="str">
        <f>IF($W$8="Habilitado",IF($A82="","",ROUND(VLOOKUP($A82,'Presupuesto Consolidado'!#REF!,6,FALSE),2)),"")</f>
        <v/>
      </c>
      <c r="X82" s="142" t="str">
        <f t="shared" ref="X82" si="729">IF($A82="","",IF(W82="","",IF($K$4="Media aritmética",(W82&lt;=$B82)*($G$5/$B$5)+(W82&gt;$B82)*0,IF(ROUND(AVERAGE($C82,$E82,$G82,$I82,$K82,$M82,$O82,$Q82,$S82,$U82,$W82,$Y82,$AA82,$AC82,$AE82),2)-$B82/2&lt;=W82,IF(ROUND(AVERAGE($C82,$E82,$G82,$I82,$K82,$M82,$O82,$Q82,$S82,$U82,$W82,$Y82,$AA82,$AC82,$AE82),2)+$B82/2&gt;W82,($G$5/$B$5),0),0))))</f>
        <v/>
      </c>
      <c r="Y82" s="141" t="str">
        <f>IF($Y$8="Habilitado",IF($A82="","",ROUND(VLOOKUP($A82,'Presupuesto Consolidado'!#REF!,6,FALSE),2)),"")</f>
        <v/>
      </c>
      <c r="Z82" s="142" t="str">
        <f t="shared" ref="Z82" si="730">IF($A82="","",IF(Y82="","",IF($K$4="Media aritmética",(Y82&lt;=$B82)*($G$5/$B$5)+(Y82&gt;$B82)*0,IF(ROUND(AVERAGE($C82,$E82,$G82,$I82,$K82,$M82,$O82,$Q82,$S82,$U82,$W82,$Y82,$AA82,$AC82,$AE82),2)-$B82/2&lt;=Y82,IF(ROUND(AVERAGE($C82,$E82,$G82,$I82,$K82,$M82,$O82,$Q82,$S82,$U82,$W82,$Y82,$AA82,$AC82,$AE82),2)+$B82/2&gt;Y82,($G$5/$B$5),0),0))))</f>
        <v/>
      </c>
      <c r="AA82" s="141" t="str">
        <f>IF($AA$8="Habilitado",IF($A82="","",ROUND(VLOOKUP($A82,'Presupuesto Consolidado'!#REF!,6,FALSE),2)),"")</f>
        <v/>
      </c>
      <c r="AB82" s="142" t="str">
        <f t="shared" ref="AB82" si="731">IF($A82="","",IF(AA82="","",IF($K$4="Media aritmética",(AA82&lt;=$B82)*($G$5/$B$5)+(AA82&gt;$B82)*0,IF(ROUND(AVERAGE($C82,$E82,$G82,$I82,$K82,$M82,$O82,$Q82,$S82,$U82,$W82,$Y82,$AA82,$AC82,$AE82),2)-$B82/2&lt;=AA82,IF(ROUND(AVERAGE($C82,$E82,$G82,$I82,$K82,$M82,$O82,$Q82,$S82,$U82,$W82,$Y82,$AA82,$AC82,$AE82),2)+$B82/2&gt;AA82,($G$5/$B$5),0),0))))</f>
        <v/>
      </c>
      <c r="AC82" s="141" t="str">
        <f>IF($AC$8="Habilitado",IF($A82="","",ROUND(VLOOKUP($A82,'Presupuesto Consolidado'!#REF!,6,FALSE),2)),"")</f>
        <v/>
      </c>
      <c r="AD82" s="142" t="str">
        <f t="shared" ref="AD82" si="732">IF($A82="","",IF(AC82="","",IF($K$4="Media aritmética",(AC82&lt;=$B82)*($G$5/$B$5)+(AC82&gt;$B82)*0,IF(ROUND(AVERAGE($C82,$E82,$G82,$I82,$K82,$M82,$O82,$Q82,$S82,$U82,$W82,$Y82,$AA82,$AC82,$AE82),2)-$B82/2&lt;=AC82,IF(ROUND(AVERAGE($C82,$E82,$G82,$I82,$K82,$M82,$O82,$Q82,$S82,$U82,$W82,$Y82,$AA82,$AC82,$AE82),2)+$B82/2&gt;AC82,($G$5/$B$5),0),0))))</f>
        <v/>
      </c>
      <c r="AE82" s="141" t="str">
        <f>IF($AE$8="Habilitado",IF($A82="","",ROUND(VLOOKUP($A82,'Presupuesto Consolidado'!#REF!,6,FALSE),2)),"")</f>
        <v/>
      </c>
      <c r="AF82" s="142" t="str">
        <f t="shared" ref="AF82" si="733">IF($A82="","",IF(AE82="","",IF($K$4="Media aritmética",(AE82&lt;=$B82)*($G$5/$B$5)+(AE82&gt;$B82)*0,IF(ROUND(AVERAGE($C82,$E82,$G82,$I82,$K82,$M82,$O82,$Q82,$S82,$U82,$W82,$Y82,$AA82,$AC82,$AE82),2)-$B82/2&lt;=AE82,IF(ROUND(AVERAGE($C82,$E82,$G82,$I82,$K82,$M82,$O82,$Q82,$S82,$U82,$W82,$Y82,$AA82,$AC82,$AE82),2)+$B82/2&gt;AE82,($G$5/$B$5),0),0))))</f>
        <v/>
      </c>
    </row>
    <row r="83" spans="1:32" s="135" customFormat="1" ht="21" customHeight="1">
      <c r="A83" s="132" t="str">
        <f>+'Presupuesto Consolidado'!A86</f>
        <v>11.9.2</v>
      </c>
      <c r="B83" s="140">
        <f t="shared" ref="B83" si="734">IF(A83="","",IF($K$4="Media aritmética",ROUND(AVERAGE(C83,E83,G83,I83,K83,M83,O83,Q83,S83,U83,W83,Y83,AA83,AC83,AE83),2),ROUND(_xlfn.STDEV.P(C83,E83,G83,I83,K83,M83,O83,Q83,S83,U83,W83,Y83,AA83,AC83,AE83),2)))</f>
        <v>3277980</v>
      </c>
      <c r="C83" s="141">
        <f>IF($C$8="Habilitado",IF($A83="","",ROUND(VLOOKUP($A83,'Presupuesto Consolidado'!$A$9:$F$600,6,FALSE),2)),"")</f>
        <v>3277980</v>
      </c>
      <c r="D83" s="142">
        <f t="shared" ref="D83" si="735">IF($A83="","",IF(C83="","",IF($K$4="Media aritmética",(C83&lt;=$B83)*($G$5/$B$5)+(C83&gt;$B83)*0,IF(ROUND(AVERAGE($C83,$E83,$G83,$I83,$K83,$M83,$O83,$Q83,$S83,$U83,$W83,$Y83,$AA83,$AC83,$AE83),2)-$B83/2&lt;=C83,IF(ROUND(AVERAGE($C83,$E83,$G83,$I83,$K83,$M83,$O83,$Q83,$S83,$U83,$W83,$Y83,$AA83,$AC83,$AE83),2)+$B83/2&gt;C83,($G$5/$B$5),0),0))))</f>
        <v>0.45714285714285713</v>
      </c>
      <c r="E83" s="141" t="str">
        <f>IF($E$8="Habilitado",IF($A83="","",ROUND(VLOOKUP($A83,'Presupuesto Consolidado'!$I$9:$N$600,6,FALSE),2)),"")</f>
        <v/>
      </c>
      <c r="F83" s="142" t="str">
        <f t="shared" ref="F83" si="736">IF($A83="","",IF(E83="","",IF($K$4="Media aritmética",(E83&lt;=$B83)*($G$5/$B$5)+(E83&gt;$B83)*0,IF(ROUND(AVERAGE($C83,$E83,$G83,$I83,$K83,$M83,$O83,$Q83,$S83,$U83,$W83,$Y83,$AA83,$AC83,$AE83),2)-$B83/2&lt;=E83,IF(ROUND(AVERAGE($C83,$E83,$G83,$I83,$K83,$M83,$O83,$Q83,$S83,$U83,$W83,$Y83,$AA83,$AC83,$AE83),2)+$B83/2&gt;E83,($G$5/$B$5),0),0))))</f>
        <v/>
      </c>
      <c r="G83" s="141" t="str">
        <f>IF($G$8="Habilitado",IF($A83="","",ROUND(VLOOKUP($A83,'Presupuesto Consolidado'!$Q$9:$V$600,6,FALSE),2)),"")</f>
        <v/>
      </c>
      <c r="H83" s="142" t="str">
        <f t="shared" ref="H83" si="737">IF($A83="","",IF(G83="","",IF($K$4="Media aritmética",(G83&lt;=$B83)*($G$5/$B$5)+(G83&gt;$B83)*0,IF(ROUND(AVERAGE($C83,$E83,$G83,$I83,$K83,$M83,$O83,$Q83,$S83,$U83,$W83,$Y83,$AA83,$AC83,$AE83),2)-$B83/2&lt;=G83,IF(ROUND(AVERAGE($C83,$E83,$G83,$I83,$K83,$M83,$O83,$Q83,$S83,$U83,$W83,$Y83,$AA83,$AC83,$AE83),2)+$B83/2&gt;G83,($G$5/$B$5),0),0))))</f>
        <v/>
      </c>
      <c r="I83" s="141" t="str">
        <f>IF($I$8="Habilitado",IF($A83="","",ROUND(VLOOKUP($A83,'Presupuesto Consolidado'!$Y$9:$AD$600,6,FALSE),2)),"")</f>
        <v/>
      </c>
      <c r="J83" s="142" t="str">
        <f t="shared" ref="J83" si="738">IF($A83="","",IF(I83="","",IF($K$4="Media aritmética",(I83&lt;=$B83)*($G$5/$B$5)+(I83&gt;$B83)*0,IF(ROUND(AVERAGE($C83,$E83,$G83,$I83,$K83,$M83,$O83,$Q83,$S83,$U83,$W83,$Y83,$AA83,$AC83,$AE83),2)-$B83/2&lt;=I83,IF(ROUND(AVERAGE($C83,$E83,$G83,$I83,$K83,$M83,$O83,$Q83,$S83,$U83,$W83,$Y83,$AA83,$AC83,$AE83),2)+$B83/2&gt;I83,($G$5/$B$5),0),0))))</f>
        <v/>
      </c>
      <c r="K83" s="141" t="str">
        <f>IF($K$8="Habilitado",IF($A83="","",ROUND(VLOOKUP($A83,'Presupuesto Consolidado'!#REF!,6,FALSE),2)),"")</f>
        <v/>
      </c>
      <c r="L83" s="142" t="str">
        <f t="shared" ref="L83" si="739">IF($A83="","",IF(K83="","",IF($K$4="Media aritmética",(K83&lt;=$B83)*($G$5/$B$5)+(K83&gt;$B83)*0,IF(ROUND(AVERAGE($C83,$E83,$G83,$I83,$K83,$M83,$O83,$Q83,$S83,$U83,$W83,$Y83,$AA83,$AC83,$AE83),2)-$B83/2&lt;=K83,IF(ROUND(AVERAGE($C83,$E83,$G83,$I83,$K83,$M83,$O83,$Q83,$S83,$U83,$W83,$Y83,$AA83,$AC83,$AE83),2)+$B83/2&gt;K83,($G$5/$B$5),0),0))))</f>
        <v/>
      </c>
      <c r="M83" s="141" t="str">
        <f>IF($M$8="Habilitado",IF($A83="","",ROUND(VLOOKUP($A83,'Presupuesto Consolidado'!#REF!,6,FALSE),2)),"")</f>
        <v/>
      </c>
      <c r="N83" s="142" t="str">
        <f t="shared" ref="N83" si="740">IF($A83="","",IF(M83="","",IF($K$4="Media aritmética",(M83&lt;=$B83)*($G$5/$B$5)+(M83&gt;$B83)*0,IF(ROUND(AVERAGE($C83,$E83,$G83,$I83,$K83,$M83,$O83,$Q83,$S83,$U83,$W83,$Y83,$AA83,$AC83,$AE83),2)-$B83/2&lt;=M83,IF(ROUND(AVERAGE($C83,$E83,$G83,$I83,$K83,$M83,$O83,$Q83,$S83,$U83,$W83,$Y83,$AA83,$AC83,$AE83),2)+$B83/2&gt;M83,($G$5/$B$5),0),0))))</f>
        <v/>
      </c>
      <c r="O83" s="141" t="str">
        <f>IF($O$8="Habilitado",IF($A83="","",ROUND(VLOOKUP($A83,'Presupuesto Consolidado'!#REF!,6,FALSE),2)),"")</f>
        <v/>
      </c>
      <c r="P83" s="142" t="str">
        <f t="shared" ref="P83" si="741">IF($A83="","",IF(O83="","",IF($K$4="Media aritmética",(O83&lt;=$B83)*($G$5/$B$5)+(O83&gt;$B83)*0,IF(ROUND(AVERAGE($C83,$E83,$G83,$I83,$K83,$M83,$O83,$Q83,$S83,$U83,$W83,$Y83,$AA83,$AC83,$AE83),2)-$B83/2&lt;=O83,IF(ROUND(AVERAGE($C83,$E83,$G83,$I83,$K83,$M83,$O83,$Q83,$S83,$U83,$W83,$Y83,$AA83,$AC83,$AE83),2)+$B83/2&gt;O83,($G$5/$B$5),0),0))))</f>
        <v/>
      </c>
      <c r="Q83" s="141" t="str">
        <f>IF($Q$8="Habilitado",IF($A83="","",ROUND(VLOOKUP($A83,'Presupuesto Consolidado'!#REF!,6,FALSE),2)),"")</f>
        <v/>
      </c>
      <c r="R83" s="142" t="str">
        <f t="shared" ref="R83" si="742">IF($A83="","",IF(Q83="","",IF($K$4="Media aritmética",(Q83&lt;=$B83)*($G$5/$B$5)+(Q83&gt;$B83)*0,IF(ROUND(AVERAGE($C83,$E83,$G83,$I83,$K83,$M83,$O83,$Q83,$S83,$U83,$W83,$Y83,$AA83,$AC83,$AE83),2)-$B83/2&lt;=Q83,IF(ROUND(AVERAGE($C83,$E83,$G83,$I83,$K83,$M83,$O83,$Q83,$S83,$U83,$W83,$Y83,$AA83,$AC83,$AE83),2)+$B83/2&gt;Q83,($G$5/$B$5),0),0))))</f>
        <v/>
      </c>
      <c r="S83" s="141" t="str">
        <f>IF($S$8="Habilitado",IF($A83="","",ROUND(VLOOKUP($A83,'Presupuesto Consolidado'!#REF!,6,FALSE),2)),"")</f>
        <v/>
      </c>
      <c r="T83" s="142" t="str">
        <f t="shared" ref="T83" si="743">IF($A83="","",IF(S83="","",IF($K$4="Media aritmética",(S83&lt;=$B83)*($G$5/$B$5)+(S83&gt;$B83)*0,IF(ROUND(AVERAGE($C83,$E83,$G83,$I83,$K83,$M83,$O83,$Q83,$S83,$U83,$W83,$Y83,$AA83,$AC83,$AE83),2)-$B83/2&lt;=S83,IF(ROUND(AVERAGE($C83,$E83,$G83,$I83,$K83,$M83,$O83,$Q83,$S83,$U83,$W83,$Y83,$AA83,$AC83,$AE83),2)+$B83/2&gt;S83,($G$5/$B$5),0),0))))</f>
        <v/>
      </c>
      <c r="U83" s="141" t="str">
        <f>IF($U$8="Habilitado",IF($A83="","",ROUND(VLOOKUP($A83,'Presupuesto Consolidado'!#REF!,6,FALSE),2)),"")</f>
        <v/>
      </c>
      <c r="V83" s="142" t="str">
        <f t="shared" ref="V83" si="744">IF($A83="","",IF(U83="","",IF($K$4="Media aritmética",(U83&lt;=$B83)*($G$5/$B$5)+(U83&gt;$B83)*0,IF(ROUND(AVERAGE($C83,$E83,$G83,$I83,$K83,$M83,$O83,$Q83,$S83,$U83,$W83,$Y83,$AA83,$AC83,$AE83),2)-$B83/2&lt;=U83,IF(ROUND(AVERAGE($C83,$E83,$G83,$I83,$K83,$M83,$O83,$Q83,$S83,$U83,$W83,$Y83,$AA83,$AC83,$AE83),2)+$B83/2&gt;U83,($G$5/$B$5),0),0))))</f>
        <v/>
      </c>
      <c r="W83" s="141" t="str">
        <f>IF($W$8="Habilitado",IF($A83="","",ROUND(VLOOKUP($A83,'Presupuesto Consolidado'!#REF!,6,FALSE),2)),"")</f>
        <v/>
      </c>
      <c r="X83" s="142" t="str">
        <f t="shared" ref="X83" si="745">IF($A83="","",IF(W83="","",IF($K$4="Media aritmética",(W83&lt;=$B83)*($G$5/$B$5)+(W83&gt;$B83)*0,IF(ROUND(AVERAGE($C83,$E83,$G83,$I83,$K83,$M83,$O83,$Q83,$S83,$U83,$W83,$Y83,$AA83,$AC83,$AE83),2)-$B83/2&lt;=W83,IF(ROUND(AVERAGE($C83,$E83,$G83,$I83,$K83,$M83,$O83,$Q83,$S83,$U83,$W83,$Y83,$AA83,$AC83,$AE83),2)+$B83/2&gt;W83,($G$5/$B$5),0),0))))</f>
        <v/>
      </c>
      <c r="Y83" s="141" t="str">
        <f>IF($Y$8="Habilitado",IF($A83="","",ROUND(VLOOKUP($A83,'Presupuesto Consolidado'!#REF!,6,FALSE),2)),"")</f>
        <v/>
      </c>
      <c r="Z83" s="142" t="str">
        <f t="shared" ref="Z83" si="746">IF($A83="","",IF(Y83="","",IF($K$4="Media aritmética",(Y83&lt;=$B83)*($G$5/$B$5)+(Y83&gt;$B83)*0,IF(ROUND(AVERAGE($C83,$E83,$G83,$I83,$K83,$M83,$O83,$Q83,$S83,$U83,$W83,$Y83,$AA83,$AC83,$AE83),2)-$B83/2&lt;=Y83,IF(ROUND(AVERAGE($C83,$E83,$G83,$I83,$K83,$M83,$O83,$Q83,$S83,$U83,$W83,$Y83,$AA83,$AC83,$AE83),2)+$B83/2&gt;Y83,($G$5/$B$5),0),0))))</f>
        <v/>
      </c>
      <c r="AA83" s="141" t="str">
        <f>IF($AA$8="Habilitado",IF($A83="","",ROUND(VLOOKUP($A83,'Presupuesto Consolidado'!#REF!,6,FALSE),2)),"")</f>
        <v/>
      </c>
      <c r="AB83" s="142" t="str">
        <f t="shared" ref="AB83" si="747">IF($A83="","",IF(AA83="","",IF($K$4="Media aritmética",(AA83&lt;=$B83)*($G$5/$B$5)+(AA83&gt;$B83)*0,IF(ROUND(AVERAGE($C83,$E83,$G83,$I83,$K83,$M83,$O83,$Q83,$S83,$U83,$W83,$Y83,$AA83,$AC83,$AE83),2)-$B83/2&lt;=AA83,IF(ROUND(AVERAGE($C83,$E83,$G83,$I83,$K83,$M83,$O83,$Q83,$S83,$U83,$W83,$Y83,$AA83,$AC83,$AE83),2)+$B83/2&gt;AA83,($G$5/$B$5),0),0))))</f>
        <v/>
      </c>
      <c r="AC83" s="141" t="str">
        <f>IF($AC$8="Habilitado",IF($A83="","",ROUND(VLOOKUP($A83,'Presupuesto Consolidado'!#REF!,6,FALSE),2)),"")</f>
        <v/>
      </c>
      <c r="AD83" s="142" t="str">
        <f t="shared" ref="AD83" si="748">IF($A83="","",IF(AC83="","",IF($K$4="Media aritmética",(AC83&lt;=$B83)*($G$5/$B$5)+(AC83&gt;$B83)*0,IF(ROUND(AVERAGE($C83,$E83,$G83,$I83,$K83,$M83,$O83,$Q83,$S83,$U83,$W83,$Y83,$AA83,$AC83,$AE83),2)-$B83/2&lt;=AC83,IF(ROUND(AVERAGE($C83,$E83,$G83,$I83,$K83,$M83,$O83,$Q83,$S83,$U83,$W83,$Y83,$AA83,$AC83,$AE83),2)+$B83/2&gt;AC83,($G$5/$B$5),0),0))))</f>
        <v/>
      </c>
      <c r="AE83" s="141" t="str">
        <f>IF($AE$8="Habilitado",IF($A83="","",ROUND(VLOOKUP($A83,'Presupuesto Consolidado'!#REF!,6,FALSE),2)),"")</f>
        <v/>
      </c>
      <c r="AF83" s="142" t="str">
        <f t="shared" ref="AF83" si="749">IF($A83="","",IF(AE83="","",IF($K$4="Media aritmética",(AE83&lt;=$B83)*($G$5/$B$5)+(AE83&gt;$B83)*0,IF(ROUND(AVERAGE($C83,$E83,$G83,$I83,$K83,$M83,$O83,$Q83,$S83,$U83,$W83,$Y83,$AA83,$AC83,$AE83),2)-$B83/2&lt;=AE83,IF(ROUND(AVERAGE($C83,$E83,$G83,$I83,$K83,$M83,$O83,$Q83,$S83,$U83,$W83,$Y83,$AA83,$AC83,$AE83),2)+$B83/2&gt;AE83,($G$5/$B$5),0),0))))</f>
        <v/>
      </c>
    </row>
    <row r="84" spans="1:32" s="135" customFormat="1" ht="21" customHeight="1">
      <c r="A84" s="132" t="str">
        <f>+'Presupuesto Consolidado'!A88</f>
        <v>11.10.1</v>
      </c>
      <c r="B84" s="140">
        <f t="shared" ref="B84" si="750">IF(A84="","",IF($K$4="Media aritmética",ROUND(AVERAGE(C84,E84,G84,I84,K84,M84,O84,Q84,S84,U84,W84,Y84,AA84,AC84,AE84),2),ROUND(_xlfn.STDEV.P(C84,E84,G84,I84,K84,M84,O84,Q84,S84,U84,W84,Y84,AA84,AC84,AE84),2)))</f>
        <v>434160</v>
      </c>
      <c r="C84" s="141">
        <f>IF($C$8="Habilitado",IF($A84="","",ROUND(VLOOKUP($A84,'Presupuesto Consolidado'!$A$9:$F$600,6,FALSE),2)),"")</f>
        <v>434160</v>
      </c>
      <c r="D84" s="142">
        <f t="shared" ref="D84" si="751">IF($A84="","",IF(C84="","",IF($K$4="Media aritmética",(C84&lt;=$B84)*($G$5/$B$5)+(C84&gt;$B84)*0,IF(ROUND(AVERAGE($C84,$E84,$G84,$I84,$K84,$M84,$O84,$Q84,$S84,$U84,$W84,$Y84,$AA84,$AC84,$AE84),2)-$B84/2&lt;=C84,IF(ROUND(AVERAGE($C84,$E84,$G84,$I84,$K84,$M84,$O84,$Q84,$S84,$U84,$W84,$Y84,$AA84,$AC84,$AE84),2)+$B84/2&gt;C84,($G$5/$B$5),0),0))))</f>
        <v>0.45714285714285713</v>
      </c>
      <c r="E84" s="141" t="str">
        <f>IF($E$8="Habilitado",IF($A84="","",ROUND(VLOOKUP($A84,'Presupuesto Consolidado'!$I$9:$N$600,6,FALSE),2)),"")</f>
        <v/>
      </c>
      <c r="F84" s="142" t="str">
        <f t="shared" ref="F84" si="752">IF($A84="","",IF(E84="","",IF($K$4="Media aritmética",(E84&lt;=$B84)*($G$5/$B$5)+(E84&gt;$B84)*0,IF(ROUND(AVERAGE($C84,$E84,$G84,$I84,$K84,$M84,$O84,$Q84,$S84,$U84,$W84,$Y84,$AA84,$AC84,$AE84),2)-$B84/2&lt;=E84,IF(ROUND(AVERAGE($C84,$E84,$G84,$I84,$K84,$M84,$O84,$Q84,$S84,$U84,$W84,$Y84,$AA84,$AC84,$AE84),2)+$B84/2&gt;E84,($G$5/$B$5),0),0))))</f>
        <v/>
      </c>
      <c r="G84" s="141" t="str">
        <f>IF($G$8="Habilitado",IF($A84="","",ROUND(VLOOKUP($A84,'Presupuesto Consolidado'!$Q$9:$V$600,6,FALSE),2)),"")</f>
        <v/>
      </c>
      <c r="H84" s="142" t="str">
        <f t="shared" ref="H84" si="753">IF($A84="","",IF(G84="","",IF($K$4="Media aritmética",(G84&lt;=$B84)*($G$5/$B$5)+(G84&gt;$B84)*0,IF(ROUND(AVERAGE($C84,$E84,$G84,$I84,$K84,$M84,$O84,$Q84,$S84,$U84,$W84,$Y84,$AA84,$AC84,$AE84),2)-$B84/2&lt;=G84,IF(ROUND(AVERAGE($C84,$E84,$G84,$I84,$K84,$M84,$O84,$Q84,$S84,$U84,$W84,$Y84,$AA84,$AC84,$AE84),2)+$B84/2&gt;G84,($G$5/$B$5),0),0))))</f>
        <v/>
      </c>
      <c r="I84" s="141" t="str">
        <f>IF($I$8="Habilitado",IF($A84="","",ROUND(VLOOKUP($A84,'Presupuesto Consolidado'!$Y$9:$AD$600,6,FALSE),2)),"")</f>
        <v/>
      </c>
      <c r="J84" s="142" t="str">
        <f t="shared" ref="J84" si="754">IF($A84="","",IF(I84="","",IF($K$4="Media aritmética",(I84&lt;=$B84)*($G$5/$B$5)+(I84&gt;$B84)*0,IF(ROUND(AVERAGE($C84,$E84,$G84,$I84,$K84,$M84,$O84,$Q84,$S84,$U84,$W84,$Y84,$AA84,$AC84,$AE84),2)-$B84/2&lt;=I84,IF(ROUND(AVERAGE($C84,$E84,$G84,$I84,$K84,$M84,$O84,$Q84,$S84,$U84,$W84,$Y84,$AA84,$AC84,$AE84),2)+$B84/2&gt;I84,($G$5/$B$5),0),0))))</f>
        <v/>
      </c>
      <c r="K84" s="141" t="str">
        <f>IF($K$8="Habilitado",IF($A84="","",ROUND(VLOOKUP($A84,'Presupuesto Consolidado'!#REF!,6,FALSE),2)),"")</f>
        <v/>
      </c>
      <c r="L84" s="142" t="str">
        <f t="shared" ref="L84" si="755">IF($A84="","",IF(K84="","",IF($K$4="Media aritmética",(K84&lt;=$B84)*($G$5/$B$5)+(K84&gt;$B84)*0,IF(ROUND(AVERAGE($C84,$E84,$G84,$I84,$K84,$M84,$O84,$Q84,$S84,$U84,$W84,$Y84,$AA84,$AC84,$AE84),2)-$B84/2&lt;=K84,IF(ROUND(AVERAGE($C84,$E84,$G84,$I84,$K84,$M84,$O84,$Q84,$S84,$U84,$W84,$Y84,$AA84,$AC84,$AE84),2)+$B84/2&gt;K84,($G$5/$B$5),0),0))))</f>
        <v/>
      </c>
      <c r="M84" s="141" t="str">
        <f>IF($M$8="Habilitado",IF($A84="","",ROUND(VLOOKUP($A84,'Presupuesto Consolidado'!#REF!,6,FALSE),2)),"")</f>
        <v/>
      </c>
      <c r="N84" s="142" t="str">
        <f t="shared" ref="N84" si="756">IF($A84="","",IF(M84="","",IF($K$4="Media aritmética",(M84&lt;=$B84)*($G$5/$B$5)+(M84&gt;$B84)*0,IF(ROUND(AVERAGE($C84,$E84,$G84,$I84,$K84,$M84,$O84,$Q84,$S84,$U84,$W84,$Y84,$AA84,$AC84,$AE84),2)-$B84/2&lt;=M84,IF(ROUND(AVERAGE($C84,$E84,$G84,$I84,$K84,$M84,$O84,$Q84,$S84,$U84,$W84,$Y84,$AA84,$AC84,$AE84),2)+$B84/2&gt;M84,($G$5/$B$5),0),0))))</f>
        <v/>
      </c>
      <c r="O84" s="141" t="str">
        <f>IF($O$8="Habilitado",IF($A84="","",ROUND(VLOOKUP($A84,'Presupuesto Consolidado'!#REF!,6,FALSE),2)),"")</f>
        <v/>
      </c>
      <c r="P84" s="142" t="str">
        <f t="shared" ref="P84" si="757">IF($A84="","",IF(O84="","",IF($K$4="Media aritmética",(O84&lt;=$B84)*($G$5/$B$5)+(O84&gt;$B84)*0,IF(ROUND(AVERAGE($C84,$E84,$G84,$I84,$K84,$M84,$O84,$Q84,$S84,$U84,$W84,$Y84,$AA84,$AC84,$AE84),2)-$B84/2&lt;=O84,IF(ROUND(AVERAGE($C84,$E84,$G84,$I84,$K84,$M84,$O84,$Q84,$S84,$U84,$W84,$Y84,$AA84,$AC84,$AE84),2)+$B84/2&gt;O84,($G$5/$B$5),0),0))))</f>
        <v/>
      </c>
      <c r="Q84" s="141" t="str">
        <f>IF($Q$8="Habilitado",IF($A84="","",ROUND(VLOOKUP($A84,'Presupuesto Consolidado'!#REF!,6,FALSE),2)),"")</f>
        <v/>
      </c>
      <c r="R84" s="142" t="str">
        <f t="shared" ref="R84" si="758">IF($A84="","",IF(Q84="","",IF($K$4="Media aritmética",(Q84&lt;=$B84)*($G$5/$B$5)+(Q84&gt;$B84)*0,IF(ROUND(AVERAGE($C84,$E84,$G84,$I84,$K84,$M84,$O84,$Q84,$S84,$U84,$W84,$Y84,$AA84,$AC84,$AE84),2)-$B84/2&lt;=Q84,IF(ROUND(AVERAGE($C84,$E84,$G84,$I84,$K84,$M84,$O84,$Q84,$S84,$U84,$W84,$Y84,$AA84,$AC84,$AE84),2)+$B84/2&gt;Q84,($G$5/$B$5),0),0))))</f>
        <v/>
      </c>
      <c r="S84" s="141" t="str">
        <f>IF($S$8="Habilitado",IF($A84="","",ROUND(VLOOKUP($A84,'Presupuesto Consolidado'!#REF!,6,FALSE),2)),"")</f>
        <v/>
      </c>
      <c r="T84" s="142" t="str">
        <f t="shared" ref="T84" si="759">IF($A84="","",IF(S84="","",IF($K$4="Media aritmética",(S84&lt;=$B84)*($G$5/$B$5)+(S84&gt;$B84)*0,IF(ROUND(AVERAGE($C84,$E84,$G84,$I84,$K84,$M84,$O84,$Q84,$S84,$U84,$W84,$Y84,$AA84,$AC84,$AE84),2)-$B84/2&lt;=S84,IF(ROUND(AVERAGE($C84,$E84,$G84,$I84,$K84,$M84,$O84,$Q84,$S84,$U84,$W84,$Y84,$AA84,$AC84,$AE84),2)+$B84/2&gt;S84,($G$5/$B$5),0),0))))</f>
        <v/>
      </c>
      <c r="U84" s="141" t="str">
        <f>IF($U$8="Habilitado",IF($A84="","",ROUND(VLOOKUP($A84,'Presupuesto Consolidado'!#REF!,6,FALSE),2)),"")</f>
        <v/>
      </c>
      <c r="V84" s="142" t="str">
        <f t="shared" ref="V84" si="760">IF($A84="","",IF(U84="","",IF($K$4="Media aritmética",(U84&lt;=$B84)*($G$5/$B$5)+(U84&gt;$B84)*0,IF(ROUND(AVERAGE($C84,$E84,$G84,$I84,$K84,$M84,$O84,$Q84,$S84,$U84,$W84,$Y84,$AA84,$AC84,$AE84),2)-$B84/2&lt;=U84,IF(ROUND(AVERAGE($C84,$E84,$G84,$I84,$K84,$M84,$O84,$Q84,$S84,$U84,$W84,$Y84,$AA84,$AC84,$AE84),2)+$B84/2&gt;U84,($G$5/$B$5),0),0))))</f>
        <v/>
      </c>
      <c r="W84" s="141" t="str">
        <f>IF($W$8="Habilitado",IF($A84="","",ROUND(VLOOKUP($A84,'Presupuesto Consolidado'!#REF!,6,FALSE),2)),"")</f>
        <v/>
      </c>
      <c r="X84" s="142" t="str">
        <f t="shared" ref="X84" si="761">IF($A84="","",IF(W84="","",IF($K$4="Media aritmética",(W84&lt;=$B84)*($G$5/$B$5)+(W84&gt;$B84)*0,IF(ROUND(AVERAGE($C84,$E84,$G84,$I84,$K84,$M84,$O84,$Q84,$S84,$U84,$W84,$Y84,$AA84,$AC84,$AE84),2)-$B84/2&lt;=W84,IF(ROUND(AVERAGE($C84,$E84,$G84,$I84,$K84,$M84,$O84,$Q84,$S84,$U84,$W84,$Y84,$AA84,$AC84,$AE84),2)+$B84/2&gt;W84,($G$5/$B$5),0),0))))</f>
        <v/>
      </c>
      <c r="Y84" s="141" t="str">
        <f>IF($Y$8="Habilitado",IF($A84="","",ROUND(VLOOKUP($A84,'Presupuesto Consolidado'!#REF!,6,FALSE),2)),"")</f>
        <v/>
      </c>
      <c r="Z84" s="142" t="str">
        <f t="shared" ref="Z84" si="762">IF($A84="","",IF(Y84="","",IF($K$4="Media aritmética",(Y84&lt;=$B84)*($G$5/$B$5)+(Y84&gt;$B84)*0,IF(ROUND(AVERAGE($C84,$E84,$G84,$I84,$K84,$M84,$O84,$Q84,$S84,$U84,$W84,$Y84,$AA84,$AC84,$AE84),2)-$B84/2&lt;=Y84,IF(ROUND(AVERAGE($C84,$E84,$G84,$I84,$K84,$M84,$O84,$Q84,$S84,$U84,$W84,$Y84,$AA84,$AC84,$AE84),2)+$B84/2&gt;Y84,($G$5/$B$5),0),0))))</f>
        <v/>
      </c>
      <c r="AA84" s="141" t="str">
        <f>IF($AA$8="Habilitado",IF($A84="","",ROUND(VLOOKUP($A84,'Presupuesto Consolidado'!#REF!,6,FALSE),2)),"")</f>
        <v/>
      </c>
      <c r="AB84" s="142" t="str">
        <f t="shared" ref="AB84" si="763">IF($A84="","",IF(AA84="","",IF($K$4="Media aritmética",(AA84&lt;=$B84)*($G$5/$B$5)+(AA84&gt;$B84)*0,IF(ROUND(AVERAGE($C84,$E84,$G84,$I84,$K84,$M84,$O84,$Q84,$S84,$U84,$W84,$Y84,$AA84,$AC84,$AE84),2)-$B84/2&lt;=AA84,IF(ROUND(AVERAGE($C84,$E84,$G84,$I84,$K84,$M84,$O84,$Q84,$S84,$U84,$W84,$Y84,$AA84,$AC84,$AE84),2)+$B84/2&gt;AA84,($G$5/$B$5),0),0))))</f>
        <v/>
      </c>
      <c r="AC84" s="141" t="str">
        <f>IF($AC$8="Habilitado",IF($A84="","",ROUND(VLOOKUP($A84,'Presupuesto Consolidado'!#REF!,6,FALSE),2)),"")</f>
        <v/>
      </c>
      <c r="AD84" s="142" t="str">
        <f t="shared" ref="AD84" si="764">IF($A84="","",IF(AC84="","",IF($K$4="Media aritmética",(AC84&lt;=$B84)*($G$5/$B$5)+(AC84&gt;$B84)*0,IF(ROUND(AVERAGE($C84,$E84,$G84,$I84,$K84,$M84,$O84,$Q84,$S84,$U84,$W84,$Y84,$AA84,$AC84,$AE84),2)-$B84/2&lt;=AC84,IF(ROUND(AVERAGE($C84,$E84,$G84,$I84,$K84,$M84,$O84,$Q84,$S84,$U84,$W84,$Y84,$AA84,$AC84,$AE84),2)+$B84/2&gt;AC84,($G$5/$B$5),0),0))))</f>
        <v/>
      </c>
      <c r="AE84" s="141" t="str">
        <f>IF($AE$8="Habilitado",IF($A84="","",ROUND(VLOOKUP($A84,'Presupuesto Consolidado'!#REF!,6,FALSE),2)),"")</f>
        <v/>
      </c>
      <c r="AF84" s="142" t="str">
        <f t="shared" ref="AF84" si="765">IF($A84="","",IF(AE84="","",IF($K$4="Media aritmética",(AE84&lt;=$B84)*($G$5/$B$5)+(AE84&gt;$B84)*0,IF(ROUND(AVERAGE($C84,$E84,$G84,$I84,$K84,$M84,$O84,$Q84,$S84,$U84,$W84,$Y84,$AA84,$AC84,$AE84),2)-$B84/2&lt;=AE84,IF(ROUND(AVERAGE($C84,$E84,$G84,$I84,$K84,$M84,$O84,$Q84,$S84,$U84,$W84,$Y84,$AA84,$AC84,$AE84),2)+$B84/2&gt;AE84,($G$5/$B$5),0),0))))</f>
        <v/>
      </c>
    </row>
    <row r="85" spans="1:32" s="135" customFormat="1" ht="21" customHeight="1">
      <c r="A85" s="132" t="str">
        <f>+'Presupuesto Consolidado'!A90</f>
        <v>11.11.1</v>
      </c>
      <c r="B85" s="140">
        <f t="shared" ref="B85" si="766">IF(A85="","",IF($K$4="Media aritmética",ROUND(AVERAGE(C85,E85,G85,I85,K85,M85,O85,Q85,S85,U85,W85,Y85,AA85,AC85,AE85),2),ROUND(_xlfn.STDEV.P(C85,E85,G85,I85,K85,M85,O85,Q85,S85,U85,W85,Y85,AA85,AC85,AE85),2)))</f>
        <v>1447200</v>
      </c>
      <c r="C85" s="141">
        <f>IF($C$8="Habilitado",IF($A85="","",ROUND(VLOOKUP($A85,'Presupuesto Consolidado'!$A$9:$F$600,6,FALSE),2)),"")</f>
        <v>1447200</v>
      </c>
      <c r="D85" s="142">
        <f t="shared" ref="D85" si="767">IF($A85="","",IF(C85="","",IF($K$4="Media aritmética",(C85&lt;=$B85)*($G$5/$B$5)+(C85&gt;$B85)*0,IF(ROUND(AVERAGE($C85,$E85,$G85,$I85,$K85,$M85,$O85,$Q85,$S85,$U85,$W85,$Y85,$AA85,$AC85,$AE85),2)-$B85/2&lt;=C85,IF(ROUND(AVERAGE($C85,$E85,$G85,$I85,$K85,$M85,$O85,$Q85,$S85,$U85,$W85,$Y85,$AA85,$AC85,$AE85),2)+$B85/2&gt;C85,($G$5/$B$5),0),0))))</f>
        <v>0.45714285714285713</v>
      </c>
      <c r="E85" s="141" t="str">
        <f>IF($E$8="Habilitado",IF($A85="","",ROUND(VLOOKUP($A85,'Presupuesto Consolidado'!$I$9:$N$600,6,FALSE),2)),"")</f>
        <v/>
      </c>
      <c r="F85" s="142" t="str">
        <f t="shared" ref="F85" si="768">IF($A85="","",IF(E85="","",IF($K$4="Media aritmética",(E85&lt;=$B85)*($G$5/$B$5)+(E85&gt;$B85)*0,IF(ROUND(AVERAGE($C85,$E85,$G85,$I85,$K85,$M85,$O85,$Q85,$S85,$U85,$W85,$Y85,$AA85,$AC85,$AE85),2)-$B85/2&lt;=E85,IF(ROUND(AVERAGE($C85,$E85,$G85,$I85,$K85,$M85,$O85,$Q85,$S85,$U85,$W85,$Y85,$AA85,$AC85,$AE85),2)+$B85/2&gt;E85,($G$5/$B$5),0),0))))</f>
        <v/>
      </c>
      <c r="G85" s="141" t="str">
        <f>IF($G$8="Habilitado",IF($A85="","",ROUND(VLOOKUP($A85,'Presupuesto Consolidado'!$Q$9:$V$600,6,FALSE),2)),"")</f>
        <v/>
      </c>
      <c r="H85" s="142" t="str">
        <f t="shared" ref="H85" si="769">IF($A85="","",IF(G85="","",IF($K$4="Media aritmética",(G85&lt;=$B85)*($G$5/$B$5)+(G85&gt;$B85)*0,IF(ROUND(AVERAGE($C85,$E85,$G85,$I85,$K85,$M85,$O85,$Q85,$S85,$U85,$W85,$Y85,$AA85,$AC85,$AE85),2)-$B85/2&lt;=G85,IF(ROUND(AVERAGE($C85,$E85,$G85,$I85,$K85,$M85,$O85,$Q85,$S85,$U85,$W85,$Y85,$AA85,$AC85,$AE85),2)+$B85/2&gt;G85,($G$5/$B$5),0),0))))</f>
        <v/>
      </c>
      <c r="I85" s="141" t="str">
        <f>IF($I$8="Habilitado",IF($A85="","",ROUND(VLOOKUP($A85,'Presupuesto Consolidado'!$Y$9:$AD$600,6,FALSE),2)),"")</f>
        <v/>
      </c>
      <c r="J85" s="142" t="str">
        <f t="shared" ref="J85" si="770">IF($A85="","",IF(I85="","",IF($K$4="Media aritmética",(I85&lt;=$B85)*($G$5/$B$5)+(I85&gt;$B85)*0,IF(ROUND(AVERAGE($C85,$E85,$G85,$I85,$K85,$M85,$O85,$Q85,$S85,$U85,$W85,$Y85,$AA85,$AC85,$AE85),2)-$B85/2&lt;=I85,IF(ROUND(AVERAGE($C85,$E85,$G85,$I85,$K85,$M85,$O85,$Q85,$S85,$U85,$W85,$Y85,$AA85,$AC85,$AE85),2)+$B85/2&gt;I85,($G$5/$B$5),0),0))))</f>
        <v/>
      </c>
      <c r="K85" s="141" t="str">
        <f>IF($K$8="Habilitado",IF($A85="","",ROUND(VLOOKUP($A85,'Presupuesto Consolidado'!#REF!,6,FALSE),2)),"")</f>
        <v/>
      </c>
      <c r="L85" s="142" t="str">
        <f t="shared" ref="L85" si="771">IF($A85="","",IF(K85="","",IF($K$4="Media aritmética",(K85&lt;=$B85)*($G$5/$B$5)+(K85&gt;$B85)*0,IF(ROUND(AVERAGE($C85,$E85,$G85,$I85,$K85,$M85,$O85,$Q85,$S85,$U85,$W85,$Y85,$AA85,$AC85,$AE85),2)-$B85/2&lt;=K85,IF(ROUND(AVERAGE($C85,$E85,$G85,$I85,$K85,$M85,$O85,$Q85,$S85,$U85,$W85,$Y85,$AA85,$AC85,$AE85),2)+$B85/2&gt;K85,($G$5/$B$5),0),0))))</f>
        <v/>
      </c>
      <c r="M85" s="141" t="str">
        <f>IF($M$8="Habilitado",IF($A85="","",ROUND(VLOOKUP($A85,'Presupuesto Consolidado'!#REF!,6,FALSE),2)),"")</f>
        <v/>
      </c>
      <c r="N85" s="142" t="str">
        <f t="shared" ref="N85" si="772">IF($A85="","",IF(M85="","",IF($K$4="Media aritmética",(M85&lt;=$B85)*($G$5/$B$5)+(M85&gt;$B85)*0,IF(ROUND(AVERAGE($C85,$E85,$G85,$I85,$K85,$M85,$O85,$Q85,$S85,$U85,$W85,$Y85,$AA85,$AC85,$AE85),2)-$B85/2&lt;=M85,IF(ROUND(AVERAGE($C85,$E85,$G85,$I85,$K85,$M85,$O85,$Q85,$S85,$U85,$W85,$Y85,$AA85,$AC85,$AE85),2)+$B85/2&gt;M85,($G$5/$B$5),0),0))))</f>
        <v/>
      </c>
      <c r="O85" s="141" t="str">
        <f>IF($O$8="Habilitado",IF($A85="","",ROUND(VLOOKUP($A85,'Presupuesto Consolidado'!#REF!,6,FALSE),2)),"")</f>
        <v/>
      </c>
      <c r="P85" s="142" t="str">
        <f t="shared" ref="P85" si="773">IF($A85="","",IF(O85="","",IF($K$4="Media aritmética",(O85&lt;=$B85)*($G$5/$B$5)+(O85&gt;$B85)*0,IF(ROUND(AVERAGE($C85,$E85,$G85,$I85,$K85,$M85,$O85,$Q85,$S85,$U85,$W85,$Y85,$AA85,$AC85,$AE85),2)-$B85/2&lt;=O85,IF(ROUND(AVERAGE($C85,$E85,$G85,$I85,$K85,$M85,$O85,$Q85,$S85,$U85,$W85,$Y85,$AA85,$AC85,$AE85),2)+$B85/2&gt;O85,($G$5/$B$5),0),0))))</f>
        <v/>
      </c>
      <c r="Q85" s="141" t="str">
        <f>IF($Q$8="Habilitado",IF($A85="","",ROUND(VLOOKUP($A85,'Presupuesto Consolidado'!#REF!,6,FALSE),2)),"")</f>
        <v/>
      </c>
      <c r="R85" s="142" t="str">
        <f t="shared" ref="R85" si="774">IF($A85="","",IF(Q85="","",IF($K$4="Media aritmética",(Q85&lt;=$B85)*($G$5/$B$5)+(Q85&gt;$B85)*0,IF(ROUND(AVERAGE($C85,$E85,$G85,$I85,$K85,$M85,$O85,$Q85,$S85,$U85,$W85,$Y85,$AA85,$AC85,$AE85),2)-$B85/2&lt;=Q85,IF(ROUND(AVERAGE($C85,$E85,$G85,$I85,$K85,$M85,$O85,$Q85,$S85,$U85,$W85,$Y85,$AA85,$AC85,$AE85),2)+$B85/2&gt;Q85,($G$5/$B$5),0),0))))</f>
        <v/>
      </c>
      <c r="S85" s="141" t="str">
        <f>IF($S$8="Habilitado",IF($A85="","",ROUND(VLOOKUP($A85,'Presupuesto Consolidado'!#REF!,6,FALSE),2)),"")</f>
        <v/>
      </c>
      <c r="T85" s="142" t="str">
        <f t="shared" ref="T85" si="775">IF($A85="","",IF(S85="","",IF($K$4="Media aritmética",(S85&lt;=$B85)*($G$5/$B$5)+(S85&gt;$B85)*0,IF(ROUND(AVERAGE($C85,$E85,$G85,$I85,$K85,$M85,$O85,$Q85,$S85,$U85,$W85,$Y85,$AA85,$AC85,$AE85),2)-$B85/2&lt;=S85,IF(ROUND(AVERAGE($C85,$E85,$G85,$I85,$K85,$M85,$O85,$Q85,$S85,$U85,$W85,$Y85,$AA85,$AC85,$AE85),2)+$B85/2&gt;S85,($G$5/$B$5),0),0))))</f>
        <v/>
      </c>
      <c r="U85" s="141" t="str">
        <f>IF($U$8="Habilitado",IF($A85="","",ROUND(VLOOKUP($A85,'Presupuesto Consolidado'!#REF!,6,FALSE),2)),"")</f>
        <v/>
      </c>
      <c r="V85" s="142" t="str">
        <f t="shared" ref="V85" si="776">IF($A85="","",IF(U85="","",IF($K$4="Media aritmética",(U85&lt;=$B85)*($G$5/$B$5)+(U85&gt;$B85)*0,IF(ROUND(AVERAGE($C85,$E85,$G85,$I85,$K85,$M85,$O85,$Q85,$S85,$U85,$W85,$Y85,$AA85,$AC85,$AE85),2)-$B85/2&lt;=U85,IF(ROUND(AVERAGE($C85,$E85,$G85,$I85,$K85,$M85,$O85,$Q85,$S85,$U85,$W85,$Y85,$AA85,$AC85,$AE85),2)+$B85/2&gt;U85,($G$5/$B$5),0),0))))</f>
        <v/>
      </c>
      <c r="W85" s="141" t="str">
        <f>IF($W$8="Habilitado",IF($A85="","",ROUND(VLOOKUP($A85,'Presupuesto Consolidado'!#REF!,6,FALSE),2)),"")</f>
        <v/>
      </c>
      <c r="X85" s="142" t="str">
        <f t="shared" ref="X85" si="777">IF($A85="","",IF(W85="","",IF($K$4="Media aritmética",(W85&lt;=$B85)*($G$5/$B$5)+(W85&gt;$B85)*0,IF(ROUND(AVERAGE($C85,$E85,$G85,$I85,$K85,$M85,$O85,$Q85,$S85,$U85,$W85,$Y85,$AA85,$AC85,$AE85),2)-$B85/2&lt;=W85,IF(ROUND(AVERAGE($C85,$E85,$G85,$I85,$K85,$M85,$O85,$Q85,$S85,$U85,$W85,$Y85,$AA85,$AC85,$AE85),2)+$B85/2&gt;W85,($G$5/$B$5),0),0))))</f>
        <v/>
      </c>
      <c r="Y85" s="141" t="str">
        <f>IF($Y$8="Habilitado",IF($A85="","",ROUND(VLOOKUP($A85,'Presupuesto Consolidado'!#REF!,6,FALSE),2)),"")</f>
        <v/>
      </c>
      <c r="Z85" s="142" t="str">
        <f t="shared" ref="Z85" si="778">IF($A85="","",IF(Y85="","",IF($K$4="Media aritmética",(Y85&lt;=$B85)*($G$5/$B$5)+(Y85&gt;$B85)*0,IF(ROUND(AVERAGE($C85,$E85,$G85,$I85,$K85,$M85,$O85,$Q85,$S85,$U85,$W85,$Y85,$AA85,$AC85,$AE85),2)-$B85/2&lt;=Y85,IF(ROUND(AVERAGE($C85,$E85,$G85,$I85,$K85,$M85,$O85,$Q85,$S85,$U85,$W85,$Y85,$AA85,$AC85,$AE85),2)+$B85/2&gt;Y85,($G$5/$B$5),0),0))))</f>
        <v/>
      </c>
      <c r="AA85" s="141" t="str">
        <f>IF($AA$8="Habilitado",IF($A85="","",ROUND(VLOOKUP($A85,'Presupuesto Consolidado'!#REF!,6,FALSE),2)),"")</f>
        <v/>
      </c>
      <c r="AB85" s="142" t="str">
        <f t="shared" ref="AB85" si="779">IF($A85="","",IF(AA85="","",IF($K$4="Media aritmética",(AA85&lt;=$B85)*($G$5/$B$5)+(AA85&gt;$B85)*0,IF(ROUND(AVERAGE($C85,$E85,$G85,$I85,$K85,$M85,$O85,$Q85,$S85,$U85,$W85,$Y85,$AA85,$AC85,$AE85),2)-$B85/2&lt;=AA85,IF(ROUND(AVERAGE($C85,$E85,$G85,$I85,$K85,$M85,$O85,$Q85,$S85,$U85,$W85,$Y85,$AA85,$AC85,$AE85),2)+$B85/2&gt;AA85,($G$5/$B$5),0),0))))</f>
        <v/>
      </c>
      <c r="AC85" s="141" t="str">
        <f>IF($AC$8="Habilitado",IF($A85="","",ROUND(VLOOKUP($A85,'Presupuesto Consolidado'!#REF!,6,FALSE),2)),"")</f>
        <v/>
      </c>
      <c r="AD85" s="142" t="str">
        <f t="shared" ref="AD85" si="780">IF($A85="","",IF(AC85="","",IF($K$4="Media aritmética",(AC85&lt;=$B85)*($G$5/$B$5)+(AC85&gt;$B85)*0,IF(ROUND(AVERAGE($C85,$E85,$G85,$I85,$K85,$M85,$O85,$Q85,$S85,$U85,$W85,$Y85,$AA85,$AC85,$AE85),2)-$B85/2&lt;=AC85,IF(ROUND(AVERAGE($C85,$E85,$G85,$I85,$K85,$M85,$O85,$Q85,$S85,$U85,$W85,$Y85,$AA85,$AC85,$AE85),2)+$B85/2&gt;AC85,($G$5/$B$5),0),0))))</f>
        <v/>
      </c>
      <c r="AE85" s="141" t="str">
        <f>IF($AE$8="Habilitado",IF($A85="","",ROUND(VLOOKUP($A85,'Presupuesto Consolidado'!#REF!,6,FALSE),2)),"")</f>
        <v/>
      </c>
      <c r="AF85" s="142" t="str">
        <f t="shared" ref="AF85" si="781">IF($A85="","",IF(AE85="","",IF($K$4="Media aritmética",(AE85&lt;=$B85)*($G$5/$B$5)+(AE85&gt;$B85)*0,IF(ROUND(AVERAGE($C85,$E85,$G85,$I85,$K85,$M85,$O85,$Q85,$S85,$U85,$W85,$Y85,$AA85,$AC85,$AE85),2)-$B85/2&lt;=AE85,IF(ROUND(AVERAGE($C85,$E85,$G85,$I85,$K85,$M85,$O85,$Q85,$S85,$U85,$W85,$Y85,$AA85,$AC85,$AE85),2)+$B85/2&gt;AE85,($G$5/$B$5),0),0))))</f>
        <v/>
      </c>
    </row>
    <row r="86" spans="1:32" s="135" customFormat="1" ht="21" customHeight="1">
      <c r="A86" s="132" t="str">
        <f>+'Presupuesto Consolidado'!A91</f>
        <v>11.11.2</v>
      </c>
      <c r="B86" s="140">
        <f t="shared" ref="B86" si="782">IF(A86="","",IF($K$4="Media aritmética",ROUND(AVERAGE(C86,E86,G86,I86,K86,M86,O86,Q86,S86,U86,W86,Y86,AA86,AC86,AE86),2),ROUND(_xlfn.STDEV.P(C86,E86,G86,I86,K86,M86,O86,Q86,S86,U86,W86,Y86,AA86,AC86,AE86),2)))</f>
        <v>1447200</v>
      </c>
      <c r="C86" s="141">
        <f>IF($C$8="Habilitado",IF($A86="","",ROUND(VLOOKUP($A86,'Presupuesto Consolidado'!$A$9:$F$600,6,FALSE),2)),"")</f>
        <v>1447200</v>
      </c>
      <c r="D86" s="142">
        <f t="shared" ref="D86" si="783">IF($A86="","",IF(C86="","",IF($K$4="Media aritmética",(C86&lt;=$B86)*($G$5/$B$5)+(C86&gt;$B86)*0,IF(ROUND(AVERAGE($C86,$E86,$G86,$I86,$K86,$M86,$O86,$Q86,$S86,$U86,$W86,$Y86,$AA86,$AC86,$AE86),2)-$B86/2&lt;=C86,IF(ROUND(AVERAGE($C86,$E86,$G86,$I86,$K86,$M86,$O86,$Q86,$S86,$U86,$W86,$Y86,$AA86,$AC86,$AE86),2)+$B86/2&gt;C86,($G$5/$B$5),0),0))))</f>
        <v>0.45714285714285713</v>
      </c>
      <c r="E86" s="141" t="str">
        <f>IF($E$8="Habilitado",IF($A86="","",ROUND(VLOOKUP($A86,'Presupuesto Consolidado'!$I$9:$N$600,6,FALSE),2)),"")</f>
        <v/>
      </c>
      <c r="F86" s="142" t="str">
        <f t="shared" ref="F86" si="784">IF($A86="","",IF(E86="","",IF($K$4="Media aritmética",(E86&lt;=$B86)*($G$5/$B$5)+(E86&gt;$B86)*0,IF(ROUND(AVERAGE($C86,$E86,$G86,$I86,$K86,$M86,$O86,$Q86,$S86,$U86,$W86,$Y86,$AA86,$AC86,$AE86),2)-$B86/2&lt;=E86,IF(ROUND(AVERAGE($C86,$E86,$G86,$I86,$K86,$M86,$O86,$Q86,$S86,$U86,$W86,$Y86,$AA86,$AC86,$AE86),2)+$B86/2&gt;E86,($G$5/$B$5),0),0))))</f>
        <v/>
      </c>
      <c r="G86" s="141" t="str">
        <f>IF($G$8="Habilitado",IF($A86="","",ROUND(VLOOKUP($A86,'Presupuesto Consolidado'!$Q$9:$V$600,6,FALSE),2)),"")</f>
        <v/>
      </c>
      <c r="H86" s="142" t="str">
        <f t="shared" ref="H86" si="785">IF($A86="","",IF(G86="","",IF($K$4="Media aritmética",(G86&lt;=$B86)*($G$5/$B$5)+(G86&gt;$B86)*0,IF(ROUND(AVERAGE($C86,$E86,$G86,$I86,$K86,$M86,$O86,$Q86,$S86,$U86,$W86,$Y86,$AA86,$AC86,$AE86),2)-$B86/2&lt;=G86,IF(ROUND(AVERAGE($C86,$E86,$G86,$I86,$K86,$M86,$O86,$Q86,$S86,$U86,$W86,$Y86,$AA86,$AC86,$AE86),2)+$B86/2&gt;G86,($G$5/$B$5),0),0))))</f>
        <v/>
      </c>
      <c r="I86" s="141" t="str">
        <f>IF($I$8="Habilitado",IF($A86="","",ROUND(VLOOKUP($A86,'Presupuesto Consolidado'!$Y$9:$AD$600,6,FALSE),2)),"")</f>
        <v/>
      </c>
      <c r="J86" s="142" t="str">
        <f t="shared" ref="J86" si="786">IF($A86="","",IF(I86="","",IF($K$4="Media aritmética",(I86&lt;=$B86)*($G$5/$B$5)+(I86&gt;$B86)*0,IF(ROUND(AVERAGE($C86,$E86,$G86,$I86,$K86,$M86,$O86,$Q86,$S86,$U86,$W86,$Y86,$AA86,$AC86,$AE86),2)-$B86/2&lt;=I86,IF(ROUND(AVERAGE($C86,$E86,$G86,$I86,$K86,$M86,$O86,$Q86,$S86,$U86,$W86,$Y86,$AA86,$AC86,$AE86),2)+$B86/2&gt;I86,($G$5/$B$5),0),0))))</f>
        <v/>
      </c>
      <c r="K86" s="141" t="str">
        <f>IF($K$8="Habilitado",IF($A86="","",ROUND(VLOOKUP($A86,'Presupuesto Consolidado'!#REF!,6,FALSE),2)),"")</f>
        <v/>
      </c>
      <c r="L86" s="142" t="str">
        <f t="shared" ref="L86" si="787">IF($A86="","",IF(K86="","",IF($K$4="Media aritmética",(K86&lt;=$B86)*($G$5/$B$5)+(K86&gt;$B86)*0,IF(ROUND(AVERAGE($C86,$E86,$G86,$I86,$K86,$M86,$O86,$Q86,$S86,$U86,$W86,$Y86,$AA86,$AC86,$AE86),2)-$B86/2&lt;=K86,IF(ROUND(AVERAGE($C86,$E86,$G86,$I86,$K86,$M86,$O86,$Q86,$S86,$U86,$W86,$Y86,$AA86,$AC86,$AE86),2)+$B86/2&gt;K86,($G$5/$B$5),0),0))))</f>
        <v/>
      </c>
      <c r="M86" s="141" t="str">
        <f>IF($M$8="Habilitado",IF($A86="","",ROUND(VLOOKUP($A86,'Presupuesto Consolidado'!#REF!,6,FALSE),2)),"")</f>
        <v/>
      </c>
      <c r="N86" s="142" t="str">
        <f t="shared" ref="N86" si="788">IF($A86="","",IF(M86="","",IF($K$4="Media aritmética",(M86&lt;=$B86)*($G$5/$B$5)+(M86&gt;$B86)*0,IF(ROUND(AVERAGE($C86,$E86,$G86,$I86,$K86,$M86,$O86,$Q86,$S86,$U86,$W86,$Y86,$AA86,$AC86,$AE86),2)-$B86/2&lt;=M86,IF(ROUND(AVERAGE($C86,$E86,$G86,$I86,$K86,$M86,$O86,$Q86,$S86,$U86,$W86,$Y86,$AA86,$AC86,$AE86),2)+$B86/2&gt;M86,($G$5/$B$5),0),0))))</f>
        <v/>
      </c>
      <c r="O86" s="141" t="str">
        <f>IF($O$8="Habilitado",IF($A86="","",ROUND(VLOOKUP($A86,'Presupuesto Consolidado'!#REF!,6,FALSE),2)),"")</f>
        <v/>
      </c>
      <c r="P86" s="142" t="str">
        <f t="shared" ref="P86" si="789">IF($A86="","",IF(O86="","",IF($K$4="Media aritmética",(O86&lt;=$B86)*($G$5/$B$5)+(O86&gt;$B86)*0,IF(ROUND(AVERAGE($C86,$E86,$G86,$I86,$K86,$M86,$O86,$Q86,$S86,$U86,$W86,$Y86,$AA86,$AC86,$AE86),2)-$B86/2&lt;=O86,IF(ROUND(AVERAGE($C86,$E86,$G86,$I86,$K86,$M86,$O86,$Q86,$S86,$U86,$W86,$Y86,$AA86,$AC86,$AE86),2)+$B86/2&gt;O86,($G$5/$B$5),0),0))))</f>
        <v/>
      </c>
      <c r="Q86" s="141" t="str">
        <f>IF($Q$8="Habilitado",IF($A86="","",ROUND(VLOOKUP($A86,'Presupuesto Consolidado'!#REF!,6,FALSE),2)),"")</f>
        <v/>
      </c>
      <c r="R86" s="142" t="str">
        <f t="shared" ref="R86" si="790">IF($A86="","",IF(Q86="","",IF($K$4="Media aritmética",(Q86&lt;=$B86)*($G$5/$B$5)+(Q86&gt;$B86)*0,IF(ROUND(AVERAGE($C86,$E86,$G86,$I86,$K86,$M86,$O86,$Q86,$S86,$U86,$W86,$Y86,$AA86,$AC86,$AE86),2)-$B86/2&lt;=Q86,IF(ROUND(AVERAGE($C86,$E86,$G86,$I86,$K86,$M86,$O86,$Q86,$S86,$U86,$W86,$Y86,$AA86,$AC86,$AE86),2)+$B86/2&gt;Q86,($G$5/$B$5),0),0))))</f>
        <v/>
      </c>
      <c r="S86" s="141" t="str">
        <f>IF($S$8="Habilitado",IF($A86="","",ROUND(VLOOKUP($A86,'Presupuesto Consolidado'!#REF!,6,FALSE),2)),"")</f>
        <v/>
      </c>
      <c r="T86" s="142" t="str">
        <f t="shared" ref="T86" si="791">IF($A86="","",IF(S86="","",IF($K$4="Media aritmética",(S86&lt;=$B86)*($G$5/$B$5)+(S86&gt;$B86)*0,IF(ROUND(AVERAGE($C86,$E86,$G86,$I86,$K86,$M86,$O86,$Q86,$S86,$U86,$W86,$Y86,$AA86,$AC86,$AE86),2)-$B86/2&lt;=S86,IF(ROUND(AVERAGE($C86,$E86,$G86,$I86,$K86,$M86,$O86,$Q86,$S86,$U86,$W86,$Y86,$AA86,$AC86,$AE86),2)+$B86/2&gt;S86,($G$5/$B$5),0),0))))</f>
        <v/>
      </c>
      <c r="U86" s="141" t="str">
        <f>IF($U$8="Habilitado",IF($A86="","",ROUND(VLOOKUP($A86,'Presupuesto Consolidado'!#REF!,6,FALSE),2)),"")</f>
        <v/>
      </c>
      <c r="V86" s="142" t="str">
        <f t="shared" ref="V86" si="792">IF($A86="","",IF(U86="","",IF($K$4="Media aritmética",(U86&lt;=$B86)*($G$5/$B$5)+(U86&gt;$B86)*0,IF(ROUND(AVERAGE($C86,$E86,$G86,$I86,$K86,$M86,$O86,$Q86,$S86,$U86,$W86,$Y86,$AA86,$AC86,$AE86),2)-$B86/2&lt;=U86,IF(ROUND(AVERAGE($C86,$E86,$G86,$I86,$K86,$M86,$O86,$Q86,$S86,$U86,$W86,$Y86,$AA86,$AC86,$AE86),2)+$B86/2&gt;U86,($G$5/$B$5),0),0))))</f>
        <v/>
      </c>
      <c r="W86" s="141" t="str">
        <f>IF($W$8="Habilitado",IF($A86="","",ROUND(VLOOKUP($A86,'Presupuesto Consolidado'!#REF!,6,FALSE),2)),"")</f>
        <v/>
      </c>
      <c r="X86" s="142" t="str">
        <f t="shared" ref="X86" si="793">IF($A86="","",IF(W86="","",IF($K$4="Media aritmética",(W86&lt;=$B86)*($G$5/$B$5)+(W86&gt;$B86)*0,IF(ROUND(AVERAGE($C86,$E86,$G86,$I86,$K86,$M86,$O86,$Q86,$S86,$U86,$W86,$Y86,$AA86,$AC86,$AE86),2)-$B86/2&lt;=W86,IF(ROUND(AVERAGE($C86,$E86,$G86,$I86,$K86,$M86,$O86,$Q86,$S86,$U86,$W86,$Y86,$AA86,$AC86,$AE86),2)+$B86/2&gt;W86,($G$5/$B$5),0),0))))</f>
        <v/>
      </c>
      <c r="Y86" s="141" t="str">
        <f>IF($Y$8="Habilitado",IF($A86="","",ROUND(VLOOKUP($A86,'Presupuesto Consolidado'!#REF!,6,FALSE),2)),"")</f>
        <v/>
      </c>
      <c r="Z86" s="142" t="str">
        <f t="shared" ref="Z86" si="794">IF($A86="","",IF(Y86="","",IF($K$4="Media aritmética",(Y86&lt;=$B86)*($G$5/$B$5)+(Y86&gt;$B86)*0,IF(ROUND(AVERAGE($C86,$E86,$G86,$I86,$K86,$M86,$O86,$Q86,$S86,$U86,$W86,$Y86,$AA86,$AC86,$AE86),2)-$B86/2&lt;=Y86,IF(ROUND(AVERAGE($C86,$E86,$G86,$I86,$K86,$M86,$O86,$Q86,$S86,$U86,$W86,$Y86,$AA86,$AC86,$AE86),2)+$B86/2&gt;Y86,($G$5/$B$5),0),0))))</f>
        <v/>
      </c>
      <c r="AA86" s="141" t="str">
        <f>IF($AA$8="Habilitado",IF($A86="","",ROUND(VLOOKUP($A86,'Presupuesto Consolidado'!#REF!,6,FALSE),2)),"")</f>
        <v/>
      </c>
      <c r="AB86" s="142" t="str">
        <f t="shared" ref="AB86" si="795">IF($A86="","",IF(AA86="","",IF($K$4="Media aritmética",(AA86&lt;=$B86)*($G$5/$B$5)+(AA86&gt;$B86)*0,IF(ROUND(AVERAGE($C86,$E86,$G86,$I86,$K86,$M86,$O86,$Q86,$S86,$U86,$W86,$Y86,$AA86,$AC86,$AE86),2)-$B86/2&lt;=AA86,IF(ROUND(AVERAGE($C86,$E86,$G86,$I86,$K86,$M86,$O86,$Q86,$S86,$U86,$W86,$Y86,$AA86,$AC86,$AE86),2)+$B86/2&gt;AA86,($G$5/$B$5),0),0))))</f>
        <v/>
      </c>
      <c r="AC86" s="141" t="str">
        <f>IF($AC$8="Habilitado",IF($A86="","",ROUND(VLOOKUP($A86,'Presupuesto Consolidado'!#REF!,6,FALSE),2)),"")</f>
        <v/>
      </c>
      <c r="AD86" s="142" t="str">
        <f t="shared" ref="AD86" si="796">IF($A86="","",IF(AC86="","",IF($K$4="Media aritmética",(AC86&lt;=$B86)*($G$5/$B$5)+(AC86&gt;$B86)*0,IF(ROUND(AVERAGE($C86,$E86,$G86,$I86,$K86,$M86,$O86,$Q86,$S86,$U86,$W86,$Y86,$AA86,$AC86,$AE86),2)-$B86/2&lt;=AC86,IF(ROUND(AVERAGE($C86,$E86,$G86,$I86,$K86,$M86,$O86,$Q86,$S86,$U86,$W86,$Y86,$AA86,$AC86,$AE86),2)+$B86/2&gt;AC86,($G$5/$B$5),0),0))))</f>
        <v/>
      </c>
      <c r="AE86" s="141" t="str">
        <f>IF($AE$8="Habilitado",IF($A86="","",ROUND(VLOOKUP($A86,'Presupuesto Consolidado'!#REF!,6,FALSE),2)),"")</f>
        <v/>
      </c>
      <c r="AF86" s="142" t="str">
        <f t="shared" ref="AF86" si="797">IF($A86="","",IF(AE86="","",IF($K$4="Media aritmética",(AE86&lt;=$B86)*($G$5/$B$5)+(AE86&gt;$B86)*0,IF(ROUND(AVERAGE($C86,$E86,$G86,$I86,$K86,$M86,$O86,$Q86,$S86,$U86,$W86,$Y86,$AA86,$AC86,$AE86),2)-$B86/2&lt;=AE86,IF(ROUND(AVERAGE($C86,$E86,$G86,$I86,$K86,$M86,$O86,$Q86,$S86,$U86,$W86,$Y86,$AA86,$AC86,$AE86),2)+$B86/2&gt;AE86,($G$5/$B$5),0),0))))</f>
        <v/>
      </c>
    </row>
    <row r="87" spans="1:32" s="135" customFormat="1" ht="21" customHeight="1">
      <c r="A87" s="132" t="str">
        <f>+'Presupuesto Consolidado'!A92</f>
        <v>11.11.3</v>
      </c>
      <c r="B87" s="140">
        <f t="shared" ref="B87" si="798">IF(A87="","",IF($K$4="Media aritmética",ROUND(AVERAGE(C87,E87,G87,I87,K87,M87,O87,Q87,S87,U87,W87,Y87,AA87,AC87,AE87),2),ROUND(_xlfn.STDEV.P(C87,E87,G87,I87,K87,M87,O87,Q87,S87,U87,W87,Y87,AA87,AC87,AE87),2)))</f>
        <v>2894400</v>
      </c>
      <c r="C87" s="141">
        <f>IF($C$8="Habilitado",IF($A87="","",ROUND(VLOOKUP($A87,'Presupuesto Consolidado'!$A$9:$F$600,6,FALSE),2)),"")</f>
        <v>2894400</v>
      </c>
      <c r="D87" s="142">
        <f t="shared" ref="D87" si="799">IF($A87="","",IF(C87="","",IF($K$4="Media aritmética",(C87&lt;=$B87)*($G$5/$B$5)+(C87&gt;$B87)*0,IF(ROUND(AVERAGE($C87,$E87,$G87,$I87,$K87,$M87,$O87,$Q87,$S87,$U87,$W87,$Y87,$AA87,$AC87,$AE87),2)-$B87/2&lt;=C87,IF(ROUND(AVERAGE($C87,$E87,$G87,$I87,$K87,$M87,$O87,$Q87,$S87,$U87,$W87,$Y87,$AA87,$AC87,$AE87),2)+$B87/2&gt;C87,($G$5/$B$5),0),0))))</f>
        <v>0.45714285714285713</v>
      </c>
      <c r="E87" s="141" t="str">
        <f>IF($E$8="Habilitado",IF($A87="","",ROUND(VLOOKUP($A87,'Presupuesto Consolidado'!$I$9:$N$600,6,FALSE),2)),"")</f>
        <v/>
      </c>
      <c r="F87" s="142" t="str">
        <f t="shared" ref="F87" si="800">IF($A87="","",IF(E87="","",IF($K$4="Media aritmética",(E87&lt;=$B87)*($G$5/$B$5)+(E87&gt;$B87)*0,IF(ROUND(AVERAGE($C87,$E87,$G87,$I87,$K87,$M87,$O87,$Q87,$S87,$U87,$W87,$Y87,$AA87,$AC87,$AE87),2)-$B87/2&lt;=E87,IF(ROUND(AVERAGE($C87,$E87,$G87,$I87,$K87,$M87,$O87,$Q87,$S87,$U87,$W87,$Y87,$AA87,$AC87,$AE87),2)+$B87/2&gt;E87,($G$5/$B$5),0),0))))</f>
        <v/>
      </c>
      <c r="G87" s="141" t="str">
        <f>IF($G$8="Habilitado",IF($A87="","",ROUND(VLOOKUP($A87,'Presupuesto Consolidado'!$Q$9:$V$600,6,FALSE),2)),"")</f>
        <v/>
      </c>
      <c r="H87" s="142" t="str">
        <f t="shared" ref="H87" si="801">IF($A87="","",IF(G87="","",IF($K$4="Media aritmética",(G87&lt;=$B87)*($G$5/$B$5)+(G87&gt;$B87)*0,IF(ROUND(AVERAGE($C87,$E87,$G87,$I87,$K87,$M87,$O87,$Q87,$S87,$U87,$W87,$Y87,$AA87,$AC87,$AE87),2)-$B87/2&lt;=G87,IF(ROUND(AVERAGE($C87,$E87,$G87,$I87,$K87,$M87,$O87,$Q87,$S87,$U87,$W87,$Y87,$AA87,$AC87,$AE87),2)+$B87/2&gt;G87,($G$5/$B$5),0),0))))</f>
        <v/>
      </c>
      <c r="I87" s="141" t="str">
        <f>IF($I$8="Habilitado",IF($A87="","",ROUND(VLOOKUP($A87,'Presupuesto Consolidado'!$Y$9:$AD$600,6,FALSE),2)),"")</f>
        <v/>
      </c>
      <c r="J87" s="142" t="str">
        <f t="shared" ref="J87" si="802">IF($A87="","",IF(I87="","",IF($K$4="Media aritmética",(I87&lt;=$B87)*($G$5/$B$5)+(I87&gt;$B87)*0,IF(ROUND(AVERAGE($C87,$E87,$G87,$I87,$K87,$M87,$O87,$Q87,$S87,$U87,$W87,$Y87,$AA87,$AC87,$AE87),2)-$B87/2&lt;=I87,IF(ROUND(AVERAGE($C87,$E87,$G87,$I87,$K87,$M87,$O87,$Q87,$S87,$U87,$W87,$Y87,$AA87,$AC87,$AE87),2)+$B87/2&gt;I87,($G$5/$B$5),0),0))))</f>
        <v/>
      </c>
      <c r="K87" s="141" t="str">
        <f>IF($K$8="Habilitado",IF($A87="","",ROUND(VLOOKUP($A87,'Presupuesto Consolidado'!#REF!,6,FALSE),2)),"")</f>
        <v/>
      </c>
      <c r="L87" s="142" t="str">
        <f t="shared" ref="L87" si="803">IF($A87="","",IF(K87="","",IF($K$4="Media aritmética",(K87&lt;=$B87)*($G$5/$B$5)+(K87&gt;$B87)*0,IF(ROUND(AVERAGE($C87,$E87,$G87,$I87,$K87,$M87,$O87,$Q87,$S87,$U87,$W87,$Y87,$AA87,$AC87,$AE87),2)-$B87/2&lt;=K87,IF(ROUND(AVERAGE($C87,$E87,$G87,$I87,$K87,$M87,$O87,$Q87,$S87,$U87,$W87,$Y87,$AA87,$AC87,$AE87),2)+$B87/2&gt;K87,($G$5/$B$5),0),0))))</f>
        <v/>
      </c>
      <c r="M87" s="141" t="str">
        <f>IF($M$8="Habilitado",IF($A87="","",ROUND(VLOOKUP($A87,'Presupuesto Consolidado'!#REF!,6,FALSE),2)),"")</f>
        <v/>
      </c>
      <c r="N87" s="142" t="str">
        <f t="shared" ref="N87" si="804">IF($A87="","",IF(M87="","",IF($K$4="Media aritmética",(M87&lt;=$B87)*($G$5/$B$5)+(M87&gt;$B87)*0,IF(ROUND(AVERAGE($C87,$E87,$G87,$I87,$K87,$M87,$O87,$Q87,$S87,$U87,$W87,$Y87,$AA87,$AC87,$AE87),2)-$B87/2&lt;=M87,IF(ROUND(AVERAGE($C87,$E87,$G87,$I87,$K87,$M87,$O87,$Q87,$S87,$U87,$W87,$Y87,$AA87,$AC87,$AE87),2)+$B87/2&gt;M87,($G$5/$B$5),0),0))))</f>
        <v/>
      </c>
      <c r="O87" s="141" t="str">
        <f>IF($O$8="Habilitado",IF($A87="","",ROUND(VLOOKUP($A87,'Presupuesto Consolidado'!#REF!,6,FALSE),2)),"")</f>
        <v/>
      </c>
      <c r="P87" s="142" t="str">
        <f t="shared" ref="P87" si="805">IF($A87="","",IF(O87="","",IF($K$4="Media aritmética",(O87&lt;=$B87)*($G$5/$B$5)+(O87&gt;$B87)*0,IF(ROUND(AVERAGE($C87,$E87,$G87,$I87,$K87,$M87,$O87,$Q87,$S87,$U87,$W87,$Y87,$AA87,$AC87,$AE87),2)-$B87/2&lt;=O87,IF(ROUND(AVERAGE($C87,$E87,$G87,$I87,$K87,$M87,$O87,$Q87,$S87,$U87,$W87,$Y87,$AA87,$AC87,$AE87),2)+$B87/2&gt;O87,($G$5/$B$5),0),0))))</f>
        <v/>
      </c>
      <c r="Q87" s="141" t="str">
        <f>IF($Q$8="Habilitado",IF($A87="","",ROUND(VLOOKUP($A87,'Presupuesto Consolidado'!#REF!,6,FALSE),2)),"")</f>
        <v/>
      </c>
      <c r="R87" s="142" t="str">
        <f t="shared" ref="R87" si="806">IF($A87="","",IF(Q87="","",IF($K$4="Media aritmética",(Q87&lt;=$B87)*($G$5/$B$5)+(Q87&gt;$B87)*0,IF(ROUND(AVERAGE($C87,$E87,$G87,$I87,$K87,$M87,$O87,$Q87,$S87,$U87,$W87,$Y87,$AA87,$AC87,$AE87),2)-$B87/2&lt;=Q87,IF(ROUND(AVERAGE($C87,$E87,$G87,$I87,$K87,$M87,$O87,$Q87,$S87,$U87,$W87,$Y87,$AA87,$AC87,$AE87),2)+$B87/2&gt;Q87,($G$5/$B$5),0),0))))</f>
        <v/>
      </c>
      <c r="S87" s="141" t="str">
        <f>IF($S$8="Habilitado",IF($A87="","",ROUND(VLOOKUP($A87,'Presupuesto Consolidado'!#REF!,6,FALSE),2)),"")</f>
        <v/>
      </c>
      <c r="T87" s="142" t="str">
        <f t="shared" ref="T87" si="807">IF($A87="","",IF(S87="","",IF($K$4="Media aritmética",(S87&lt;=$B87)*($G$5/$B$5)+(S87&gt;$B87)*0,IF(ROUND(AVERAGE($C87,$E87,$G87,$I87,$K87,$M87,$O87,$Q87,$S87,$U87,$W87,$Y87,$AA87,$AC87,$AE87),2)-$B87/2&lt;=S87,IF(ROUND(AVERAGE($C87,$E87,$G87,$I87,$K87,$M87,$O87,$Q87,$S87,$U87,$W87,$Y87,$AA87,$AC87,$AE87),2)+$B87/2&gt;S87,($G$5/$B$5),0),0))))</f>
        <v/>
      </c>
      <c r="U87" s="141" t="str">
        <f>IF($U$8="Habilitado",IF($A87="","",ROUND(VLOOKUP($A87,'Presupuesto Consolidado'!#REF!,6,FALSE),2)),"")</f>
        <v/>
      </c>
      <c r="V87" s="142" t="str">
        <f t="shared" ref="V87" si="808">IF($A87="","",IF(U87="","",IF($K$4="Media aritmética",(U87&lt;=$B87)*($G$5/$B$5)+(U87&gt;$B87)*0,IF(ROUND(AVERAGE($C87,$E87,$G87,$I87,$K87,$M87,$O87,$Q87,$S87,$U87,$W87,$Y87,$AA87,$AC87,$AE87),2)-$B87/2&lt;=U87,IF(ROUND(AVERAGE($C87,$E87,$G87,$I87,$K87,$M87,$O87,$Q87,$S87,$U87,$W87,$Y87,$AA87,$AC87,$AE87),2)+$B87/2&gt;U87,($G$5/$B$5),0),0))))</f>
        <v/>
      </c>
      <c r="W87" s="141" t="str">
        <f>IF($W$8="Habilitado",IF($A87="","",ROUND(VLOOKUP($A87,'Presupuesto Consolidado'!#REF!,6,FALSE),2)),"")</f>
        <v/>
      </c>
      <c r="X87" s="142" t="str">
        <f t="shared" ref="X87" si="809">IF($A87="","",IF(W87="","",IF($K$4="Media aritmética",(W87&lt;=$B87)*($G$5/$B$5)+(W87&gt;$B87)*0,IF(ROUND(AVERAGE($C87,$E87,$G87,$I87,$K87,$M87,$O87,$Q87,$S87,$U87,$W87,$Y87,$AA87,$AC87,$AE87),2)-$B87/2&lt;=W87,IF(ROUND(AVERAGE($C87,$E87,$G87,$I87,$K87,$M87,$O87,$Q87,$S87,$U87,$W87,$Y87,$AA87,$AC87,$AE87),2)+$B87/2&gt;W87,($G$5/$B$5),0),0))))</f>
        <v/>
      </c>
      <c r="Y87" s="141" t="str">
        <f>IF($Y$8="Habilitado",IF($A87="","",ROUND(VLOOKUP($A87,'Presupuesto Consolidado'!#REF!,6,FALSE),2)),"")</f>
        <v/>
      </c>
      <c r="Z87" s="142" t="str">
        <f t="shared" ref="Z87" si="810">IF($A87="","",IF(Y87="","",IF($K$4="Media aritmética",(Y87&lt;=$B87)*($G$5/$B$5)+(Y87&gt;$B87)*0,IF(ROUND(AVERAGE($C87,$E87,$G87,$I87,$K87,$M87,$O87,$Q87,$S87,$U87,$W87,$Y87,$AA87,$AC87,$AE87),2)-$B87/2&lt;=Y87,IF(ROUND(AVERAGE($C87,$E87,$G87,$I87,$K87,$M87,$O87,$Q87,$S87,$U87,$W87,$Y87,$AA87,$AC87,$AE87),2)+$B87/2&gt;Y87,($G$5/$B$5),0),0))))</f>
        <v/>
      </c>
      <c r="AA87" s="141" t="str">
        <f>IF($AA$8="Habilitado",IF($A87="","",ROUND(VLOOKUP($A87,'Presupuesto Consolidado'!#REF!,6,FALSE),2)),"")</f>
        <v/>
      </c>
      <c r="AB87" s="142" t="str">
        <f t="shared" ref="AB87" si="811">IF($A87="","",IF(AA87="","",IF($K$4="Media aritmética",(AA87&lt;=$B87)*($G$5/$B$5)+(AA87&gt;$B87)*0,IF(ROUND(AVERAGE($C87,$E87,$G87,$I87,$K87,$M87,$O87,$Q87,$S87,$U87,$W87,$Y87,$AA87,$AC87,$AE87),2)-$B87/2&lt;=AA87,IF(ROUND(AVERAGE($C87,$E87,$G87,$I87,$K87,$M87,$O87,$Q87,$S87,$U87,$W87,$Y87,$AA87,$AC87,$AE87),2)+$B87/2&gt;AA87,($G$5/$B$5),0),0))))</f>
        <v/>
      </c>
      <c r="AC87" s="141" t="str">
        <f>IF($AC$8="Habilitado",IF($A87="","",ROUND(VLOOKUP($A87,'Presupuesto Consolidado'!#REF!,6,FALSE),2)),"")</f>
        <v/>
      </c>
      <c r="AD87" s="142" t="str">
        <f t="shared" ref="AD87" si="812">IF($A87="","",IF(AC87="","",IF($K$4="Media aritmética",(AC87&lt;=$B87)*($G$5/$B$5)+(AC87&gt;$B87)*0,IF(ROUND(AVERAGE($C87,$E87,$G87,$I87,$K87,$M87,$O87,$Q87,$S87,$U87,$W87,$Y87,$AA87,$AC87,$AE87),2)-$B87/2&lt;=AC87,IF(ROUND(AVERAGE($C87,$E87,$G87,$I87,$K87,$M87,$O87,$Q87,$S87,$U87,$W87,$Y87,$AA87,$AC87,$AE87),2)+$B87/2&gt;AC87,($G$5/$B$5),0),0))))</f>
        <v/>
      </c>
      <c r="AE87" s="141" t="str">
        <f>IF($AE$8="Habilitado",IF($A87="","",ROUND(VLOOKUP($A87,'Presupuesto Consolidado'!#REF!,6,FALSE),2)),"")</f>
        <v/>
      </c>
      <c r="AF87" s="142" t="str">
        <f t="shared" ref="AF87" si="813">IF($A87="","",IF(AE87="","",IF($K$4="Media aritmética",(AE87&lt;=$B87)*($G$5/$B$5)+(AE87&gt;$B87)*0,IF(ROUND(AVERAGE($C87,$E87,$G87,$I87,$K87,$M87,$O87,$Q87,$S87,$U87,$W87,$Y87,$AA87,$AC87,$AE87),2)-$B87/2&lt;=AE87,IF(ROUND(AVERAGE($C87,$E87,$G87,$I87,$K87,$M87,$O87,$Q87,$S87,$U87,$W87,$Y87,$AA87,$AC87,$AE87),2)+$B87/2&gt;AE87,($G$5/$B$5),0),0))))</f>
        <v/>
      </c>
    </row>
    <row r="88" spans="1:32" s="135" customFormat="1" ht="21" customHeight="1">
      <c r="A88" s="132" t="str">
        <f>+'Presupuesto Consolidado'!A93</f>
        <v>11.11.4</v>
      </c>
      <c r="B88" s="140">
        <f t="shared" ref="B88" si="814">IF(A88="","",IF($K$4="Media aritmética",ROUND(AVERAGE(C88,E88,G88,I88,K88,M88,O88,Q88,S88,U88,W88,Y88,AA88,AC88,AE88),2),ROUND(_xlfn.STDEV.P(C88,E88,G88,I88,K88,M88,O88,Q88,S88,U88,W88,Y88,AA88,AC88,AE88),2)))</f>
        <v>1447200</v>
      </c>
      <c r="C88" s="141">
        <f>IF($C$8="Habilitado",IF($A88="","",ROUND(VLOOKUP($A88,'Presupuesto Consolidado'!$A$9:$F$600,6,FALSE),2)),"")</f>
        <v>1447200</v>
      </c>
      <c r="D88" s="142">
        <f t="shared" ref="D88" si="815">IF($A88="","",IF(C88="","",IF($K$4="Media aritmética",(C88&lt;=$B88)*($G$5/$B$5)+(C88&gt;$B88)*0,IF(ROUND(AVERAGE($C88,$E88,$G88,$I88,$K88,$M88,$O88,$Q88,$S88,$U88,$W88,$Y88,$AA88,$AC88,$AE88),2)-$B88/2&lt;=C88,IF(ROUND(AVERAGE($C88,$E88,$G88,$I88,$K88,$M88,$O88,$Q88,$S88,$U88,$W88,$Y88,$AA88,$AC88,$AE88),2)+$B88/2&gt;C88,($G$5/$B$5),0),0))))</f>
        <v>0.45714285714285713</v>
      </c>
      <c r="E88" s="141" t="str">
        <f>IF($E$8="Habilitado",IF($A88="","",ROUND(VLOOKUP($A88,'Presupuesto Consolidado'!$I$9:$N$600,6,FALSE),2)),"")</f>
        <v/>
      </c>
      <c r="F88" s="142" t="str">
        <f t="shared" ref="F88" si="816">IF($A88="","",IF(E88="","",IF($K$4="Media aritmética",(E88&lt;=$B88)*($G$5/$B$5)+(E88&gt;$B88)*0,IF(ROUND(AVERAGE($C88,$E88,$G88,$I88,$K88,$M88,$O88,$Q88,$S88,$U88,$W88,$Y88,$AA88,$AC88,$AE88),2)-$B88/2&lt;=E88,IF(ROUND(AVERAGE($C88,$E88,$G88,$I88,$K88,$M88,$O88,$Q88,$S88,$U88,$W88,$Y88,$AA88,$AC88,$AE88),2)+$B88/2&gt;E88,($G$5/$B$5),0),0))))</f>
        <v/>
      </c>
      <c r="G88" s="141" t="str">
        <f>IF($G$8="Habilitado",IF($A88="","",ROUND(VLOOKUP($A88,'Presupuesto Consolidado'!$Q$9:$V$600,6,FALSE),2)),"")</f>
        <v/>
      </c>
      <c r="H88" s="142" t="str">
        <f t="shared" ref="H88" si="817">IF($A88="","",IF(G88="","",IF($K$4="Media aritmética",(G88&lt;=$B88)*($G$5/$B$5)+(G88&gt;$B88)*0,IF(ROUND(AVERAGE($C88,$E88,$G88,$I88,$K88,$M88,$O88,$Q88,$S88,$U88,$W88,$Y88,$AA88,$AC88,$AE88),2)-$B88/2&lt;=G88,IF(ROUND(AVERAGE($C88,$E88,$G88,$I88,$K88,$M88,$O88,$Q88,$S88,$U88,$W88,$Y88,$AA88,$AC88,$AE88),2)+$B88/2&gt;G88,($G$5/$B$5),0),0))))</f>
        <v/>
      </c>
      <c r="I88" s="141" t="str">
        <f>IF($I$8="Habilitado",IF($A88="","",ROUND(VLOOKUP($A88,'Presupuesto Consolidado'!$Y$9:$AD$600,6,FALSE),2)),"")</f>
        <v/>
      </c>
      <c r="J88" s="142" t="str">
        <f t="shared" ref="J88" si="818">IF($A88="","",IF(I88="","",IF($K$4="Media aritmética",(I88&lt;=$B88)*($G$5/$B$5)+(I88&gt;$B88)*0,IF(ROUND(AVERAGE($C88,$E88,$G88,$I88,$K88,$M88,$O88,$Q88,$S88,$U88,$W88,$Y88,$AA88,$AC88,$AE88),2)-$B88/2&lt;=I88,IF(ROUND(AVERAGE($C88,$E88,$G88,$I88,$K88,$M88,$O88,$Q88,$S88,$U88,$W88,$Y88,$AA88,$AC88,$AE88),2)+$B88/2&gt;I88,($G$5/$B$5),0),0))))</f>
        <v/>
      </c>
      <c r="K88" s="141" t="str">
        <f>IF($K$8="Habilitado",IF($A88="","",ROUND(VLOOKUP($A88,'Presupuesto Consolidado'!#REF!,6,FALSE),2)),"")</f>
        <v/>
      </c>
      <c r="L88" s="142" t="str">
        <f t="shared" ref="L88" si="819">IF($A88="","",IF(K88="","",IF($K$4="Media aritmética",(K88&lt;=$B88)*($G$5/$B$5)+(K88&gt;$B88)*0,IF(ROUND(AVERAGE($C88,$E88,$G88,$I88,$K88,$M88,$O88,$Q88,$S88,$U88,$W88,$Y88,$AA88,$AC88,$AE88),2)-$B88/2&lt;=K88,IF(ROUND(AVERAGE($C88,$E88,$G88,$I88,$K88,$M88,$O88,$Q88,$S88,$U88,$W88,$Y88,$AA88,$AC88,$AE88),2)+$B88/2&gt;K88,($G$5/$B$5),0),0))))</f>
        <v/>
      </c>
      <c r="M88" s="141" t="str">
        <f>IF($M$8="Habilitado",IF($A88="","",ROUND(VLOOKUP($A88,'Presupuesto Consolidado'!#REF!,6,FALSE),2)),"")</f>
        <v/>
      </c>
      <c r="N88" s="142" t="str">
        <f t="shared" ref="N88" si="820">IF($A88="","",IF(M88="","",IF($K$4="Media aritmética",(M88&lt;=$B88)*($G$5/$B$5)+(M88&gt;$B88)*0,IF(ROUND(AVERAGE($C88,$E88,$G88,$I88,$K88,$M88,$O88,$Q88,$S88,$U88,$W88,$Y88,$AA88,$AC88,$AE88),2)-$B88/2&lt;=M88,IF(ROUND(AVERAGE($C88,$E88,$G88,$I88,$K88,$M88,$O88,$Q88,$S88,$U88,$W88,$Y88,$AA88,$AC88,$AE88),2)+$B88/2&gt;M88,($G$5/$B$5),0),0))))</f>
        <v/>
      </c>
      <c r="O88" s="141" t="str">
        <f>IF($O$8="Habilitado",IF($A88="","",ROUND(VLOOKUP($A88,'Presupuesto Consolidado'!#REF!,6,FALSE),2)),"")</f>
        <v/>
      </c>
      <c r="P88" s="142" t="str">
        <f t="shared" ref="P88" si="821">IF($A88="","",IF(O88="","",IF($K$4="Media aritmética",(O88&lt;=$B88)*($G$5/$B$5)+(O88&gt;$B88)*0,IF(ROUND(AVERAGE($C88,$E88,$G88,$I88,$K88,$M88,$O88,$Q88,$S88,$U88,$W88,$Y88,$AA88,$AC88,$AE88),2)-$B88/2&lt;=O88,IF(ROUND(AVERAGE($C88,$E88,$G88,$I88,$K88,$M88,$O88,$Q88,$S88,$U88,$W88,$Y88,$AA88,$AC88,$AE88),2)+$B88/2&gt;O88,($G$5/$B$5),0),0))))</f>
        <v/>
      </c>
      <c r="Q88" s="141" t="str">
        <f>IF($Q$8="Habilitado",IF($A88="","",ROUND(VLOOKUP($A88,'Presupuesto Consolidado'!#REF!,6,FALSE),2)),"")</f>
        <v/>
      </c>
      <c r="R88" s="142" t="str">
        <f t="shared" ref="R88" si="822">IF($A88="","",IF(Q88="","",IF($K$4="Media aritmética",(Q88&lt;=$B88)*($G$5/$B$5)+(Q88&gt;$B88)*0,IF(ROUND(AVERAGE($C88,$E88,$G88,$I88,$K88,$M88,$O88,$Q88,$S88,$U88,$W88,$Y88,$AA88,$AC88,$AE88),2)-$B88/2&lt;=Q88,IF(ROUND(AVERAGE($C88,$E88,$G88,$I88,$K88,$M88,$O88,$Q88,$S88,$U88,$W88,$Y88,$AA88,$AC88,$AE88),2)+$B88/2&gt;Q88,($G$5/$B$5),0),0))))</f>
        <v/>
      </c>
      <c r="S88" s="141" t="str">
        <f>IF($S$8="Habilitado",IF($A88="","",ROUND(VLOOKUP($A88,'Presupuesto Consolidado'!#REF!,6,FALSE),2)),"")</f>
        <v/>
      </c>
      <c r="T88" s="142" t="str">
        <f t="shared" ref="T88" si="823">IF($A88="","",IF(S88="","",IF($K$4="Media aritmética",(S88&lt;=$B88)*($G$5/$B$5)+(S88&gt;$B88)*0,IF(ROUND(AVERAGE($C88,$E88,$G88,$I88,$K88,$M88,$O88,$Q88,$S88,$U88,$W88,$Y88,$AA88,$AC88,$AE88),2)-$B88/2&lt;=S88,IF(ROUND(AVERAGE($C88,$E88,$G88,$I88,$K88,$M88,$O88,$Q88,$S88,$U88,$W88,$Y88,$AA88,$AC88,$AE88),2)+$B88/2&gt;S88,($G$5/$B$5),0),0))))</f>
        <v/>
      </c>
      <c r="U88" s="141" t="str">
        <f>IF($U$8="Habilitado",IF($A88="","",ROUND(VLOOKUP($A88,'Presupuesto Consolidado'!#REF!,6,FALSE),2)),"")</f>
        <v/>
      </c>
      <c r="V88" s="142" t="str">
        <f t="shared" ref="V88" si="824">IF($A88="","",IF(U88="","",IF($K$4="Media aritmética",(U88&lt;=$B88)*($G$5/$B$5)+(U88&gt;$B88)*0,IF(ROUND(AVERAGE($C88,$E88,$G88,$I88,$K88,$M88,$O88,$Q88,$S88,$U88,$W88,$Y88,$AA88,$AC88,$AE88),2)-$B88/2&lt;=U88,IF(ROUND(AVERAGE($C88,$E88,$G88,$I88,$K88,$M88,$O88,$Q88,$S88,$U88,$W88,$Y88,$AA88,$AC88,$AE88),2)+$B88/2&gt;U88,($G$5/$B$5),0),0))))</f>
        <v/>
      </c>
      <c r="W88" s="141" t="str">
        <f>IF($W$8="Habilitado",IF($A88="","",ROUND(VLOOKUP($A88,'Presupuesto Consolidado'!#REF!,6,FALSE),2)),"")</f>
        <v/>
      </c>
      <c r="X88" s="142" t="str">
        <f t="shared" ref="X88" si="825">IF($A88="","",IF(W88="","",IF($K$4="Media aritmética",(W88&lt;=$B88)*($G$5/$B$5)+(W88&gt;$B88)*0,IF(ROUND(AVERAGE($C88,$E88,$G88,$I88,$K88,$M88,$O88,$Q88,$S88,$U88,$W88,$Y88,$AA88,$AC88,$AE88),2)-$B88/2&lt;=W88,IF(ROUND(AVERAGE($C88,$E88,$G88,$I88,$K88,$M88,$O88,$Q88,$S88,$U88,$W88,$Y88,$AA88,$AC88,$AE88),2)+$B88/2&gt;W88,($G$5/$B$5),0),0))))</f>
        <v/>
      </c>
      <c r="Y88" s="141" t="str">
        <f>IF($Y$8="Habilitado",IF($A88="","",ROUND(VLOOKUP($A88,'Presupuesto Consolidado'!#REF!,6,FALSE),2)),"")</f>
        <v/>
      </c>
      <c r="Z88" s="142" t="str">
        <f t="shared" ref="Z88" si="826">IF($A88="","",IF(Y88="","",IF($K$4="Media aritmética",(Y88&lt;=$B88)*($G$5/$B$5)+(Y88&gt;$B88)*0,IF(ROUND(AVERAGE($C88,$E88,$G88,$I88,$K88,$M88,$O88,$Q88,$S88,$U88,$W88,$Y88,$AA88,$AC88,$AE88),2)-$B88/2&lt;=Y88,IF(ROUND(AVERAGE($C88,$E88,$G88,$I88,$K88,$M88,$O88,$Q88,$S88,$U88,$W88,$Y88,$AA88,$AC88,$AE88),2)+$B88/2&gt;Y88,($G$5/$B$5),0),0))))</f>
        <v/>
      </c>
      <c r="AA88" s="141" t="str">
        <f>IF($AA$8="Habilitado",IF($A88="","",ROUND(VLOOKUP($A88,'Presupuesto Consolidado'!#REF!,6,FALSE),2)),"")</f>
        <v/>
      </c>
      <c r="AB88" s="142" t="str">
        <f t="shared" ref="AB88" si="827">IF($A88="","",IF(AA88="","",IF($K$4="Media aritmética",(AA88&lt;=$B88)*($G$5/$B$5)+(AA88&gt;$B88)*0,IF(ROUND(AVERAGE($C88,$E88,$G88,$I88,$K88,$M88,$O88,$Q88,$S88,$U88,$W88,$Y88,$AA88,$AC88,$AE88),2)-$B88/2&lt;=AA88,IF(ROUND(AVERAGE($C88,$E88,$G88,$I88,$K88,$M88,$O88,$Q88,$S88,$U88,$W88,$Y88,$AA88,$AC88,$AE88),2)+$B88/2&gt;AA88,($G$5/$B$5),0),0))))</f>
        <v/>
      </c>
      <c r="AC88" s="141" t="str">
        <f>IF($AC$8="Habilitado",IF($A88="","",ROUND(VLOOKUP($A88,'Presupuesto Consolidado'!#REF!,6,FALSE),2)),"")</f>
        <v/>
      </c>
      <c r="AD88" s="142" t="str">
        <f t="shared" ref="AD88" si="828">IF($A88="","",IF(AC88="","",IF($K$4="Media aritmética",(AC88&lt;=$B88)*($G$5/$B$5)+(AC88&gt;$B88)*0,IF(ROUND(AVERAGE($C88,$E88,$G88,$I88,$K88,$M88,$O88,$Q88,$S88,$U88,$W88,$Y88,$AA88,$AC88,$AE88),2)-$B88/2&lt;=AC88,IF(ROUND(AVERAGE($C88,$E88,$G88,$I88,$K88,$M88,$O88,$Q88,$S88,$U88,$W88,$Y88,$AA88,$AC88,$AE88),2)+$B88/2&gt;AC88,($G$5/$B$5),0),0))))</f>
        <v/>
      </c>
      <c r="AE88" s="141" t="str">
        <f>IF($AE$8="Habilitado",IF($A88="","",ROUND(VLOOKUP($A88,'Presupuesto Consolidado'!#REF!,6,FALSE),2)),"")</f>
        <v/>
      </c>
      <c r="AF88" s="142" t="str">
        <f t="shared" ref="AF88" si="829">IF($A88="","",IF(AE88="","",IF($K$4="Media aritmética",(AE88&lt;=$B88)*($G$5/$B$5)+(AE88&gt;$B88)*0,IF(ROUND(AVERAGE($C88,$E88,$G88,$I88,$K88,$M88,$O88,$Q88,$S88,$U88,$W88,$Y88,$AA88,$AC88,$AE88),2)-$B88/2&lt;=AE88,IF(ROUND(AVERAGE($C88,$E88,$G88,$I88,$K88,$M88,$O88,$Q88,$S88,$U88,$W88,$Y88,$AA88,$AC88,$AE88),2)+$B88/2&gt;AE88,($G$5/$B$5),0),0))))</f>
        <v/>
      </c>
    </row>
    <row r="89" spans="1:32" s="135" customFormat="1" ht="21" customHeight="1">
      <c r="A89" s="132" t="str">
        <f>+'Presupuesto Consolidado'!A94</f>
        <v>11.11.5</v>
      </c>
      <c r="B89" s="140">
        <f t="shared" ref="B89" si="830">IF(A89="","",IF($K$4="Media aritmética",ROUND(AVERAGE(C89,E89,G89,I89,K89,M89,O89,Q89,S89,U89,W89,Y89,AA89,AC89,AE89),2),ROUND(_xlfn.STDEV.P(C89,E89,G89,I89,K89,M89,O89,Q89,S89,U89,W89,Y89,AA89,AC89,AE89),2)))</f>
        <v>2894400</v>
      </c>
      <c r="C89" s="141">
        <f>IF($C$8="Habilitado",IF($A89="","",ROUND(VLOOKUP($A89,'Presupuesto Consolidado'!$A$9:$F$600,6,FALSE),2)),"")</f>
        <v>2894400</v>
      </c>
      <c r="D89" s="142">
        <f t="shared" ref="D89" si="831">IF($A89="","",IF(C89="","",IF($K$4="Media aritmética",(C89&lt;=$B89)*($G$5/$B$5)+(C89&gt;$B89)*0,IF(ROUND(AVERAGE($C89,$E89,$G89,$I89,$K89,$M89,$O89,$Q89,$S89,$U89,$W89,$Y89,$AA89,$AC89,$AE89),2)-$B89/2&lt;=C89,IF(ROUND(AVERAGE($C89,$E89,$G89,$I89,$K89,$M89,$O89,$Q89,$S89,$U89,$W89,$Y89,$AA89,$AC89,$AE89),2)+$B89/2&gt;C89,($G$5/$B$5),0),0))))</f>
        <v>0.45714285714285713</v>
      </c>
      <c r="E89" s="141" t="str">
        <f>IF($E$8="Habilitado",IF($A89="","",ROUND(VLOOKUP($A89,'Presupuesto Consolidado'!$I$9:$N$600,6,FALSE),2)),"")</f>
        <v/>
      </c>
      <c r="F89" s="142" t="str">
        <f t="shared" ref="F89" si="832">IF($A89="","",IF(E89="","",IF($K$4="Media aritmética",(E89&lt;=$B89)*($G$5/$B$5)+(E89&gt;$B89)*0,IF(ROUND(AVERAGE($C89,$E89,$G89,$I89,$K89,$M89,$O89,$Q89,$S89,$U89,$W89,$Y89,$AA89,$AC89,$AE89),2)-$B89/2&lt;=E89,IF(ROUND(AVERAGE($C89,$E89,$G89,$I89,$K89,$M89,$O89,$Q89,$S89,$U89,$W89,$Y89,$AA89,$AC89,$AE89),2)+$B89/2&gt;E89,($G$5/$B$5),0),0))))</f>
        <v/>
      </c>
      <c r="G89" s="141" t="str">
        <f>IF($G$8="Habilitado",IF($A89="","",ROUND(VLOOKUP($A89,'Presupuesto Consolidado'!$Q$9:$V$600,6,FALSE),2)),"")</f>
        <v/>
      </c>
      <c r="H89" s="142" t="str">
        <f t="shared" ref="H89" si="833">IF($A89="","",IF(G89="","",IF($K$4="Media aritmética",(G89&lt;=$B89)*($G$5/$B$5)+(G89&gt;$B89)*0,IF(ROUND(AVERAGE($C89,$E89,$G89,$I89,$K89,$M89,$O89,$Q89,$S89,$U89,$W89,$Y89,$AA89,$AC89,$AE89),2)-$B89/2&lt;=G89,IF(ROUND(AVERAGE($C89,$E89,$G89,$I89,$K89,$M89,$O89,$Q89,$S89,$U89,$W89,$Y89,$AA89,$AC89,$AE89),2)+$B89/2&gt;G89,($G$5/$B$5),0),0))))</f>
        <v/>
      </c>
      <c r="I89" s="141" t="str">
        <f>IF($I$8="Habilitado",IF($A89="","",ROUND(VLOOKUP($A89,'Presupuesto Consolidado'!$Y$9:$AD$600,6,FALSE),2)),"")</f>
        <v/>
      </c>
      <c r="J89" s="142" t="str">
        <f t="shared" ref="J89" si="834">IF($A89="","",IF(I89="","",IF($K$4="Media aritmética",(I89&lt;=$B89)*($G$5/$B$5)+(I89&gt;$B89)*0,IF(ROUND(AVERAGE($C89,$E89,$G89,$I89,$K89,$M89,$O89,$Q89,$S89,$U89,$W89,$Y89,$AA89,$AC89,$AE89),2)-$B89/2&lt;=I89,IF(ROUND(AVERAGE($C89,$E89,$G89,$I89,$K89,$M89,$O89,$Q89,$S89,$U89,$W89,$Y89,$AA89,$AC89,$AE89),2)+$B89/2&gt;I89,($G$5/$B$5),0),0))))</f>
        <v/>
      </c>
      <c r="K89" s="141" t="str">
        <f>IF($K$8="Habilitado",IF($A89="","",ROUND(VLOOKUP($A89,'Presupuesto Consolidado'!#REF!,6,FALSE),2)),"")</f>
        <v/>
      </c>
      <c r="L89" s="142" t="str">
        <f t="shared" ref="L89" si="835">IF($A89="","",IF(K89="","",IF($K$4="Media aritmética",(K89&lt;=$B89)*($G$5/$B$5)+(K89&gt;$B89)*0,IF(ROUND(AVERAGE($C89,$E89,$G89,$I89,$K89,$M89,$O89,$Q89,$S89,$U89,$W89,$Y89,$AA89,$AC89,$AE89),2)-$B89/2&lt;=K89,IF(ROUND(AVERAGE($C89,$E89,$G89,$I89,$K89,$M89,$O89,$Q89,$S89,$U89,$W89,$Y89,$AA89,$AC89,$AE89),2)+$B89/2&gt;K89,($G$5/$B$5),0),0))))</f>
        <v/>
      </c>
      <c r="M89" s="141" t="str">
        <f>IF($M$8="Habilitado",IF($A89="","",ROUND(VLOOKUP($A89,'Presupuesto Consolidado'!#REF!,6,FALSE),2)),"")</f>
        <v/>
      </c>
      <c r="N89" s="142" t="str">
        <f t="shared" ref="N89" si="836">IF($A89="","",IF(M89="","",IF($K$4="Media aritmética",(M89&lt;=$B89)*($G$5/$B$5)+(M89&gt;$B89)*0,IF(ROUND(AVERAGE($C89,$E89,$G89,$I89,$K89,$M89,$O89,$Q89,$S89,$U89,$W89,$Y89,$AA89,$AC89,$AE89),2)-$B89/2&lt;=M89,IF(ROUND(AVERAGE($C89,$E89,$G89,$I89,$K89,$M89,$O89,$Q89,$S89,$U89,$W89,$Y89,$AA89,$AC89,$AE89),2)+$B89/2&gt;M89,($G$5/$B$5),0),0))))</f>
        <v/>
      </c>
      <c r="O89" s="141" t="str">
        <f>IF($O$8="Habilitado",IF($A89="","",ROUND(VLOOKUP($A89,'Presupuesto Consolidado'!#REF!,6,FALSE),2)),"")</f>
        <v/>
      </c>
      <c r="P89" s="142" t="str">
        <f t="shared" ref="P89" si="837">IF($A89="","",IF(O89="","",IF($K$4="Media aritmética",(O89&lt;=$B89)*($G$5/$B$5)+(O89&gt;$B89)*0,IF(ROUND(AVERAGE($C89,$E89,$G89,$I89,$K89,$M89,$O89,$Q89,$S89,$U89,$W89,$Y89,$AA89,$AC89,$AE89),2)-$B89/2&lt;=O89,IF(ROUND(AVERAGE($C89,$E89,$G89,$I89,$K89,$M89,$O89,$Q89,$S89,$U89,$W89,$Y89,$AA89,$AC89,$AE89),2)+$B89/2&gt;O89,($G$5/$B$5),0),0))))</f>
        <v/>
      </c>
      <c r="Q89" s="141" t="str">
        <f>IF($Q$8="Habilitado",IF($A89="","",ROUND(VLOOKUP($A89,'Presupuesto Consolidado'!#REF!,6,FALSE),2)),"")</f>
        <v/>
      </c>
      <c r="R89" s="142" t="str">
        <f t="shared" ref="R89" si="838">IF($A89="","",IF(Q89="","",IF($K$4="Media aritmética",(Q89&lt;=$B89)*($G$5/$B$5)+(Q89&gt;$B89)*0,IF(ROUND(AVERAGE($C89,$E89,$G89,$I89,$K89,$M89,$O89,$Q89,$S89,$U89,$W89,$Y89,$AA89,$AC89,$AE89),2)-$B89/2&lt;=Q89,IF(ROUND(AVERAGE($C89,$E89,$G89,$I89,$K89,$M89,$O89,$Q89,$S89,$U89,$W89,$Y89,$AA89,$AC89,$AE89),2)+$B89/2&gt;Q89,($G$5/$B$5),0),0))))</f>
        <v/>
      </c>
      <c r="S89" s="141" t="str">
        <f>IF($S$8="Habilitado",IF($A89="","",ROUND(VLOOKUP($A89,'Presupuesto Consolidado'!#REF!,6,FALSE),2)),"")</f>
        <v/>
      </c>
      <c r="T89" s="142" t="str">
        <f t="shared" ref="T89" si="839">IF($A89="","",IF(S89="","",IF($K$4="Media aritmética",(S89&lt;=$B89)*($G$5/$B$5)+(S89&gt;$B89)*0,IF(ROUND(AVERAGE($C89,$E89,$G89,$I89,$K89,$M89,$O89,$Q89,$S89,$U89,$W89,$Y89,$AA89,$AC89,$AE89),2)-$B89/2&lt;=S89,IF(ROUND(AVERAGE($C89,$E89,$G89,$I89,$K89,$M89,$O89,$Q89,$S89,$U89,$W89,$Y89,$AA89,$AC89,$AE89),2)+$B89/2&gt;S89,($G$5/$B$5),0),0))))</f>
        <v/>
      </c>
      <c r="U89" s="141" t="str">
        <f>IF($U$8="Habilitado",IF($A89="","",ROUND(VLOOKUP($A89,'Presupuesto Consolidado'!#REF!,6,FALSE),2)),"")</f>
        <v/>
      </c>
      <c r="V89" s="142" t="str">
        <f t="shared" ref="V89" si="840">IF($A89="","",IF(U89="","",IF($K$4="Media aritmética",(U89&lt;=$B89)*($G$5/$B$5)+(U89&gt;$B89)*0,IF(ROUND(AVERAGE($C89,$E89,$G89,$I89,$K89,$M89,$O89,$Q89,$S89,$U89,$W89,$Y89,$AA89,$AC89,$AE89),2)-$B89/2&lt;=U89,IF(ROUND(AVERAGE($C89,$E89,$G89,$I89,$K89,$M89,$O89,$Q89,$S89,$U89,$W89,$Y89,$AA89,$AC89,$AE89),2)+$B89/2&gt;U89,($G$5/$B$5),0),0))))</f>
        <v/>
      </c>
      <c r="W89" s="141" t="str">
        <f>IF($W$8="Habilitado",IF($A89="","",ROUND(VLOOKUP($A89,'Presupuesto Consolidado'!#REF!,6,FALSE),2)),"")</f>
        <v/>
      </c>
      <c r="X89" s="142" t="str">
        <f t="shared" ref="X89" si="841">IF($A89="","",IF(W89="","",IF($K$4="Media aritmética",(W89&lt;=$B89)*($G$5/$B$5)+(W89&gt;$B89)*0,IF(ROUND(AVERAGE($C89,$E89,$G89,$I89,$K89,$M89,$O89,$Q89,$S89,$U89,$W89,$Y89,$AA89,$AC89,$AE89),2)-$B89/2&lt;=W89,IF(ROUND(AVERAGE($C89,$E89,$G89,$I89,$K89,$M89,$O89,$Q89,$S89,$U89,$W89,$Y89,$AA89,$AC89,$AE89),2)+$B89/2&gt;W89,($G$5/$B$5),0),0))))</f>
        <v/>
      </c>
      <c r="Y89" s="141" t="str">
        <f>IF($Y$8="Habilitado",IF($A89="","",ROUND(VLOOKUP($A89,'Presupuesto Consolidado'!#REF!,6,FALSE),2)),"")</f>
        <v/>
      </c>
      <c r="Z89" s="142" t="str">
        <f t="shared" ref="Z89" si="842">IF($A89="","",IF(Y89="","",IF($K$4="Media aritmética",(Y89&lt;=$B89)*($G$5/$B$5)+(Y89&gt;$B89)*0,IF(ROUND(AVERAGE($C89,$E89,$G89,$I89,$K89,$M89,$O89,$Q89,$S89,$U89,$W89,$Y89,$AA89,$AC89,$AE89),2)-$B89/2&lt;=Y89,IF(ROUND(AVERAGE($C89,$E89,$G89,$I89,$K89,$M89,$O89,$Q89,$S89,$U89,$W89,$Y89,$AA89,$AC89,$AE89),2)+$B89/2&gt;Y89,($G$5/$B$5),0),0))))</f>
        <v/>
      </c>
      <c r="AA89" s="141" t="str">
        <f>IF($AA$8="Habilitado",IF($A89="","",ROUND(VLOOKUP($A89,'Presupuesto Consolidado'!#REF!,6,FALSE),2)),"")</f>
        <v/>
      </c>
      <c r="AB89" s="142" t="str">
        <f t="shared" ref="AB89" si="843">IF($A89="","",IF(AA89="","",IF($K$4="Media aritmética",(AA89&lt;=$B89)*($G$5/$B$5)+(AA89&gt;$B89)*0,IF(ROUND(AVERAGE($C89,$E89,$G89,$I89,$K89,$M89,$O89,$Q89,$S89,$U89,$W89,$Y89,$AA89,$AC89,$AE89),2)-$B89/2&lt;=AA89,IF(ROUND(AVERAGE($C89,$E89,$G89,$I89,$K89,$M89,$O89,$Q89,$S89,$U89,$W89,$Y89,$AA89,$AC89,$AE89),2)+$B89/2&gt;AA89,($G$5/$B$5),0),0))))</f>
        <v/>
      </c>
      <c r="AC89" s="141" t="str">
        <f>IF($AC$8="Habilitado",IF($A89="","",ROUND(VLOOKUP($A89,'Presupuesto Consolidado'!#REF!,6,FALSE),2)),"")</f>
        <v/>
      </c>
      <c r="AD89" s="142" t="str">
        <f t="shared" ref="AD89" si="844">IF($A89="","",IF(AC89="","",IF($K$4="Media aritmética",(AC89&lt;=$B89)*($G$5/$B$5)+(AC89&gt;$B89)*0,IF(ROUND(AVERAGE($C89,$E89,$G89,$I89,$K89,$M89,$O89,$Q89,$S89,$U89,$W89,$Y89,$AA89,$AC89,$AE89),2)-$B89/2&lt;=AC89,IF(ROUND(AVERAGE($C89,$E89,$G89,$I89,$K89,$M89,$O89,$Q89,$S89,$U89,$W89,$Y89,$AA89,$AC89,$AE89),2)+$B89/2&gt;AC89,($G$5/$B$5),0),0))))</f>
        <v/>
      </c>
      <c r="AE89" s="141" t="str">
        <f>IF($AE$8="Habilitado",IF($A89="","",ROUND(VLOOKUP($A89,'Presupuesto Consolidado'!#REF!,6,FALSE),2)),"")</f>
        <v/>
      </c>
      <c r="AF89" s="142" t="str">
        <f t="shared" ref="AF89" si="845">IF($A89="","",IF(AE89="","",IF($K$4="Media aritmética",(AE89&lt;=$B89)*($G$5/$B$5)+(AE89&gt;$B89)*0,IF(ROUND(AVERAGE($C89,$E89,$G89,$I89,$K89,$M89,$O89,$Q89,$S89,$U89,$W89,$Y89,$AA89,$AC89,$AE89),2)-$B89/2&lt;=AE89,IF(ROUND(AVERAGE($C89,$E89,$G89,$I89,$K89,$M89,$O89,$Q89,$S89,$U89,$W89,$Y89,$AA89,$AC89,$AE89),2)+$B89/2&gt;AE89,($G$5/$B$5),0),0))))</f>
        <v/>
      </c>
    </row>
    <row r="90" spans="1:32" s="135" customFormat="1" ht="21" customHeight="1">
      <c r="A90" s="132" t="str">
        <f>+'Presupuesto Consolidado'!A95</f>
        <v>11.11.6</v>
      </c>
      <c r="B90" s="140">
        <f t="shared" ref="B90" si="846">IF(A90="","",IF($K$4="Media aritmética",ROUND(AVERAGE(C90,E90,G90,I90,K90,M90,O90,Q90,S90,U90,W90,Y90,AA90,AC90,AE90),2),ROUND(_xlfn.STDEV.P(C90,E90,G90,I90,K90,M90,O90,Q90,S90,U90,W90,Y90,AA90,AC90,AE90),2)))</f>
        <v>1447200</v>
      </c>
      <c r="C90" s="141">
        <f>IF($C$8="Habilitado",IF($A90="","",ROUND(VLOOKUP($A90,'Presupuesto Consolidado'!$A$9:$F$600,6,FALSE),2)),"")</f>
        <v>1447200</v>
      </c>
      <c r="D90" s="142">
        <f t="shared" ref="D90" si="847">IF($A90="","",IF(C90="","",IF($K$4="Media aritmética",(C90&lt;=$B90)*($G$5/$B$5)+(C90&gt;$B90)*0,IF(ROUND(AVERAGE($C90,$E90,$G90,$I90,$K90,$M90,$O90,$Q90,$S90,$U90,$W90,$Y90,$AA90,$AC90,$AE90),2)-$B90/2&lt;=C90,IF(ROUND(AVERAGE($C90,$E90,$G90,$I90,$K90,$M90,$O90,$Q90,$S90,$U90,$W90,$Y90,$AA90,$AC90,$AE90),2)+$B90/2&gt;C90,($G$5/$B$5),0),0))))</f>
        <v>0.45714285714285713</v>
      </c>
      <c r="E90" s="141" t="str">
        <f>IF($E$8="Habilitado",IF($A90="","",ROUND(VLOOKUP($A90,'Presupuesto Consolidado'!$I$9:$N$600,6,FALSE),2)),"")</f>
        <v/>
      </c>
      <c r="F90" s="142" t="str">
        <f t="shared" ref="F90" si="848">IF($A90="","",IF(E90="","",IF($K$4="Media aritmética",(E90&lt;=$B90)*($G$5/$B$5)+(E90&gt;$B90)*0,IF(ROUND(AVERAGE($C90,$E90,$G90,$I90,$K90,$M90,$O90,$Q90,$S90,$U90,$W90,$Y90,$AA90,$AC90,$AE90),2)-$B90/2&lt;=E90,IF(ROUND(AVERAGE($C90,$E90,$G90,$I90,$K90,$M90,$O90,$Q90,$S90,$U90,$W90,$Y90,$AA90,$AC90,$AE90),2)+$B90/2&gt;E90,($G$5/$B$5),0),0))))</f>
        <v/>
      </c>
      <c r="G90" s="141" t="str">
        <f>IF($G$8="Habilitado",IF($A90="","",ROUND(VLOOKUP($A90,'Presupuesto Consolidado'!$Q$9:$V$600,6,FALSE),2)),"")</f>
        <v/>
      </c>
      <c r="H90" s="142" t="str">
        <f t="shared" ref="H90" si="849">IF($A90="","",IF(G90="","",IF($K$4="Media aritmética",(G90&lt;=$B90)*($G$5/$B$5)+(G90&gt;$B90)*0,IF(ROUND(AVERAGE($C90,$E90,$G90,$I90,$K90,$M90,$O90,$Q90,$S90,$U90,$W90,$Y90,$AA90,$AC90,$AE90),2)-$B90/2&lt;=G90,IF(ROUND(AVERAGE($C90,$E90,$G90,$I90,$K90,$M90,$O90,$Q90,$S90,$U90,$W90,$Y90,$AA90,$AC90,$AE90),2)+$B90/2&gt;G90,($G$5/$B$5),0),0))))</f>
        <v/>
      </c>
      <c r="I90" s="141" t="str">
        <f>IF($I$8="Habilitado",IF($A90="","",ROUND(VLOOKUP($A90,'Presupuesto Consolidado'!$Y$9:$AD$600,6,FALSE),2)),"")</f>
        <v/>
      </c>
      <c r="J90" s="142" t="str">
        <f t="shared" ref="J90" si="850">IF($A90="","",IF(I90="","",IF($K$4="Media aritmética",(I90&lt;=$B90)*($G$5/$B$5)+(I90&gt;$B90)*0,IF(ROUND(AVERAGE($C90,$E90,$G90,$I90,$K90,$M90,$O90,$Q90,$S90,$U90,$W90,$Y90,$AA90,$AC90,$AE90),2)-$B90/2&lt;=I90,IF(ROUND(AVERAGE($C90,$E90,$G90,$I90,$K90,$M90,$O90,$Q90,$S90,$U90,$W90,$Y90,$AA90,$AC90,$AE90),2)+$B90/2&gt;I90,($G$5/$B$5),0),0))))</f>
        <v/>
      </c>
      <c r="K90" s="141" t="str">
        <f>IF($K$8="Habilitado",IF($A90="","",ROUND(VLOOKUP($A90,'Presupuesto Consolidado'!#REF!,6,FALSE),2)),"")</f>
        <v/>
      </c>
      <c r="L90" s="142" t="str">
        <f t="shared" ref="L90" si="851">IF($A90="","",IF(K90="","",IF($K$4="Media aritmética",(K90&lt;=$B90)*($G$5/$B$5)+(K90&gt;$B90)*0,IF(ROUND(AVERAGE($C90,$E90,$G90,$I90,$K90,$M90,$O90,$Q90,$S90,$U90,$W90,$Y90,$AA90,$AC90,$AE90),2)-$B90/2&lt;=K90,IF(ROUND(AVERAGE($C90,$E90,$G90,$I90,$K90,$M90,$O90,$Q90,$S90,$U90,$W90,$Y90,$AA90,$AC90,$AE90),2)+$B90/2&gt;K90,($G$5/$B$5),0),0))))</f>
        <v/>
      </c>
      <c r="M90" s="141" t="str">
        <f>IF($M$8="Habilitado",IF($A90="","",ROUND(VLOOKUP($A90,'Presupuesto Consolidado'!#REF!,6,FALSE),2)),"")</f>
        <v/>
      </c>
      <c r="N90" s="142" t="str">
        <f t="shared" ref="N90" si="852">IF($A90="","",IF(M90="","",IF($K$4="Media aritmética",(M90&lt;=$B90)*($G$5/$B$5)+(M90&gt;$B90)*0,IF(ROUND(AVERAGE($C90,$E90,$G90,$I90,$K90,$M90,$O90,$Q90,$S90,$U90,$W90,$Y90,$AA90,$AC90,$AE90),2)-$B90/2&lt;=M90,IF(ROUND(AVERAGE($C90,$E90,$G90,$I90,$K90,$M90,$O90,$Q90,$S90,$U90,$W90,$Y90,$AA90,$AC90,$AE90),2)+$B90/2&gt;M90,($G$5/$B$5),0),0))))</f>
        <v/>
      </c>
      <c r="O90" s="141" t="str">
        <f>IF($O$8="Habilitado",IF($A90="","",ROUND(VLOOKUP($A90,'Presupuesto Consolidado'!#REF!,6,FALSE),2)),"")</f>
        <v/>
      </c>
      <c r="P90" s="142" t="str">
        <f t="shared" ref="P90" si="853">IF($A90="","",IF(O90="","",IF($K$4="Media aritmética",(O90&lt;=$B90)*($G$5/$B$5)+(O90&gt;$B90)*0,IF(ROUND(AVERAGE($C90,$E90,$G90,$I90,$K90,$M90,$O90,$Q90,$S90,$U90,$W90,$Y90,$AA90,$AC90,$AE90),2)-$B90/2&lt;=O90,IF(ROUND(AVERAGE($C90,$E90,$G90,$I90,$K90,$M90,$O90,$Q90,$S90,$U90,$W90,$Y90,$AA90,$AC90,$AE90),2)+$B90/2&gt;O90,($G$5/$B$5),0),0))))</f>
        <v/>
      </c>
      <c r="Q90" s="141" t="str">
        <f>IF($Q$8="Habilitado",IF($A90="","",ROUND(VLOOKUP($A90,'Presupuesto Consolidado'!#REF!,6,FALSE),2)),"")</f>
        <v/>
      </c>
      <c r="R90" s="142" t="str">
        <f t="shared" ref="R90" si="854">IF($A90="","",IF(Q90="","",IF($K$4="Media aritmética",(Q90&lt;=$B90)*($G$5/$B$5)+(Q90&gt;$B90)*0,IF(ROUND(AVERAGE($C90,$E90,$G90,$I90,$K90,$M90,$O90,$Q90,$S90,$U90,$W90,$Y90,$AA90,$AC90,$AE90),2)-$B90/2&lt;=Q90,IF(ROUND(AVERAGE($C90,$E90,$G90,$I90,$K90,$M90,$O90,$Q90,$S90,$U90,$W90,$Y90,$AA90,$AC90,$AE90),2)+$B90/2&gt;Q90,($G$5/$B$5),0),0))))</f>
        <v/>
      </c>
      <c r="S90" s="141" t="str">
        <f>IF($S$8="Habilitado",IF($A90="","",ROUND(VLOOKUP($A90,'Presupuesto Consolidado'!#REF!,6,FALSE),2)),"")</f>
        <v/>
      </c>
      <c r="T90" s="142" t="str">
        <f t="shared" ref="T90" si="855">IF($A90="","",IF(S90="","",IF($K$4="Media aritmética",(S90&lt;=$B90)*($G$5/$B$5)+(S90&gt;$B90)*0,IF(ROUND(AVERAGE($C90,$E90,$G90,$I90,$K90,$M90,$O90,$Q90,$S90,$U90,$W90,$Y90,$AA90,$AC90,$AE90),2)-$B90/2&lt;=S90,IF(ROUND(AVERAGE($C90,$E90,$G90,$I90,$K90,$M90,$O90,$Q90,$S90,$U90,$W90,$Y90,$AA90,$AC90,$AE90),2)+$B90/2&gt;S90,($G$5/$B$5),0),0))))</f>
        <v/>
      </c>
      <c r="U90" s="141" t="str">
        <f>IF($U$8="Habilitado",IF($A90="","",ROUND(VLOOKUP($A90,'Presupuesto Consolidado'!#REF!,6,FALSE),2)),"")</f>
        <v/>
      </c>
      <c r="V90" s="142" t="str">
        <f t="shared" ref="V90" si="856">IF($A90="","",IF(U90="","",IF($K$4="Media aritmética",(U90&lt;=$B90)*($G$5/$B$5)+(U90&gt;$B90)*0,IF(ROUND(AVERAGE($C90,$E90,$G90,$I90,$K90,$M90,$O90,$Q90,$S90,$U90,$W90,$Y90,$AA90,$AC90,$AE90),2)-$B90/2&lt;=U90,IF(ROUND(AVERAGE($C90,$E90,$G90,$I90,$K90,$M90,$O90,$Q90,$S90,$U90,$W90,$Y90,$AA90,$AC90,$AE90),2)+$B90/2&gt;U90,($G$5/$B$5),0),0))))</f>
        <v/>
      </c>
      <c r="W90" s="141" t="str">
        <f>IF($W$8="Habilitado",IF($A90="","",ROUND(VLOOKUP($A90,'Presupuesto Consolidado'!#REF!,6,FALSE),2)),"")</f>
        <v/>
      </c>
      <c r="X90" s="142" t="str">
        <f t="shared" ref="X90" si="857">IF($A90="","",IF(W90="","",IF($K$4="Media aritmética",(W90&lt;=$B90)*($G$5/$B$5)+(W90&gt;$B90)*0,IF(ROUND(AVERAGE($C90,$E90,$G90,$I90,$K90,$M90,$O90,$Q90,$S90,$U90,$W90,$Y90,$AA90,$AC90,$AE90),2)-$B90/2&lt;=W90,IF(ROUND(AVERAGE($C90,$E90,$G90,$I90,$K90,$M90,$O90,$Q90,$S90,$U90,$W90,$Y90,$AA90,$AC90,$AE90),2)+$B90/2&gt;W90,($G$5/$B$5),0),0))))</f>
        <v/>
      </c>
      <c r="Y90" s="141" t="str">
        <f>IF($Y$8="Habilitado",IF($A90="","",ROUND(VLOOKUP($A90,'Presupuesto Consolidado'!#REF!,6,FALSE),2)),"")</f>
        <v/>
      </c>
      <c r="Z90" s="142" t="str">
        <f t="shared" ref="Z90" si="858">IF($A90="","",IF(Y90="","",IF($K$4="Media aritmética",(Y90&lt;=$B90)*($G$5/$B$5)+(Y90&gt;$B90)*0,IF(ROUND(AVERAGE($C90,$E90,$G90,$I90,$K90,$M90,$O90,$Q90,$S90,$U90,$W90,$Y90,$AA90,$AC90,$AE90),2)-$B90/2&lt;=Y90,IF(ROUND(AVERAGE($C90,$E90,$G90,$I90,$K90,$M90,$O90,$Q90,$S90,$U90,$W90,$Y90,$AA90,$AC90,$AE90),2)+$B90/2&gt;Y90,($G$5/$B$5),0),0))))</f>
        <v/>
      </c>
      <c r="AA90" s="141" t="str">
        <f>IF($AA$8="Habilitado",IF($A90="","",ROUND(VLOOKUP($A90,'Presupuesto Consolidado'!#REF!,6,FALSE),2)),"")</f>
        <v/>
      </c>
      <c r="AB90" s="142" t="str">
        <f t="shared" ref="AB90" si="859">IF($A90="","",IF(AA90="","",IF($K$4="Media aritmética",(AA90&lt;=$B90)*($G$5/$B$5)+(AA90&gt;$B90)*0,IF(ROUND(AVERAGE($C90,$E90,$G90,$I90,$K90,$M90,$O90,$Q90,$S90,$U90,$W90,$Y90,$AA90,$AC90,$AE90),2)-$B90/2&lt;=AA90,IF(ROUND(AVERAGE($C90,$E90,$G90,$I90,$K90,$M90,$O90,$Q90,$S90,$U90,$W90,$Y90,$AA90,$AC90,$AE90),2)+$B90/2&gt;AA90,($G$5/$B$5),0),0))))</f>
        <v/>
      </c>
      <c r="AC90" s="141" t="str">
        <f>IF($AC$8="Habilitado",IF($A90="","",ROUND(VLOOKUP($A90,'Presupuesto Consolidado'!#REF!,6,FALSE),2)),"")</f>
        <v/>
      </c>
      <c r="AD90" s="142" t="str">
        <f t="shared" ref="AD90" si="860">IF($A90="","",IF(AC90="","",IF($K$4="Media aritmética",(AC90&lt;=$B90)*($G$5/$B$5)+(AC90&gt;$B90)*0,IF(ROUND(AVERAGE($C90,$E90,$G90,$I90,$K90,$M90,$O90,$Q90,$S90,$U90,$W90,$Y90,$AA90,$AC90,$AE90),2)-$B90/2&lt;=AC90,IF(ROUND(AVERAGE($C90,$E90,$G90,$I90,$K90,$M90,$O90,$Q90,$S90,$U90,$W90,$Y90,$AA90,$AC90,$AE90),2)+$B90/2&gt;AC90,($G$5/$B$5),0),0))))</f>
        <v/>
      </c>
      <c r="AE90" s="141" t="str">
        <f>IF($AE$8="Habilitado",IF($A90="","",ROUND(VLOOKUP($A90,'Presupuesto Consolidado'!#REF!,6,FALSE),2)),"")</f>
        <v/>
      </c>
      <c r="AF90" s="142" t="str">
        <f t="shared" ref="AF90" si="861">IF($A90="","",IF(AE90="","",IF($K$4="Media aritmética",(AE90&lt;=$B90)*($G$5/$B$5)+(AE90&gt;$B90)*0,IF(ROUND(AVERAGE($C90,$E90,$G90,$I90,$K90,$M90,$O90,$Q90,$S90,$U90,$W90,$Y90,$AA90,$AC90,$AE90),2)-$B90/2&lt;=AE90,IF(ROUND(AVERAGE($C90,$E90,$G90,$I90,$K90,$M90,$O90,$Q90,$S90,$U90,$W90,$Y90,$AA90,$AC90,$AE90),2)+$B90/2&gt;AE90,($G$5/$B$5),0),0))))</f>
        <v/>
      </c>
    </row>
    <row r="91" spans="1:32" s="135" customFormat="1" ht="21" customHeight="1">
      <c r="A91" s="132" t="str">
        <f>+'Presupuesto Consolidado'!A99</f>
        <v>12.1.1</v>
      </c>
      <c r="B91" s="140">
        <f t="shared" ref="B91" si="862">IF(A91="","",IF($K$4="Media aritmética",ROUND(AVERAGE(C91,E91,G91,I91,K91,M91,O91,Q91,S91,U91,W91,Y91,AA91,AC91,AE91),2),ROUND(_xlfn.STDEV.P(C91,E91,G91,I91,K91,M91,O91,Q91,S91,U91,W91,Y91,AA91,AC91,AE91),2)))</f>
        <v>1788480</v>
      </c>
      <c r="C91" s="141">
        <f>IF($C$8="Habilitado",IF($A91="","",ROUND(VLOOKUP($A91,'Presupuesto Consolidado'!$A$9:$F$600,6,FALSE),2)),"")</f>
        <v>1788480</v>
      </c>
      <c r="D91" s="142">
        <f t="shared" ref="D91" si="863">IF($A91="","",IF(C91="","",IF($K$4="Media aritmética",(C91&lt;=$B91)*($G$5/$B$5)+(C91&gt;$B91)*0,IF(ROUND(AVERAGE($C91,$E91,$G91,$I91,$K91,$M91,$O91,$Q91,$S91,$U91,$W91,$Y91,$AA91,$AC91,$AE91),2)-$B91/2&lt;=C91,IF(ROUND(AVERAGE($C91,$E91,$G91,$I91,$K91,$M91,$O91,$Q91,$S91,$U91,$W91,$Y91,$AA91,$AC91,$AE91),2)+$B91/2&gt;C91,($G$5/$B$5),0),0))))</f>
        <v>0.45714285714285713</v>
      </c>
      <c r="E91" s="141" t="str">
        <f>IF($E$8="Habilitado",IF($A91="","",ROUND(VLOOKUP($A91,'Presupuesto Consolidado'!$I$9:$N$600,6,FALSE),2)),"")</f>
        <v/>
      </c>
      <c r="F91" s="142" t="str">
        <f t="shared" ref="F91" si="864">IF($A91="","",IF(E91="","",IF($K$4="Media aritmética",(E91&lt;=$B91)*($G$5/$B$5)+(E91&gt;$B91)*0,IF(ROUND(AVERAGE($C91,$E91,$G91,$I91,$K91,$M91,$O91,$Q91,$S91,$U91,$W91,$Y91,$AA91,$AC91,$AE91),2)-$B91/2&lt;=E91,IF(ROUND(AVERAGE($C91,$E91,$G91,$I91,$K91,$M91,$O91,$Q91,$S91,$U91,$W91,$Y91,$AA91,$AC91,$AE91),2)+$B91/2&gt;E91,($G$5/$B$5),0),0))))</f>
        <v/>
      </c>
      <c r="G91" s="141" t="str">
        <f>IF($G$8="Habilitado",IF($A91="","",ROUND(VLOOKUP($A91,'Presupuesto Consolidado'!$Q$9:$V$600,6,FALSE),2)),"")</f>
        <v/>
      </c>
      <c r="H91" s="142" t="str">
        <f t="shared" ref="H91" si="865">IF($A91="","",IF(G91="","",IF($K$4="Media aritmética",(G91&lt;=$B91)*($G$5/$B$5)+(G91&gt;$B91)*0,IF(ROUND(AVERAGE($C91,$E91,$G91,$I91,$K91,$M91,$O91,$Q91,$S91,$U91,$W91,$Y91,$AA91,$AC91,$AE91),2)-$B91/2&lt;=G91,IF(ROUND(AVERAGE($C91,$E91,$G91,$I91,$K91,$M91,$O91,$Q91,$S91,$U91,$W91,$Y91,$AA91,$AC91,$AE91),2)+$B91/2&gt;G91,($G$5/$B$5),0),0))))</f>
        <v/>
      </c>
      <c r="I91" s="141" t="str">
        <f>IF($I$8="Habilitado",IF($A91="","",ROUND(VLOOKUP($A91,'Presupuesto Consolidado'!$Y$9:$AD$600,6,FALSE),2)),"")</f>
        <v/>
      </c>
      <c r="J91" s="142" t="str">
        <f t="shared" ref="J91" si="866">IF($A91="","",IF(I91="","",IF($K$4="Media aritmética",(I91&lt;=$B91)*($G$5/$B$5)+(I91&gt;$B91)*0,IF(ROUND(AVERAGE($C91,$E91,$G91,$I91,$K91,$M91,$O91,$Q91,$S91,$U91,$W91,$Y91,$AA91,$AC91,$AE91),2)-$B91/2&lt;=I91,IF(ROUND(AVERAGE($C91,$E91,$G91,$I91,$K91,$M91,$O91,$Q91,$S91,$U91,$W91,$Y91,$AA91,$AC91,$AE91),2)+$B91/2&gt;I91,($G$5/$B$5),0),0))))</f>
        <v/>
      </c>
      <c r="K91" s="141" t="str">
        <f>IF($K$8="Habilitado",IF($A91="","",ROUND(VLOOKUP($A91,'Presupuesto Consolidado'!#REF!,6,FALSE),2)),"")</f>
        <v/>
      </c>
      <c r="L91" s="142" t="str">
        <f t="shared" ref="L91" si="867">IF($A91="","",IF(K91="","",IF($K$4="Media aritmética",(K91&lt;=$B91)*($G$5/$B$5)+(K91&gt;$B91)*0,IF(ROUND(AVERAGE($C91,$E91,$G91,$I91,$K91,$M91,$O91,$Q91,$S91,$U91,$W91,$Y91,$AA91,$AC91,$AE91),2)-$B91/2&lt;=K91,IF(ROUND(AVERAGE($C91,$E91,$G91,$I91,$K91,$M91,$O91,$Q91,$S91,$U91,$W91,$Y91,$AA91,$AC91,$AE91),2)+$B91/2&gt;K91,($G$5/$B$5),0),0))))</f>
        <v/>
      </c>
      <c r="M91" s="141" t="str">
        <f>IF($M$8="Habilitado",IF($A91="","",ROUND(VLOOKUP($A91,'Presupuesto Consolidado'!#REF!,6,FALSE),2)),"")</f>
        <v/>
      </c>
      <c r="N91" s="142" t="str">
        <f t="shared" ref="N91" si="868">IF($A91="","",IF(M91="","",IF($K$4="Media aritmética",(M91&lt;=$B91)*($G$5/$B$5)+(M91&gt;$B91)*0,IF(ROUND(AVERAGE($C91,$E91,$G91,$I91,$K91,$M91,$O91,$Q91,$S91,$U91,$W91,$Y91,$AA91,$AC91,$AE91),2)-$B91/2&lt;=M91,IF(ROUND(AVERAGE($C91,$E91,$G91,$I91,$K91,$M91,$O91,$Q91,$S91,$U91,$W91,$Y91,$AA91,$AC91,$AE91),2)+$B91/2&gt;M91,($G$5/$B$5),0),0))))</f>
        <v/>
      </c>
      <c r="O91" s="141" t="str">
        <f>IF($O$8="Habilitado",IF($A91="","",ROUND(VLOOKUP($A91,'Presupuesto Consolidado'!#REF!,6,FALSE),2)),"")</f>
        <v/>
      </c>
      <c r="P91" s="142" t="str">
        <f t="shared" ref="P91" si="869">IF($A91="","",IF(O91="","",IF($K$4="Media aritmética",(O91&lt;=$B91)*($G$5/$B$5)+(O91&gt;$B91)*0,IF(ROUND(AVERAGE($C91,$E91,$G91,$I91,$K91,$M91,$O91,$Q91,$S91,$U91,$W91,$Y91,$AA91,$AC91,$AE91),2)-$B91/2&lt;=O91,IF(ROUND(AVERAGE($C91,$E91,$G91,$I91,$K91,$M91,$O91,$Q91,$S91,$U91,$W91,$Y91,$AA91,$AC91,$AE91),2)+$B91/2&gt;O91,($G$5/$B$5),0),0))))</f>
        <v/>
      </c>
      <c r="Q91" s="141" t="str">
        <f>IF($Q$8="Habilitado",IF($A91="","",ROUND(VLOOKUP($A91,'Presupuesto Consolidado'!#REF!,6,FALSE),2)),"")</f>
        <v/>
      </c>
      <c r="R91" s="142" t="str">
        <f t="shared" ref="R91" si="870">IF($A91="","",IF(Q91="","",IF($K$4="Media aritmética",(Q91&lt;=$B91)*($G$5/$B$5)+(Q91&gt;$B91)*0,IF(ROUND(AVERAGE($C91,$E91,$G91,$I91,$K91,$M91,$O91,$Q91,$S91,$U91,$W91,$Y91,$AA91,$AC91,$AE91),2)-$B91/2&lt;=Q91,IF(ROUND(AVERAGE($C91,$E91,$G91,$I91,$K91,$M91,$O91,$Q91,$S91,$U91,$W91,$Y91,$AA91,$AC91,$AE91),2)+$B91/2&gt;Q91,($G$5/$B$5),0),0))))</f>
        <v/>
      </c>
      <c r="S91" s="141" t="str">
        <f>IF($S$8="Habilitado",IF($A91="","",ROUND(VLOOKUP($A91,'Presupuesto Consolidado'!#REF!,6,FALSE),2)),"")</f>
        <v/>
      </c>
      <c r="T91" s="142" t="str">
        <f t="shared" ref="T91" si="871">IF($A91="","",IF(S91="","",IF($K$4="Media aritmética",(S91&lt;=$B91)*($G$5/$B$5)+(S91&gt;$B91)*0,IF(ROUND(AVERAGE($C91,$E91,$G91,$I91,$K91,$M91,$O91,$Q91,$S91,$U91,$W91,$Y91,$AA91,$AC91,$AE91),2)-$B91/2&lt;=S91,IF(ROUND(AVERAGE($C91,$E91,$G91,$I91,$K91,$M91,$O91,$Q91,$S91,$U91,$W91,$Y91,$AA91,$AC91,$AE91),2)+$B91/2&gt;S91,($G$5/$B$5),0),0))))</f>
        <v/>
      </c>
      <c r="U91" s="141" t="str">
        <f>IF($U$8="Habilitado",IF($A91="","",ROUND(VLOOKUP($A91,'Presupuesto Consolidado'!#REF!,6,FALSE),2)),"")</f>
        <v/>
      </c>
      <c r="V91" s="142" t="str">
        <f t="shared" ref="V91" si="872">IF($A91="","",IF(U91="","",IF($K$4="Media aritmética",(U91&lt;=$B91)*($G$5/$B$5)+(U91&gt;$B91)*0,IF(ROUND(AVERAGE($C91,$E91,$G91,$I91,$K91,$M91,$O91,$Q91,$S91,$U91,$W91,$Y91,$AA91,$AC91,$AE91),2)-$B91/2&lt;=U91,IF(ROUND(AVERAGE($C91,$E91,$G91,$I91,$K91,$M91,$O91,$Q91,$S91,$U91,$W91,$Y91,$AA91,$AC91,$AE91),2)+$B91/2&gt;U91,($G$5/$B$5),0),0))))</f>
        <v/>
      </c>
      <c r="W91" s="141" t="str">
        <f>IF($W$8="Habilitado",IF($A91="","",ROUND(VLOOKUP($A91,'Presupuesto Consolidado'!#REF!,6,FALSE),2)),"")</f>
        <v/>
      </c>
      <c r="X91" s="142" t="str">
        <f t="shared" ref="X91" si="873">IF($A91="","",IF(W91="","",IF($K$4="Media aritmética",(W91&lt;=$B91)*($G$5/$B$5)+(W91&gt;$B91)*0,IF(ROUND(AVERAGE($C91,$E91,$G91,$I91,$K91,$M91,$O91,$Q91,$S91,$U91,$W91,$Y91,$AA91,$AC91,$AE91),2)-$B91/2&lt;=W91,IF(ROUND(AVERAGE($C91,$E91,$G91,$I91,$K91,$M91,$O91,$Q91,$S91,$U91,$W91,$Y91,$AA91,$AC91,$AE91),2)+$B91/2&gt;W91,($G$5/$B$5),0),0))))</f>
        <v/>
      </c>
      <c r="Y91" s="141" t="str">
        <f>IF($Y$8="Habilitado",IF($A91="","",ROUND(VLOOKUP($A91,'Presupuesto Consolidado'!#REF!,6,FALSE),2)),"")</f>
        <v/>
      </c>
      <c r="Z91" s="142" t="str">
        <f t="shared" ref="Z91" si="874">IF($A91="","",IF(Y91="","",IF($K$4="Media aritmética",(Y91&lt;=$B91)*($G$5/$B$5)+(Y91&gt;$B91)*0,IF(ROUND(AVERAGE($C91,$E91,$G91,$I91,$K91,$M91,$O91,$Q91,$S91,$U91,$W91,$Y91,$AA91,$AC91,$AE91),2)-$B91/2&lt;=Y91,IF(ROUND(AVERAGE($C91,$E91,$G91,$I91,$K91,$M91,$O91,$Q91,$S91,$U91,$W91,$Y91,$AA91,$AC91,$AE91),2)+$B91/2&gt;Y91,($G$5/$B$5),0),0))))</f>
        <v/>
      </c>
      <c r="AA91" s="141" t="str">
        <f>IF($AA$8="Habilitado",IF($A91="","",ROUND(VLOOKUP($A91,'Presupuesto Consolidado'!#REF!,6,FALSE),2)),"")</f>
        <v/>
      </c>
      <c r="AB91" s="142" t="str">
        <f t="shared" ref="AB91" si="875">IF($A91="","",IF(AA91="","",IF($K$4="Media aritmética",(AA91&lt;=$B91)*($G$5/$B$5)+(AA91&gt;$B91)*0,IF(ROUND(AVERAGE($C91,$E91,$G91,$I91,$K91,$M91,$O91,$Q91,$S91,$U91,$W91,$Y91,$AA91,$AC91,$AE91),2)-$B91/2&lt;=AA91,IF(ROUND(AVERAGE($C91,$E91,$G91,$I91,$K91,$M91,$O91,$Q91,$S91,$U91,$W91,$Y91,$AA91,$AC91,$AE91),2)+$B91/2&gt;AA91,($G$5/$B$5),0),0))))</f>
        <v/>
      </c>
      <c r="AC91" s="141" t="str">
        <f>IF($AC$8="Habilitado",IF($A91="","",ROUND(VLOOKUP($A91,'Presupuesto Consolidado'!#REF!,6,FALSE),2)),"")</f>
        <v/>
      </c>
      <c r="AD91" s="142" t="str">
        <f t="shared" ref="AD91" si="876">IF($A91="","",IF(AC91="","",IF($K$4="Media aritmética",(AC91&lt;=$B91)*($G$5/$B$5)+(AC91&gt;$B91)*0,IF(ROUND(AVERAGE($C91,$E91,$G91,$I91,$K91,$M91,$O91,$Q91,$S91,$U91,$W91,$Y91,$AA91,$AC91,$AE91),2)-$B91/2&lt;=AC91,IF(ROUND(AVERAGE($C91,$E91,$G91,$I91,$K91,$M91,$O91,$Q91,$S91,$U91,$W91,$Y91,$AA91,$AC91,$AE91),2)+$B91/2&gt;AC91,($G$5/$B$5),0),0))))</f>
        <v/>
      </c>
      <c r="AE91" s="141" t="str">
        <f>IF($AE$8="Habilitado",IF($A91="","",ROUND(VLOOKUP($A91,'Presupuesto Consolidado'!#REF!,6,FALSE),2)),"")</f>
        <v/>
      </c>
      <c r="AF91" s="142" t="str">
        <f t="shared" ref="AF91" si="877">IF($A91="","",IF(AE91="","",IF($K$4="Media aritmética",(AE91&lt;=$B91)*($G$5/$B$5)+(AE91&gt;$B91)*0,IF(ROUND(AVERAGE($C91,$E91,$G91,$I91,$K91,$M91,$O91,$Q91,$S91,$U91,$W91,$Y91,$AA91,$AC91,$AE91),2)-$B91/2&lt;=AE91,IF(ROUND(AVERAGE($C91,$E91,$G91,$I91,$K91,$M91,$O91,$Q91,$S91,$U91,$W91,$Y91,$AA91,$AC91,$AE91),2)+$B91/2&gt;AE91,($G$5/$B$5),0),0))))</f>
        <v/>
      </c>
    </row>
    <row r="92" spans="1:32" s="135" customFormat="1" ht="21" customHeight="1">
      <c r="A92" s="132" t="str">
        <f>+'Presupuesto Consolidado'!A100</f>
        <v>12.1.2</v>
      </c>
      <c r="B92" s="140">
        <f t="shared" ref="B92" si="878">IF(A92="","",IF($K$4="Media aritmética",ROUND(AVERAGE(C92,E92,G92,I92,K92,M92,O92,Q92,S92,U92,W92,Y92,AA92,AC92,AE92),2),ROUND(_xlfn.STDEV.P(C92,E92,G92,I92,K92,M92,O92,Q92,S92,U92,W92,Y92,AA92,AC92,AE92),2)))</f>
        <v>5340600</v>
      </c>
      <c r="C92" s="141">
        <f>IF($C$8="Habilitado",IF($A92="","",ROUND(VLOOKUP($A92,'Presupuesto Consolidado'!$A$9:$F$600,6,FALSE),2)),"")</f>
        <v>5340600</v>
      </c>
      <c r="D92" s="142">
        <f t="shared" ref="D92" si="879">IF($A92="","",IF(C92="","",IF($K$4="Media aritmética",(C92&lt;=$B92)*($G$5/$B$5)+(C92&gt;$B92)*0,IF(ROUND(AVERAGE($C92,$E92,$G92,$I92,$K92,$M92,$O92,$Q92,$S92,$U92,$W92,$Y92,$AA92,$AC92,$AE92),2)-$B92/2&lt;=C92,IF(ROUND(AVERAGE($C92,$E92,$G92,$I92,$K92,$M92,$O92,$Q92,$S92,$U92,$W92,$Y92,$AA92,$AC92,$AE92),2)+$B92/2&gt;C92,($G$5/$B$5),0),0))))</f>
        <v>0.45714285714285713</v>
      </c>
      <c r="E92" s="141" t="str">
        <f>IF($E$8="Habilitado",IF($A92="","",ROUND(VLOOKUP($A92,'Presupuesto Consolidado'!$I$9:$N$600,6,FALSE),2)),"")</f>
        <v/>
      </c>
      <c r="F92" s="142" t="str">
        <f t="shared" ref="F92" si="880">IF($A92="","",IF(E92="","",IF($K$4="Media aritmética",(E92&lt;=$B92)*($G$5/$B$5)+(E92&gt;$B92)*0,IF(ROUND(AVERAGE($C92,$E92,$G92,$I92,$K92,$M92,$O92,$Q92,$S92,$U92,$W92,$Y92,$AA92,$AC92,$AE92),2)-$B92/2&lt;=E92,IF(ROUND(AVERAGE($C92,$E92,$G92,$I92,$K92,$M92,$O92,$Q92,$S92,$U92,$W92,$Y92,$AA92,$AC92,$AE92),2)+$B92/2&gt;E92,($G$5/$B$5),0),0))))</f>
        <v/>
      </c>
      <c r="G92" s="141" t="str">
        <f>IF($G$8="Habilitado",IF($A92="","",ROUND(VLOOKUP($A92,'Presupuesto Consolidado'!$Q$9:$V$600,6,FALSE),2)),"")</f>
        <v/>
      </c>
      <c r="H92" s="142" t="str">
        <f t="shared" ref="H92" si="881">IF($A92="","",IF(G92="","",IF($K$4="Media aritmética",(G92&lt;=$B92)*($G$5/$B$5)+(G92&gt;$B92)*0,IF(ROUND(AVERAGE($C92,$E92,$G92,$I92,$K92,$M92,$O92,$Q92,$S92,$U92,$W92,$Y92,$AA92,$AC92,$AE92),2)-$B92/2&lt;=G92,IF(ROUND(AVERAGE($C92,$E92,$G92,$I92,$K92,$M92,$O92,$Q92,$S92,$U92,$W92,$Y92,$AA92,$AC92,$AE92),2)+$B92/2&gt;G92,($G$5/$B$5),0),0))))</f>
        <v/>
      </c>
      <c r="I92" s="141" t="str">
        <f>IF($I$8="Habilitado",IF($A92="","",ROUND(VLOOKUP($A92,'Presupuesto Consolidado'!$Y$9:$AD$600,6,FALSE),2)),"")</f>
        <v/>
      </c>
      <c r="J92" s="142" t="str">
        <f t="shared" ref="J92" si="882">IF($A92="","",IF(I92="","",IF($K$4="Media aritmética",(I92&lt;=$B92)*($G$5/$B$5)+(I92&gt;$B92)*0,IF(ROUND(AVERAGE($C92,$E92,$G92,$I92,$K92,$M92,$O92,$Q92,$S92,$U92,$W92,$Y92,$AA92,$AC92,$AE92),2)-$B92/2&lt;=I92,IF(ROUND(AVERAGE($C92,$E92,$G92,$I92,$K92,$M92,$O92,$Q92,$S92,$U92,$W92,$Y92,$AA92,$AC92,$AE92),2)+$B92/2&gt;I92,($G$5/$B$5),0),0))))</f>
        <v/>
      </c>
      <c r="K92" s="141" t="str">
        <f>IF($K$8="Habilitado",IF($A92="","",ROUND(VLOOKUP($A92,'Presupuesto Consolidado'!#REF!,6,FALSE),2)),"")</f>
        <v/>
      </c>
      <c r="L92" s="142" t="str">
        <f t="shared" ref="L92" si="883">IF($A92="","",IF(K92="","",IF($K$4="Media aritmética",(K92&lt;=$B92)*($G$5/$B$5)+(K92&gt;$B92)*0,IF(ROUND(AVERAGE($C92,$E92,$G92,$I92,$K92,$M92,$O92,$Q92,$S92,$U92,$W92,$Y92,$AA92,$AC92,$AE92),2)-$B92/2&lt;=K92,IF(ROUND(AVERAGE($C92,$E92,$G92,$I92,$K92,$M92,$O92,$Q92,$S92,$U92,$W92,$Y92,$AA92,$AC92,$AE92),2)+$B92/2&gt;K92,($G$5/$B$5),0),0))))</f>
        <v/>
      </c>
      <c r="M92" s="141" t="str">
        <f>IF($M$8="Habilitado",IF($A92="","",ROUND(VLOOKUP($A92,'Presupuesto Consolidado'!#REF!,6,FALSE),2)),"")</f>
        <v/>
      </c>
      <c r="N92" s="142" t="str">
        <f t="shared" ref="N92" si="884">IF($A92="","",IF(M92="","",IF($K$4="Media aritmética",(M92&lt;=$B92)*($G$5/$B$5)+(M92&gt;$B92)*0,IF(ROUND(AVERAGE($C92,$E92,$G92,$I92,$K92,$M92,$O92,$Q92,$S92,$U92,$W92,$Y92,$AA92,$AC92,$AE92),2)-$B92/2&lt;=M92,IF(ROUND(AVERAGE($C92,$E92,$G92,$I92,$K92,$M92,$O92,$Q92,$S92,$U92,$W92,$Y92,$AA92,$AC92,$AE92),2)+$B92/2&gt;M92,($G$5/$B$5),0),0))))</f>
        <v/>
      </c>
      <c r="O92" s="141" t="str">
        <f>IF($O$8="Habilitado",IF($A92="","",ROUND(VLOOKUP($A92,'Presupuesto Consolidado'!#REF!,6,FALSE),2)),"")</f>
        <v/>
      </c>
      <c r="P92" s="142" t="str">
        <f t="shared" ref="P92" si="885">IF($A92="","",IF(O92="","",IF($K$4="Media aritmética",(O92&lt;=$B92)*($G$5/$B$5)+(O92&gt;$B92)*0,IF(ROUND(AVERAGE($C92,$E92,$G92,$I92,$K92,$M92,$O92,$Q92,$S92,$U92,$W92,$Y92,$AA92,$AC92,$AE92),2)-$B92/2&lt;=O92,IF(ROUND(AVERAGE($C92,$E92,$G92,$I92,$K92,$M92,$O92,$Q92,$S92,$U92,$W92,$Y92,$AA92,$AC92,$AE92),2)+$B92/2&gt;O92,($G$5/$B$5),0),0))))</f>
        <v/>
      </c>
      <c r="Q92" s="141" t="str">
        <f>IF($Q$8="Habilitado",IF($A92="","",ROUND(VLOOKUP($A92,'Presupuesto Consolidado'!#REF!,6,FALSE),2)),"")</f>
        <v/>
      </c>
      <c r="R92" s="142" t="str">
        <f t="shared" ref="R92" si="886">IF($A92="","",IF(Q92="","",IF($K$4="Media aritmética",(Q92&lt;=$B92)*($G$5/$B$5)+(Q92&gt;$B92)*0,IF(ROUND(AVERAGE($C92,$E92,$G92,$I92,$K92,$M92,$O92,$Q92,$S92,$U92,$W92,$Y92,$AA92,$AC92,$AE92),2)-$B92/2&lt;=Q92,IF(ROUND(AVERAGE($C92,$E92,$G92,$I92,$K92,$M92,$O92,$Q92,$S92,$U92,$W92,$Y92,$AA92,$AC92,$AE92),2)+$B92/2&gt;Q92,($G$5/$B$5),0),0))))</f>
        <v/>
      </c>
      <c r="S92" s="141" t="str">
        <f>IF($S$8="Habilitado",IF($A92="","",ROUND(VLOOKUP($A92,'Presupuesto Consolidado'!#REF!,6,FALSE),2)),"")</f>
        <v/>
      </c>
      <c r="T92" s="142" t="str">
        <f t="shared" ref="T92" si="887">IF($A92="","",IF(S92="","",IF($K$4="Media aritmética",(S92&lt;=$B92)*($G$5/$B$5)+(S92&gt;$B92)*0,IF(ROUND(AVERAGE($C92,$E92,$G92,$I92,$K92,$M92,$O92,$Q92,$S92,$U92,$W92,$Y92,$AA92,$AC92,$AE92),2)-$B92/2&lt;=S92,IF(ROUND(AVERAGE($C92,$E92,$G92,$I92,$K92,$M92,$O92,$Q92,$S92,$U92,$W92,$Y92,$AA92,$AC92,$AE92),2)+$B92/2&gt;S92,($G$5/$B$5),0),0))))</f>
        <v/>
      </c>
      <c r="U92" s="141" t="str">
        <f>IF($U$8="Habilitado",IF($A92="","",ROUND(VLOOKUP($A92,'Presupuesto Consolidado'!#REF!,6,FALSE),2)),"")</f>
        <v/>
      </c>
      <c r="V92" s="142" t="str">
        <f t="shared" ref="V92" si="888">IF($A92="","",IF(U92="","",IF($K$4="Media aritmética",(U92&lt;=$B92)*($G$5/$B$5)+(U92&gt;$B92)*0,IF(ROUND(AVERAGE($C92,$E92,$G92,$I92,$K92,$M92,$O92,$Q92,$S92,$U92,$W92,$Y92,$AA92,$AC92,$AE92),2)-$B92/2&lt;=U92,IF(ROUND(AVERAGE($C92,$E92,$G92,$I92,$K92,$M92,$O92,$Q92,$S92,$U92,$W92,$Y92,$AA92,$AC92,$AE92),2)+$B92/2&gt;U92,($G$5/$B$5),0),0))))</f>
        <v/>
      </c>
      <c r="W92" s="141" t="str">
        <f>IF($W$8="Habilitado",IF($A92="","",ROUND(VLOOKUP($A92,'Presupuesto Consolidado'!#REF!,6,FALSE),2)),"")</f>
        <v/>
      </c>
      <c r="X92" s="142" t="str">
        <f t="shared" ref="X92" si="889">IF($A92="","",IF(W92="","",IF($K$4="Media aritmética",(W92&lt;=$B92)*($G$5/$B$5)+(W92&gt;$B92)*0,IF(ROUND(AVERAGE($C92,$E92,$G92,$I92,$K92,$M92,$O92,$Q92,$S92,$U92,$W92,$Y92,$AA92,$AC92,$AE92),2)-$B92/2&lt;=W92,IF(ROUND(AVERAGE($C92,$E92,$G92,$I92,$K92,$M92,$O92,$Q92,$S92,$U92,$W92,$Y92,$AA92,$AC92,$AE92),2)+$B92/2&gt;W92,($G$5/$B$5),0),0))))</f>
        <v/>
      </c>
      <c r="Y92" s="141" t="str">
        <f>IF($Y$8="Habilitado",IF($A92="","",ROUND(VLOOKUP($A92,'Presupuesto Consolidado'!#REF!,6,FALSE),2)),"")</f>
        <v/>
      </c>
      <c r="Z92" s="142" t="str">
        <f t="shared" ref="Z92" si="890">IF($A92="","",IF(Y92="","",IF($K$4="Media aritmética",(Y92&lt;=$B92)*($G$5/$B$5)+(Y92&gt;$B92)*0,IF(ROUND(AVERAGE($C92,$E92,$G92,$I92,$K92,$M92,$O92,$Q92,$S92,$U92,$W92,$Y92,$AA92,$AC92,$AE92),2)-$B92/2&lt;=Y92,IF(ROUND(AVERAGE($C92,$E92,$G92,$I92,$K92,$M92,$O92,$Q92,$S92,$U92,$W92,$Y92,$AA92,$AC92,$AE92),2)+$B92/2&gt;Y92,($G$5/$B$5),0),0))))</f>
        <v/>
      </c>
      <c r="AA92" s="141" t="str">
        <f>IF($AA$8="Habilitado",IF($A92="","",ROUND(VLOOKUP($A92,'Presupuesto Consolidado'!#REF!,6,FALSE),2)),"")</f>
        <v/>
      </c>
      <c r="AB92" s="142" t="str">
        <f t="shared" ref="AB92" si="891">IF($A92="","",IF(AA92="","",IF($K$4="Media aritmética",(AA92&lt;=$B92)*($G$5/$B$5)+(AA92&gt;$B92)*0,IF(ROUND(AVERAGE($C92,$E92,$G92,$I92,$K92,$M92,$O92,$Q92,$S92,$U92,$W92,$Y92,$AA92,$AC92,$AE92),2)-$B92/2&lt;=AA92,IF(ROUND(AVERAGE($C92,$E92,$G92,$I92,$K92,$M92,$O92,$Q92,$S92,$U92,$W92,$Y92,$AA92,$AC92,$AE92),2)+$B92/2&gt;AA92,($G$5/$B$5),0),0))))</f>
        <v/>
      </c>
      <c r="AC92" s="141" t="str">
        <f>IF($AC$8="Habilitado",IF($A92="","",ROUND(VLOOKUP($A92,'Presupuesto Consolidado'!#REF!,6,FALSE),2)),"")</f>
        <v/>
      </c>
      <c r="AD92" s="142" t="str">
        <f t="shared" ref="AD92" si="892">IF($A92="","",IF(AC92="","",IF($K$4="Media aritmética",(AC92&lt;=$B92)*($G$5/$B$5)+(AC92&gt;$B92)*0,IF(ROUND(AVERAGE($C92,$E92,$G92,$I92,$K92,$M92,$O92,$Q92,$S92,$U92,$W92,$Y92,$AA92,$AC92,$AE92),2)-$B92/2&lt;=AC92,IF(ROUND(AVERAGE($C92,$E92,$G92,$I92,$K92,$M92,$O92,$Q92,$S92,$U92,$W92,$Y92,$AA92,$AC92,$AE92),2)+$B92/2&gt;AC92,($G$5/$B$5),0),0))))</f>
        <v/>
      </c>
      <c r="AE92" s="141" t="str">
        <f>IF($AE$8="Habilitado",IF($A92="","",ROUND(VLOOKUP($A92,'Presupuesto Consolidado'!#REF!,6,FALSE),2)),"")</f>
        <v/>
      </c>
      <c r="AF92" s="142" t="str">
        <f t="shared" ref="AF92" si="893">IF($A92="","",IF(AE92="","",IF($K$4="Media aritmética",(AE92&lt;=$B92)*($G$5/$B$5)+(AE92&gt;$B92)*0,IF(ROUND(AVERAGE($C92,$E92,$G92,$I92,$K92,$M92,$O92,$Q92,$S92,$U92,$W92,$Y92,$AA92,$AC92,$AE92),2)-$B92/2&lt;=AE92,IF(ROUND(AVERAGE($C92,$E92,$G92,$I92,$K92,$M92,$O92,$Q92,$S92,$U92,$W92,$Y92,$AA92,$AC92,$AE92),2)+$B92/2&gt;AE92,($G$5/$B$5),0),0))))</f>
        <v/>
      </c>
    </row>
    <row r="93" spans="1:32" s="135" customFormat="1" ht="21" customHeight="1">
      <c r="A93" s="132" t="str">
        <f>+'Presupuesto Consolidado'!A102</f>
        <v>12.2.1</v>
      </c>
      <c r="B93" s="140">
        <f t="shared" ref="B93" si="894">IF(A93="","",IF($K$4="Media aritmética",ROUND(AVERAGE(C93,E93,G93,I93,K93,M93,O93,Q93,S93,U93,W93,Y93,AA93,AC93,AE93),2),ROUND(_xlfn.STDEV.P(C93,E93,G93,I93,K93,M93,O93,Q93,S93,U93,W93,Y93,AA93,AC93,AE93),2)))</f>
        <v>3105000</v>
      </c>
      <c r="C93" s="141">
        <f>IF($C$8="Habilitado",IF($A93="","",ROUND(VLOOKUP($A93,'Presupuesto Consolidado'!$A$9:$F$600,6,FALSE),2)),"")</f>
        <v>3105000</v>
      </c>
      <c r="D93" s="142">
        <f t="shared" ref="D93" si="895">IF($A93="","",IF(C93="","",IF($K$4="Media aritmética",(C93&lt;=$B93)*($G$5/$B$5)+(C93&gt;$B93)*0,IF(ROUND(AVERAGE($C93,$E93,$G93,$I93,$K93,$M93,$O93,$Q93,$S93,$U93,$W93,$Y93,$AA93,$AC93,$AE93),2)-$B93/2&lt;=C93,IF(ROUND(AVERAGE($C93,$E93,$G93,$I93,$K93,$M93,$O93,$Q93,$S93,$U93,$W93,$Y93,$AA93,$AC93,$AE93),2)+$B93/2&gt;C93,($G$5/$B$5),0),0))))</f>
        <v>0.45714285714285713</v>
      </c>
      <c r="E93" s="141" t="str">
        <f>IF($E$8="Habilitado",IF($A93="","",ROUND(VLOOKUP($A93,'Presupuesto Consolidado'!$I$9:$N$600,6,FALSE),2)),"")</f>
        <v/>
      </c>
      <c r="F93" s="142" t="str">
        <f t="shared" ref="F93" si="896">IF($A93="","",IF(E93="","",IF($K$4="Media aritmética",(E93&lt;=$B93)*($G$5/$B$5)+(E93&gt;$B93)*0,IF(ROUND(AVERAGE($C93,$E93,$G93,$I93,$K93,$M93,$O93,$Q93,$S93,$U93,$W93,$Y93,$AA93,$AC93,$AE93),2)-$B93/2&lt;=E93,IF(ROUND(AVERAGE($C93,$E93,$G93,$I93,$K93,$M93,$O93,$Q93,$S93,$U93,$W93,$Y93,$AA93,$AC93,$AE93),2)+$B93/2&gt;E93,($G$5/$B$5),0),0))))</f>
        <v/>
      </c>
      <c r="G93" s="141" t="str">
        <f>IF($G$8="Habilitado",IF($A93="","",ROUND(VLOOKUP($A93,'Presupuesto Consolidado'!$Q$9:$V$600,6,FALSE),2)),"")</f>
        <v/>
      </c>
      <c r="H93" s="142" t="str">
        <f t="shared" ref="H93" si="897">IF($A93="","",IF(G93="","",IF($K$4="Media aritmética",(G93&lt;=$B93)*($G$5/$B$5)+(G93&gt;$B93)*0,IF(ROUND(AVERAGE($C93,$E93,$G93,$I93,$K93,$M93,$O93,$Q93,$S93,$U93,$W93,$Y93,$AA93,$AC93,$AE93),2)-$B93/2&lt;=G93,IF(ROUND(AVERAGE($C93,$E93,$G93,$I93,$K93,$M93,$O93,$Q93,$S93,$U93,$W93,$Y93,$AA93,$AC93,$AE93),2)+$B93/2&gt;G93,($G$5/$B$5),0),0))))</f>
        <v/>
      </c>
      <c r="I93" s="141" t="str">
        <f>IF($I$8="Habilitado",IF($A93="","",ROUND(VLOOKUP($A93,'Presupuesto Consolidado'!$Y$9:$AD$600,6,FALSE),2)),"")</f>
        <v/>
      </c>
      <c r="J93" s="142" t="str">
        <f t="shared" ref="J93" si="898">IF($A93="","",IF(I93="","",IF($K$4="Media aritmética",(I93&lt;=$B93)*($G$5/$B$5)+(I93&gt;$B93)*0,IF(ROUND(AVERAGE($C93,$E93,$G93,$I93,$K93,$M93,$O93,$Q93,$S93,$U93,$W93,$Y93,$AA93,$AC93,$AE93),2)-$B93/2&lt;=I93,IF(ROUND(AVERAGE($C93,$E93,$G93,$I93,$K93,$M93,$O93,$Q93,$S93,$U93,$W93,$Y93,$AA93,$AC93,$AE93),2)+$B93/2&gt;I93,($G$5/$B$5),0),0))))</f>
        <v/>
      </c>
      <c r="K93" s="141" t="str">
        <f>IF($K$8="Habilitado",IF($A93="","",ROUND(VLOOKUP($A93,'Presupuesto Consolidado'!#REF!,6,FALSE),2)),"")</f>
        <v/>
      </c>
      <c r="L93" s="142" t="str">
        <f t="shared" ref="L93" si="899">IF($A93="","",IF(K93="","",IF($K$4="Media aritmética",(K93&lt;=$B93)*($G$5/$B$5)+(K93&gt;$B93)*0,IF(ROUND(AVERAGE($C93,$E93,$G93,$I93,$K93,$M93,$O93,$Q93,$S93,$U93,$W93,$Y93,$AA93,$AC93,$AE93),2)-$B93/2&lt;=K93,IF(ROUND(AVERAGE($C93,$E93,$G93,$I93,$K93,$M93,$O93,$Q93,$S93,$U93,$W93,$Y93,$AA93,$AC93,$AE93),2)+$B93/2&gt;K93,($G$5/$B$5),0),0))))</f>
        <v/>
      </c>
      <c r="M93" s="141" t="str">
        <f>IF($M$8="Habilitado",IF($A93="","",ROUND(VLOOKUP($A93,'Presupuesto Consolidado'!#REF!,6,FALSE),2)),"")</f>
        <v/>
      </c>
      <c r="N93" s="142" t="str">
        <f t="shared" ref="N93" si="900">IF($A93="","",IF(M93="","",IF($K$4="Media aritmética",(M93&lt;=$B93)*($G$5/$B$5)+(M93&gt;$B93)*0,IF(ROUND(AVERAGE($C93,$E93,$G93,$I93,$K93,$M93,$O93,$Q93,$S93,$U93,$W93,$Y93,$AA93,$AC93,$AE93),2)-$B93/2&lt;=M93,IF(ROUND(AVERAGE($C93,$E93,$G93,$I93,$K93,$M93,$O93,$Q93,$S93,$U93,$W93,$Y93,$AA93,$AC93,$AE93),2)+$B93/2&gt;M93,($G$5/$B$5),0),0))))</f>
        <v/>
      </c>
      <c r="O93" s="141" t="str">
        <f>IF($O$8="Habilitado",IF($A93="","",ROUND(VLOOKUP($A93,'Presupuesto Consolidado'!#REF!,6,FALSE),2)),"")</f>
        <v/>
      </c>
      <c r="P93" s="142" t="str">
        <f t="shared" ref="P93" si="901">IF($A93="","",IF(O93="","",IF($K$4="Media aritmética",(O93&lt;=$B93)*($G$5/$B$5)+(O93&gt;$B93)*0,IF(ROUND(AVERAGE($C93,$E93,$G93,$I93,$K93,$M93,$O93,$Q93,$S93,$U93,$W93,$Y93,$AA93,$AC93,$AE93),2)-$B93/2&lt;=O93,IF(ROUND(AVERAGE($C93,$E93,$G93,$I93,$K93,$M93,$O93,$Q93,$S93,$U93,$W93,$Y93,$AA93,$AC93,$AE93),2)+$B93/2&gt;O93,($G$5/$B$5),0),0))))</f>
        <v/>
      </c>
      <c r="Q93" s="141" t="str">
        <f>IF($Q$8="Habilitado",IF($A93="","",ROUND(VLOOKUP($A93,'Presupuesto Consolidado'!#REF!,6,FALSE),2)),"")</f>
        <v/>
      </c>
      <c r="R93" s="142" t="str">
        <f t="shared" ref="R93" si="902">IF($A93="","",IF(Q93="","",IF($K$4="Media aritmética",(Q93&lt;=$B93)*($G$5/$B$5)+(Q93&gt;$B93)*0,IF(ROUND(AVERAGE($C93,$E93,$G93,$I93,$K93,$M93,$O93,$Q93,$S93,$U93,$W93,$Y93,$AA93,$AC93,$AE93),2)-$B93/2&lt;=Q93,IF(ROUND(AVERAGE($C93,$E93,$G93,$I93,$K93,$M93,$O93,$Q93,$S93,$U93,$W93,$Y93,$AA93,$AC93,$AE93),2)+$B93/2&gt;Q93,($G$5/$B$5),0),0))))</f>
        <v/>
      </c>
      <c r="S93" s="141" t="str">
        <f>IF($S$8="Habilitado",IF($A93="","",ROUND(VLOOKUP($A93,'Presupuesto Consolidado'!#REF!,6,FALSE),2)),"")</f>
        <v/>
      </c>
      <c r="T93" s="142" t="str">
        <f t="shared" ref="T93" si="903">IF($A93="","",IF(S93="","",IF($K$4="Media aritmética",(S93&lt;=$B93)*($G$5/$B$5)+(S93&gt;$B93)*0,IF(ROUND(AVERAGE($C93,$E93,$G93,$I93,$K93,$M93,$O93,$Q93,$S93,$U93,$W93,$Y93,$AA93,$AC93,$AE93),2)-$B93/2&lt;=S93,IF(ROUND(AVERAGE($C93,$E93,$G93,$I93,$K93,$M93,$O93,$Q93,$S93,$U93,$W93,$Y93,$AA93,$AC93,$AE93),2)+$B93/2&gt;S93,($G$5/$B$5),0),0))))</f>
        <v/>
      </c>
      <c r="U93" s="141" t="str">
        <f>IF($U$8="Habilitado",IF($A93="","",ROUND(VLOOKUP($A93,'Presupuesto Consolidado'!#REF!,6,FALSE),2)),"")</f>
        <v/>
      </c>
      <c r="V93" s="142" t="str">
        <f t="shared" ref="V93" si="904">IF($A93="","",IF(U93="","",IF($K$4="Media aritmética",(U93&lt;=$B93)*($G$5/$B$5)+(U93&gt;$B93)*0,IF(ROUND(AVERAGE($C93,$E93,$G93,$I93,$K93,$M93,$O93,$Q93,$S93,$U93,$W93,$Y93,$AA93,$AC93,$AE93),2)-$B93/2&lt;=U93,IF(ROUND(AVERAGE($C93,$E93,$G93,$I93,$K93,$M93,$O93,$Q93,$S93,$U93,$W93,$Y93,$AA93,$AC93,$AE93),2)+$B93/2&gt;U93,($G$5/$B$5),0),0))))</f>
        <v/>
      </c>
      <c r="W93" s="141" t="str">
        <f>IF($W$8="Habilitado",IF($A93="","",ROUND(VLOOKUP($A93,'Presupuesto Consolidado'!#REF!,6,FALSE),2)),"")</f>
        <v/>
      </c>
      <c r="X93" s="142" t="str">
        <f t="shared" ref="X93" si="905">IF($A93="","",IF(W93="","",IF($K$4="Media aritmética",(W93&lt;=$B93)*($G$5/$B$5)+(W93&gt;$B93)*0,IF(ROUND(AVERAGE($C93,$E93,$G93,$I93,$K93,$M93,$O93,$Q93,$S93,$U93,$W93,$Y93,$AA93,$AC93,$AE93),2)-$B93/2&lt;=W93,IF(ROUND(AVERAGE($C93,$E93,$G93,$I93,$K93,$M93,$O93,$Q93,$S93,$U93,$W93,$Y93,$AA93,$AC93,$AE93),2)+$B93/2&gt;W93,($G$5/$B$5),0),0))))</f>
        <v/>
      </c>
      <c r="Y93" s="141" t="str">
        <f>IF($Y$8="Habilitado",IF($A93="","",ROUND(VLOOKUP($A93,'Presupuesto Consolidado'!#REF!,6,FALSE),2)),"")</f>
        <v/>
      </c>
      <c r="Z93" s="142" t="str">
        <f t="shared" ref="Z93" si="906">IF($A93="","",IF(Y93="","",IF($K$4="Media aritmética",(Y93&lt;=$B93)*($G$5/$B$5)+(Y93&gt;$B93)*0,IF(ROUND(AVERAGE($C93,$E93,$G93,$I93,$K93,$M93,$O93,$Q93,$S93,$U93,$W93,$Y93,$AA93,$AC93,$AE93),2)-$B93/2&lt;=Y93,IF(ROUND(AVERAGE($C93,$E93,$G93,$I93,$K93,$M93,$O93,$Q93,$S93,$U93,$W93,$Y93,$AA93,$AC93,$AE93),2)+$B93/2&gt;Y93,($G$5/$B$5),0),0))))</f>
        <v/>
      </c>
      <c r="AA93" s="141" t="str">
        <f>IF($AA$8="Habilitado",IF($A93="","",ROUND(VLOOKUP($A93,'Presupuesto Consolidado'!#REF!,6,FALSE),2)),"")</f>
        <v/>
      </c>
      <c r="AB93" s="142" t="str">
        <f t="shared" ref="AB93" si="907">IF($A93="","",IF(AA93="","",IF($K$4="Media aritmética",(AA93&lt;=$B93)*($G$5/$B$5)+(AA93&gt;$B93)*0,IF(ROUND(AVERAGE($C93,$E93,$G93,$I93,$K93,$M93,$O93,$Q93,$S93,$U93,$W93,$Y93,$AA93,$AC93,$AE93),2)-$B93/2&lt;=AA93,IF(ROUND(AVERAGE($C93,$E93,$G93,$I93,$K93,$M93,$O93,$Q93,$S93,$U93,$W93,$Y93,$AA93,$AC93,$AE93),2)+$B93/2&gt;AA93,($G$5/$B$5),0),0))))</f>
        <v/>
      </c>
      <c r="AC93" s="141" t="str">
        <f>IF($AC$8="Habilitado",IF($A93="","",ROUND(VLOOKUP($A93,'Presupuesto Consolidado'!#REF!,6,FALSE),2)),"")</f>
        <v/>
      </c>
      <c r="AD93" s="142" t="str">
        <f t="shared" ref="AD93" si="908">IF($A93="","",IF(AC93="","",IF($K$4="Media aritmética",(AC93&lt;=$B93)*($G$5/$B$5)+(AC93&gt;$B93)*0,IF(ROUND(AVERAGE($C93,$E93,$G93,$I93,$K93,$M93,$O93,$Q93,$S93,$U93,$W93,$Y93,$AA93,$AC93,$AE93),2)-$B93/2&lt;=AC93,IF(ROUND(AVERAGE($C93,$E93,$G93,$I93,$K93,$M93,$O93,$Q93,$S93,$U93,$W93,$Y93,$AA93,$AC93,$AE93),2)+$B93/2&gt;AC93,($G$5/$B$5),0),0))))</f>
        <v/>
      </c>
      <c r="AE93" s="141" t="str">
        <f>IF($AE$8="Habilitado",IF($A93="","",ROUND(VLOOKUP($A93,'Presupuesto Consolidado'!#REF!,6,FALSE),2)),"")</f>
        <v/>
      </c>
      <c r="AF93" s="142" t="str">
        <f t="shared" ref="AF93" si="909">IF($A93="","",IF(AE93="","",IF($K$4="Media aritmética",(AE93&lt;=$B93)*($G$5/$B$5)+(AE93&gt;$B93)*0,IF(ROUND(AVERAGE($C93,$E93,$G93,$I93,$K93,$M93,$O93,$Q93,$S93,$U93,$W93,$Y93,$AA93,$AC93,$AE93),2)-$B93/2&lt;=AE93,IF(ROUND(AVERAGE($C93,$E93,$G93,$I93,$K93,$M93,$O93,$Q93,$S93,$U93,$W93,$Y93,$AA93,$AC93,$AE93),2)+$B93/2&gt;AE93,($G$5/$B$5),0),0))))</f>
        <v/>
      </c>
    </row>
    <row r="94" spans="1:32" s="135" customFormat="1" ht="21" customHeight="1">
      <c r="A94" s="132" t="str">
        <f>+'Presupuesto Consolidado'!A105</f>
        <v>12.3.1</v>
      </c>
      <c r="B94" s="140">
        <f t="shared" ref="B94" si="910">IF(A94="","",IF($K$4="Media aritmética",ROUND(AVERAGE(C94,E94,G94,I94,K94,M94,O94,Q94,S94,U94,W94,Y94,AA94,AC94,AE94),2),ROUND(_xlfn.STDEV.P(C94,E94,G94,I94,K94,M94,O94,Q94,S94,U94,W94,Y94,AA94,AC94,AE94),2)))</f>
        <v>3839850</v>
      </c>
      <c r="C94" s="141">
        <f>IF($C$8="Habilitado",IF($A94="","",ROUND(VLOOKUP($A94,'Presupuesto Consolidado'!$A$9:$F$600,6,FALSE),2)),"")</f>
        <v>3839850</v>
      </c>
      <c r="D94" s="142">
        <f t="shared" ref="D94" si="911">IF($A94="","",IF(C94="","",IF($K$4="Media aritmética",(C94&lt;=$B94)*($G$5/$B$5)+(C94&gt;$B94)*0,IF(ROUND(AVERAGE($C94,$E94,$G94,$I94,$K94,$M94,$O94,$Q94,$S94,$U94,$W94,$Y94,$AA94,$AC94,$AE94),2)-$B94/2&lt;=C94,IF(ROUND(AVERAGE($C94,$E94,$G94,$I94,$K94,$M94,$O94,$Q94,$S94,$U94,$W94,$Y94,$AA94,$AC94,$AE94),2)+$B94/2&gt;C94,($G$5/$B$5),0),0))))</f>
        <v>0.45714285714285713</v>
      </c>
      <c r="E94" s="141" t="str">
        <f>IF($E$8="Habilitado",IF($A94="","",ROUND(VLOOKUP($A94,'Presupuesto Consolidado'!$I$9:$N$600,6,FALSE),2)),"")</f>
        <v/>
      </c>
      <c r="F94" s="142" t="str">
        <f t="shared" ref="F94" si="912">IF($A94="","",IF(E94="","",IF($K$4="Media aritmética",(E94&lt;=$B94)*($G$5/$B$5)+(E94&gt;$B94)*0,IF(ROUND(AVERAGE($C94,$E94,$G94,$I94,$K94,$M94,$O94,$Q94,$S94,$U94,$W94,$Y94,$AA94,$AC94,$AE94),2)-$B94/2&lt;=E94,IF(ROUND(AVERAGE($C94,$E94,$G94,$I94,$K94,$M94,$O94,$Q94,$S94,$U94,$W94,$Y94,$AA94,$AC94,$AE94),2)+$B94/2&gt;E94,($G$5/$B$5),0),0))))</f>
        <v/>
      </c>
      <c r="G94" s="141" t="str">
        <f>IF($G$8="Habilitado",IF($A94="","",ROUND(VLOOKUP($A94,'Presupuesto Consolidado'!$Q$9:$V$600,6,FALSE),2)),"")</f>
        <v/>
      </c>
      <c r="H94" s="142" t="str">
        <f t="shared" ref="H94" si="913">IF($A94="","",IF(G94="","",IF($K$4="Media aritmética",(G94&lt;=$B94)*($G$5/$B$5)+(G94&gt;$B94)*0,IF(ROUND(AVERAGE($C94,$E94,$G94,$I94,$K94,$M94,$O94,$Q94,$S94,$U94,$W94,$Y94,$AA94,$AC94,$AE94),2)-$B94/2&lt;=G94,IF(ROUND(AVERAGE($C94,$E94,$G94,$I94,$K94,$M94,$O94,$Q94,$S94,$U94,$W94,$Y94,$AA94,$AC94,$AE94),2)+$B94/2&gt;G94,($G$5/$B$5),0),0))))</f>
        <v/>
      </c>
      <c r="I94" s="141" t="str">
        <f>IF($I$8="Habilitado",IF($A94="","",ROUND(VLOOKUP($A94,'Presupuesto Consolidado'!$Y$9:$AD$600,6,FALSE),2)),"")</f>
        <v/>
      </c>
      <c r="J94" s="142" t="str">
        <f t="shared" ref="J94" si="914">IF($A94="","",IF(I94="","",IF($K$4="Media aritmética",(I94&lt;=$B94)*($G$5/$B$5)+(I94&gt;$B94)*0,IF(ROUND(AVERAGE($C94,$E94,$G94,$I94,$K94,$M94,$O94,$Q94,$S94,$U94,$W94,$Y94,$AA94,$AC94,$AE94),2)-$B94/2&lt;=I94,IF(ROUND(AVERAGE($C94,$E94,$G94,$I94,$K94,$M94,$O94,$Q94,$S94,$U94,$W94,$Y94,$AA94,$AC94,$AE94),2)+$B94/2&gt;I94,($G$5/$B$5),0),0))))</f>
        <v/>
      </c>
      <c r="K94" s="141" t="str">
        <f>IF($K$8="Habilitado",IF($A94="","",ROUND(VLOOKUP($A94,'Presupuesto Consolidado'!#REF!,6,FALSE),2)),"")</f>
        <v/>
      </c>
      <c r="L94" s="142" t="str">
        <f t="shared" ref="L94" si="915">IF($A94="","",IF(K94="","",IF($K$4="Media aritmética",(K94&lt;=$B94)*($G$5/$B$5)+(K94&gt;$B94)*0,IF(ROUND(AVERAGE($C94,$E94,$G94,$I94,$K94,$M94,$O94,$Q94,$S94,$U94,$W94,$Y94,$AA94,$AC94,$AE94),2)-$B94/2&lt;=K94,IF(ROUND(AVERAGE($C94,$E94,$G94,$I94,$K94,$M94,$O94,$Q94,$S94,$U94,$W94,$Y94,$AA94,$AC94,$AE94),2)+$B94/2&gt;K94,($G$5/$B$5),0),0))))</f>
        <v/>
      </c>
      <c r="M94" s="141" t="str">
        <f>IF($M$8="Habilitado",IF($A94="","",ROUND(VLOOKUP($A94,'Presupuesto Consolidado'!#REF!,6,FALSE),2)),"")</f>
        <v/>
      </c>
      <c r="N94" s="142" t="str">
        <f t="shared" ref="N94" si="916">IF($A94="","",IF(M94="","",IF($K$4="Media aritmética",(M94&lt;=$B94)*($G$5/$B$5)+(M94&gt;$B94)*0,IF(ROUND(AVERAGE($C94,$E94,$G94,$I94,$K94,$M94,$O94,$Q94,$S94,$U94,$W94,$Y94,$AA94,$AC94,$AE94),2)-$B94/2&lt;=M94,IF(ROUND(AVERAGE($C94,$E94,$G94,$I94,$K94,$M94,$O94,$Q94,$S94,$U94,$W94,$Y94,$AA94,$AC94,$AE94),2)+$B94/2&gt;M94,($G$5/$B$5),0),0))))</f>
        <v/>
      </c>
      <c r="O94" s="141" t="str">
        <f>IF($O$8="Habilitado",IF($A94="","",ROUND(VLOOKUP($A94,'Presupuesto Consolidado'!#REF!,6,FALSE),2)),"")</f>
        <v/>
      </c>
      <c r="P94" s="142" t="str">
        <f t="shared" ref="P94" si="917">IF($A94="","",IF(O94="","",IF($K$4="Media aritmética",(O94&lt;=$B94)*($G$5/$B$5)+(O94&gt;$B94)*0,IF(ROUND(AVERAGE($C94,$E94,$G94,$I94,$K94,$M94,$O94,$Q94,$S94,$U94,$W94,$Y94,$AA94,$AC94,$AE94),2)-$B94/2&lt;=O94,IF(ROUND(AVERAGE($C94,$E94,$G94,$I94,$K94,$M94,$O94,$Q94,$S94,$U94,$W94,$Y94,$AA94,$AC94,$AE94),2)+$B94/2&gt;O94,($G$5/$B$5),0),0))))</f>
        <v/>
      </c>
      <c r="Q94" s="141" t="str">
        <f>IF($Q$8="Habilitado",IF($A94="","",ROUND(VLOOKUP($A94,'Presupuesto Consolidado'!#REF!,6,FALSE),2)),"")</f>
        <v/>
      </c>
      <c r="R94" s="142" t="str">
        <f t="shared" ref="R94" si="918">IF($A94="","",IF(Q94="","",IF($K$4="Media aritmética",(Q94&lt;=$B94)*($G$5/$B$5)+(Q94&gt;$B94)*0,IF(ROUND(AVERAGE($C94,$E94,$G94,$I94,$K94,$M94,$O94,$Q94,$S94,$U94,$W94,$Y94,$AA94,$AC94,$AE94),2)-$B94/2&lt;=Q94,IF(ROUND(AVERAGE($C94,$E94,$G94,$I94,$K94,$M94,$O94,$Q94,$S94,$U94,$W94,$Y94,$AA94,$AC94,$AE94),2)+$B94/2&gt;Q94,($G$5/$B$5),0),0))))</f>
        <v/>
      </c>
      <c r="S94" s="141" t="str">
        <f>IF($S$8="Habilitado",IF($A94="","",ROUND(VLOOKUP($A94,'Presupuesto Consolidado'!#REF!,6,FALSE),2)),"")</f>
        <v/>
      </c>
      <c r="T94" s="142" t="str">
        <f t="shared" ref="T94" si="919">IF($A94="","",IF(S94="","",IF($K$4="Media aritmética",(S94&lt;=$B94)*($G$5/$B$5)+(S94&gt;$B94)*0,IF(ROUND(AVERAGE($C94,$E94,$G94,$I94,$K94,$M94,$O94,$Q94,$S94,$U94,$W94,$Y94,$AA94,$AC94,$AE94),2)-$B94/2&lt;=S94,IF(ROUND(AVERAGE($C94,$E94,$G94,$I94,$K94,$M94,$O94,$Q94,$S94,$U94,$W94,$Y94,$AA94,$AC94,$AE94),2)+$B94/2&gt;S94,($G$5/$B$5),0),0))))</f>
        <v/>
      </c>
      <c r="U94" s="141" t="str">
        <f>IF($U$8="Habilitado",IF($A94="","",ROUND(VLOOKUP($A94,'Presupuesto Consolidado'!#REF!,6,FALSE),2)),"")</f>
        <v/>
      </c>
      <c r="V94" s="142" t="str">
        <f t="shared" ref="V94" si="920">IF($A94="","",IF(U94="","",IF($K$4="Media aritmética",(U94&lt;=$B94)*($G$5/$B$5)+(U94&gt;$B94)*0,IF(ROUND(AVERAGE($C94,$E94,$G94,$I94,$K94,$M94,$O94,$Q94,$S94,$U94,$W94,$Y94,$AA94,$AC94,$AE94),2)-$B94/2&lt;=U94,IF(ROUND(AVERAGE($C94,$E94,$G94,$I94,$K94,$M94,$O94,$Q94,$S94,$U94,$W94,$Y94,$AA94,$AC94,$AE94),2)+$B94/2&gt;U94,($G$5/$B$5),0),0))))</f>
        <v/>
      </c>
      <c r="W94" s="141" t="str">
        <f>IF($W$8="Habilitado",IF($A94="","",ROUND(VLOOKUP($A94,'Presupuesto Consolidado'!#REF!,6,FALSE),2)),"")</f>
        <v/>
      </c>
      <c r="X94" s="142" t="str">
        <f t="shared" ref="X94" si="921">IF($A94="","",IF(W94="","",IF($K$4="Media aritmética",(W94&lt;=$B94)*($G$5/$B$5)+(W94&gt;$B94)*0,IF(ROUND(AVERAGE($C94,$E94,$G94,$I94,$K94,$M94,$O94,$Q94,$S94,$U94,$W94,$Y94,$AA94,$AC94,$AE94),2)-$B94/2&lt;=W94,IF(ROUND(AVERAGE($C94,$E94,$G94,$I94,$K94,$M94,$O94,$Q94,$S94,$U94,$W94,$Y94,$AA94,$AC94,$AE94),2)+$B94/2&gt;W94,($G$5/$B$5),0),0))))</f>
        <v/>
      </c>
      <c r="Y94" s="141" t="str">
        <f>IF($Y$8="Habilitado",IF($A94="","",ROUND(VLOOKUP($A94,'Presupuesto Consolidado'!#REF!,6,FALSE),2)),"")</f>
        <v/>
      </c>
      <c r="Z94" s="142" t="str">
        <f t="shared" ref="Z94" si="922">IF($A94="","",IF(Y94="","",IF($K$4="Media aritmética",(Y94&lt;=$B94)*($G$5/$B$5)+(Y94&gt;$B94)*0,IF(ROUND(AVERAGE($C94,$E94,$G94,$I94,$K94,$M94,$O94,$Q94,$S94,$U94,$W94,$Y94,$AA94,$AC94,$AE94),2)-$B94/2&lt;=Y94,IF(ROUND(AVERAGE($C94,$E94,$G94,$I94,$K94,$M94,$O94,$Q94,$S94,$U94,$W94,$Y94,$AA94,$AC94,$AE94),2)+$B94/2&gt;Y94,($G$5/$B$5),0),0))))</f>
        <v/>
      </c>
      <c r="AA94" s="141" t="str">
        <f>IF($AA$8="Habilitado",IF($A94="","",ROUND(VLOOKUP($A94,'Presupuesto Consolidado'!#REF!,6,FALSE),2)),"")</f>
        <v/>
      </c>
      <c r="AB94" s="142" t="str">
        <f t="shared" ref="AB94" si="923">IF($A94="","",IF(AA94="","",IF($K$4="Media aritmética",(AA94&lt;=$B94)*($G$5/$B$5)+(AA94&gt;$B94)*0,IF(ROUND(AVERAGE($C94,$E94,$G94,$I94,$K94,$M94,$O94,$Q94,$S94,$U94,$W94,$Y94,$AA94,$AC94,$AE94),2)-$B94/2&lt;=AA94,IF(ROUND(AVERAGE($C94,$E94,$G94,$I94,$K94,$M94,$O94,$Q94,$S94,$U94,$W94,$Y94,$AA94,$AC94,$AE94),2)+$B94/2&gt;AA94,($G$5/$B$5),0),0))))</f>
        <v/>
      </c>
      <c r="AC94" s="141" t="str">
        <f>IF($AC$8="Habilitado",IF($A94="","",ROUND(VLOOKUP($A94,'Presupuesto Consolidado'!#REF!,6,FALSE),2)),"")</f>
        <v/>
      </c>
      <c r="AD94" s="142" t="str">
        <f t="shared" ref="AD94" si="924">IF($A94="","",IF(AC94="","",IF($K$4="Media aritmética",(AC94&lt;=$B94)*($G$5/$B$5)+(AC94&gt;$B94)*0,IF(ROUND(AVERAGE($C94,$E94,$G94,$I94,$K94,$M94,$O94,$Q94,$S94,$U94,$W94,$Y94,$AA94,$AC94,$AE94),2)-$B94/2&lt;=AC94,IF(ROUND(AVERAGE($C94,$E94,$G94,$I94,$K94,$M94,$O94,$Q94,$S94,$U94,$W94,$Y94,$AA94,$AC94,$AE94),2)+$B94/2&gt;AC94,($G$5/$B$5),0),0))))</f>
        <v/>
      </c>
      <c r="AE94" s="141" t="str">
        <f>IF($AE$8="Habilitado",IF($A94="","",ROUND(VLOOKUP($A94,'Presupuesto Consolidado'!#REF!,6,FALSE),2)),"")</f>
        <v/>
      </c>
      <c r="AF94" s="142" t="str">
        <f t="shared" ref="AF94" si="925">IF($A94="","",IF(AE94="","",IF($K$4="Media aritmética",(AE94&lt;=$B94)*($G$5/$B$5)+(AE94&gt;$B94)*0,IF(ROUND(AVERAGE($C94,$E94,$G94,$I94,$K94,$M94,$O94,$Q94,$S94,$U94,$W94,$Y94,$AA94,$AC94,$AE94),2)-$B94/2&lt;=AE94,IF(ROUND(AVERAGE($C94,$E94,$G94,$I94,$K94,$M94,$O94,$Q94,$S94,$U94,$W94,$Y94,$AA94,$AC94,$AE94),2)+$B94/2&gt;AE94,($G$5/$B$5),0),0))))</f>
        <v/>
      </c>
    </row>
    <row r="95" spans="1:32" s="135" customFormat="1" ht="21" customHeight="1">
      <c r="A95" s="132" t="str">
        <f>+'Presupuesto Consolidado'!A106</f>
        <v>12.3.2</v>
      </c>
      <c r="B95" s="140">
        <f t="shared" ref="B95" si="926">IF(A95="","",IF($K$4="Media aritmética",ROUND(AVERAGE(C95,E95,G95,I95,K95,M95,O95,Q95,S95,U95,W95,Y95,AA95,AC95,AE95),2),ROUND(_xlfn.STDEV.P(C95,E95,G95,I95,K95,M95,O95,Q95,S95,U95,W95,Y95,AA95,AC95,AE95),2)))</f>
        <v>698625</v>
      </c>
      <c r="C95" s="141">
        <f>IF($C$8="Habilitado",IF($A95="","",ROUND(VLOOKUP($A95,'Presupuesto Consolidado'!$A$9:$F$600,6,FALSE),2)),"")</f>
        <v>698625</v>
      </c>
      <c r="D95" s="142">
        <f t="shared" ref="D95" si="927">IF($A95="","",IF(C95="","",IF($K$4="Media aritmética",(C95&lt;=$B95)*($G$5/$B$5)+(C95&gt;$B95)*0,IF(ROUND(AVERAGE($C95,$E95,$G95,$I95,$K95,$M95,$O95,$Q95,$S95,$U95,$W95,$Y95,$AA95,$AC95,$AE95),2)-$B95/2&lt;=C95,IF(ROUND(AVERAGE($C95,$E95,$G95,$I95,$K95,$M95,$O95,$Q95,$S95,$U95,$W95,$Y95,$AA95,$AC95,$AE95),2)+$B95/2&gt;C95,($G$5/$B$5),0),0))))</f>
        <v>0.45714285714285713</v>
      </c>
      <c r="E95" s="141" t="str">
        <f>IF($E$8="Habilitado",IF($A95="","",ROUND(VLOOKUP($A95,'Presupuesto Consolidado'!$I$9:$N$600,6,FALSE),2)),"")</f>
        <v/>
      </c>
      <c r="F95" s="142" t="str">
        <f t="shared" ref="F95" si="928">IF($A95="","",IF(E95="","",IF($K$4="Media aritmética",(E95&lt;=$B95)*($G$5/$B$5)+(E95&gt;$B95)*0,IF(ROUND(AVERAGE($C95,$E95,$G95,$I95,$K95,$M95,$O95,$Q95,$S95,$U95,$W95,$Y95,$AA95,$AC95,$AE95),2)-$B95/2&lt;=E95,IF(ROUND(AVERAGE($C95,$E95,$G95,$I95,$K95,$M95,$O95,$Q95,$S95,$U95,$W95,$Y95,$AA95,$AC95,$AE95),2)+$B95/2&gt;E95,($G$5/$B$5),0),0))))</f>
        <v/>
      </c>
      <c r="G95" s="141" t="str">
        <f>IF($G$8="Habilitado",IF($A95="","",ROUND(VLOOKUP($A95,'Presupuesto Consolidado'!$Q$9:$V$600,6,FALSE),2)),"")</f>
        <v/>
      </c>
      <c r="H95" s="142" t="str">
        <f t="shared" ref="H95" si="929">IF($A95="","",IF(G95="","",IF($K$4="Media aritmética",(G95&lt;=$B95)*($G$5/$B$5)+(G95&gt;$B95)*0,IF(ROUND(AVERAGE($C95,$E95,$G95,$I95,$K95,$M95,$O95,$Q95,$S95,$U95,$W95,$Y95,$AA95,$AC95,$AE95),2)-$B95/2&lt;=G95,IF(ROUND(AVERAGE($C95,$E95,$G95,$I95,$K95,$M95,$O95,$Q95,$S95,$U95,$W95,$Y95,$AA95,$AC95,$AE95),2)+$B95/2&gt;G95,($G$5/$B$5),0),0))))</f>
        <v/>
      </c>
      <c r="I95" s="141" t="str">
        <f>IF($I$8="Habilitado",IF($A95="","",ROUND(VLOOKUP($A95,'Presupuesto Consolidado'!$Y$9:$AD$600,6,FALSE),2)),"")</f>
        <v/>
      </c>
      <c r="J95" s="142" t="str">
        <f t="shared" ref="J95" si="930">IF($A95="","",IF(I95="","",IF($K$4="Media aritmética",(I95&lt;=$B95)*($G$5/$B$5)+(I95&gt;$B95)*0,IF(ROUND(AVERAGE($C95,$E95,$G95,$I95,$K95,$M95,$O95,$Q95,$S95,$U95,$W95,$Y95,$AA95,$AC95,$AE95),2)-$B95/2&lt;=I95,IF(ROUND(AVERAGE($C95,$E95,$G95,$I95,$K95,$M95,$O95,$Q95,$S95,$U95,$W95,$Y95,$AA95,$AC95,$AE95),2)+$B95/2&gt;I95,($G$5/$B$5),0),0))))</f>
        <v/>
      </c>
      <c r="K95" s="141" t="str">
        <f>IF($K$8="Habilitado",IF($A95="","",ROUND(VLOOKUP($A95,'Presupuesto Consolidado'!#REF!,6,FALSE),2)),"")</f>
        <v/>
      </c>
      <c r="L95" s="142" t="str">
        <f t="shared" ref="L95" si="931">IF($A95="","",IF(K95="","",IF($K$4="Media aritmética",(K95&lt;=$B95)*($G$5/$B$5)+(K95&gt;$B95)*0,IF(ROUND(AVERAGE($C95,$E95,$G95,$I95,$K95,$M95,$O95,$Q95,$S95,$U95,$W95,$Y95,$AA95,$AC95,$AE95),2)-$B95/2&lt;=K95,IF(ROUND(AVERAGE($C95,$E95,$G95,$I95,$K95,$M95,$O95,$Q95,$S95,$U95,$W95,$Y95,$AA95,$AC95,$AE95),2)+$B95/2&gt;K95,($G$5/$B$5),0),0))))</f>
        <v/>
      </c>
      <c r="M95" s="141" t="str">
        <f>IF($M$8="Habilitado",IF($A95="","",ROUND(VLOOKUP($A95,'Presupuesto Consolidado'!#REF!,6,FALSE),2)),"")</f>
        <v/>
      </c>
      <c r="N95" s="142" t="str">
        <f t="shared" ref="N95" si="932">IF($A95="","",IF(M95="","",IF($K$4="Media aritmética",(M95&lt;=$B95)*($G$5/$B$5)+(M95&gt;$B95)*0,IF(ROUND(AVERAGE($C95,$E95,$G95,$I95,$K95,$M95,$O95,$Q95,$S95,$U95,$W95,$Y95,$AA95,$AC95,$AE95),2)-$B95/2&lt;=M95,IF(ROUND(AVERAGE($C95,$E95,$G95,$I95,$K95,$M95,$O95,$Q95,$S95,$U95,$W95,$Y95,$AA95,$AC95,$AE95),2)+$B95/2&gt;M95,($G$5/$B$5),0),0))))</f>
        <v/>
      </c>
      <c r="O95" s="141" t="str">
        <f>IF($O$8="Habilitado",IF($A95="","",ROUND(VLOOKUP($A95,'Presupuesto Consolidado'!#REF!,6,FALSE),2)),"")</f>
        <v/>
      </c>
      <c r="P95" s="142" t="str">
        <f t="shared" ref="P95" si="933">IF($A95="","",IF(O95="","",IF($K$4="Media aritmética",(O95&lt;=$B95)*($G$5/$B$5)+(O95&gt;$B95)*0,IF(ROUND(AVERAGE($C95,$E95,$G95,$I95,$K95,$M95,$O95,$Q95,$S95,$U95,$W95,$Y95,$AA95,$AC95,$AE95),2)-$B95/2&lt;=O95,IF(ROUND(AVERAGE($C95,$E95,$G95,$I95,$K95,$M95,$O95,$Q95,$S95,$U95,$W95,$Y95,$AA95,$AC95,$AE95),2)+$B95/2&gt;O95,($G$5/$B$5),0),0))))</f>
        <v/>
      </c>
      <c r="Q95" s="141" t="str">
        <f>IF($Q$8="Habilitado",IF($A95="","",ROUND(VLOOKUP($A95,'Presupuesto Consolidado'!#REF!,6,FALSE),2)),"")</f>
        <v/>
      </c>
      <c r="R95" s="142" t="str">
        <f t="shared" ref="R95" si="934">IF($A95="","",IF(Q95="","",IF($K$4="Media aritmética",(Q95&lt;=$B95)*($G$5/$B$5)+(Q95&gt;$B95)*0,IF(ROUND(AVERAGE($C95,$E95,$G95,$I95,$K95,$M95,$O95,$Q95,$S95,$U95,$W95,$Y95,$AA95,$AC95,$AE95),2)-$B95/2&lt;=Q95,IF(ROUND(AVERAGE($C95,$E95,$G95,$I95,$K95,$M95,$O95,$Q95,$S95,$U95,$W95,$Y95,$AA95,$AC95,$AE95),2)+$B95/2&gt;Q95,($G$5/$B$5),0),0))))</f>
        <v/>
      </c>
      <c r="S95" s="141" t="str">
        <f>IF($S$8="Habilitado",IF($A95="","",ROUND(VLOOKUP($A95,'Presupuesto Consolidado'!#REF!,6,FALSE),2)),"")</f>
        <v/>
      </c>
      <c r="T95" s="142" t="str">
        <f t="shared" ref="T95" si="935">IF($A95="","",IF(S95="","",IF($K$4="Media aritmética",(S95&lt;=$B95)*($G$5/$B$5)+(S95&gt;$B95)*0,IF(ROUND(AVERAGE($C95,$E95,$G95,$I95,$K95,$M95,$O95,$Q95,$S95,$U95,$W95,$Y95,$AA95,$AC95,$AE95),2)-$B95/2&lt;=S95,IF(ROUND(AVERAGE($C95,$E95,$G95,$I95,$K95,$M95,$O95,$Q95,$S95,$U95,$W95,$Y95,$AA95,$AC95,$AE95),2)+$B95/2&gt;S95,($G$5/$B$5),0),0))))</f>
        <v/>
      </c>
      <c r="U95" s="141" t="str">
        <f>IF($U$8="Habilitado",IF($A95="","",ROUND(VLOOKUP($A95,'Presupuesto Consolidado'!#REF!,6,FALSE),2)),"")</f>
        <v/>
      </c>
      <c r="V95" s="142" t="str">
        <f t="shared" ref="V95" si="936">IF($A95="","",IF(U95="","",IF($K$4="Media aritmética",(U95&lt;=$B95)*($G$5/$B$5)+(U95&gt;$B95)*0,IF(ROUND(AVERAGE($C95,$E95,$G95,$I95,$K95,$M95,$O95,$Q95,$S95,$U95,$W95,$Y95,$AA95,$AC95,$AE95),2)-$B95/2&lt;=U95,IF(ROUND(AVERAGE($C95,$E95,$G95,$I95,$K95,$M95,$O95,$Q95,$S95,$U95,$W95,$Y95,$AA95,$AC95,$AE95),2)+$B95/2&gt;U95,($G$5/$B$5),0),0))))</f>
        <v/>
      </c>
      <c r="W95" s="141" t="str">
        <f>IF($W$8="Habilitado",IF($A95="","",ROUND(VLOOKUP($A95,'Presupuesto Consolidado'!#REF!,6,FALSE),2)),"")</f>
        <v/>
      </c>
      <c r="X95" s="142" t="str">
        <f t="shared" ref="X95" si="937">IF($A95="","",IF(W95="","",IF($K$4="Media aritmética",(W95&lt;=$B95)*($G$5/$B$5)+(W95&gt;$B95)*0,IF(ROUND(AVERAGE($C95,$E95,$G95,$I95,$K95,$M95,$O95,$Q95,$S95,$U95,$W95,$Y95,$AA95,$AC95,$AE95),2)-$B95/2&lt;=W95,IF(ROUND(AVERAGE($C95,$E95,$G95,$I95,$K95,$M95,$O95,$Q95,$S95,$U95,$W95,$Y95,$AA95,$AC95,$AE95),2)+$B95/2&gt;W95,($G$5/$B$5),0),0))))</f>
        <v/>
      </c>
      <c r="Y95" s="141" t="str">
        <f>IF($Y$8="Habilitado",IF($A95="","",ROUND(VLOOKUP($A95,'Presupuesto Consolidado'!#REF!,6,FALSE),2)),"")</f>
        <v/>
      </c>
      <c r="Z95" s="142" t="str">
        <f t="shared" ref="Z95" si="938">IF($A95="","",IF(Y95="","",IF($K$4="Media aritmética",(Y95&lt;=$B95)*($G$5/$B$5)+(Y95&gt;$B95)*0,IF(ROUND(AVERAGE($C95,$E95,$G95,$I95,$K95,$M95,$O95,$Q95,$S95,$U95,$W95,$Y95,$AA95,$AC95,$AE95),2)-$B95/2&lt;=Y95,IF(ROUND(AVERAGE($C95,$E95,$G95,$I95,$K95,$M95,$O95,$Q95,$S95,$U95,$W95,$Y95,$AA95,$AC95,$AE95),2)+$B95/2&gt;Y95,($G$5/$B$5),0),0))))</f>
        <v/>
      </c>
      <c r="AA95" s="141" t="str">
        <f>IF($AA$8="Habilitado",IF($A95="","",ROUND(VLOOKUP($A95,'Presupuesto Consolidado'!#REF!,6,FALSE),2)),"")</f>
        <v/>
      </c>
      <c r="AB95" s="142" t="str">
        <f t="shared" ref="AB95" si="939">IF($A95="","",IF(AA95="","",IF($K$4="Media aritmética",(AA95&lt;=$B95)*($G$5/$B$5)+(AA95&gt;$B95)*0,IF(ROUND(AVERAGE($C95,$E95,$G95,$I95,$K95,$M95,$O95,$Q95,$S95,$U95,$W95,$Y95,$AA95,$AC95,$AE95),2)-$B95/2&lt;=AA95,IF(ROUND(AVERAGE($C95,$E95,$G95,$I95,$K95,$M95,$O95,$Q95,$S95,$U95,$W95,$Y95,$AA95,$AC95,$AE95),2)+$B95/2&gt;AA95,($G$5/$B$5),0),0))))</f>
        <v/>
      </c>
      <c r="AC95" s="141" t="str">
        <f>IF($AC$8="Habilitado",IF($A95="","",ROUND(VLOOKUP($A95,'Presupuesto Consolidado'!#REF!,6,FALSE),2)),"")</f>
        <v/>
      </c>
      <c r="AD95" s="142" t="str">
        <f t="shared" ref="AD95" si="940">IF($A95="","",IF(AC95="","",IF($K$4="Media aritmética",(AC95&lt;=$B95)*($G$5/$B$5)+(AC95&gt;$B95)*0,IF(ROUND(AVERAGE($C95,$E95,$G95,$I95,$K95,$M95,$O95,$Q95,$S95,$U95,$W95,$Y95,$AA95,$AC95,$AE95),2)-$B95/2&lt;=AC95,IF(ROUND(AVERAGE($C95,$E95,$G95,$I95,$K95,$M95,$O95,$Q95,$S95,$U95,$W95,$Y95,$AA95,$AC95,$AE95),2)+$B95/2&gt;AC95,($G$5/$B$5),0),0))))</f>
        <v/>
      </c>
      <c r="AE95" s="141" t="str">
        <f>IF($AE$8="Habilitado",IF($A95="","",ROUND(VLOOKUP($A95,'Presupuesto Consolidado'!#REF!,6,FALSE),2)),"")</f>
        <v/>
      </c>
      <c r="AF95" s="142" t="str">
        <f t="shared" ref="AF95" si="941">IF($A95="","",IF(AE95="","",IF($K$4="Media aritmética",(AE95&lt;=$B95)*($G$5/$B$5)+(AE95&gt;$B95)*0,IF(ROUND(AVERAGE($C95,$E95,$G95,$I95,$K95,$M95,$O95,$Q95,$S95,$U95,$W95,$Y95,$AA95,$AC95,$AE95),2)-$B95/2&lt;=AE95,IF(ROUND(AVERAGE($C95,$E95,$G95,$I95,$K95,$M95,$O95,$Q95,$S95,$U95,$W95,$Y95,$AA95,$AC95,$AE95),2)+$B95/2&gt;AE95,($G$5/$B$5),0),0))))</f>
        <v/>
      </c>
    </row>
    <row r="96" spans="1:32" s="135" customFormat="1" ht="21" customHeight="1">
      <c r="A96" s="132" t="str">
        <f>+'Presupuesto Consolidado'!A107</f>
        <v>12.3.3</v>
      </c>
      <c r="B96" s="140">
        <f t="shared" ref="B96" si="942">IF(A96="","",IF($K$4="Media aritmética",ROUND(AVERAGE(C96,E96,G96,I96,K96,M96,O96,Q96,S96,U96,W96,Y96,AA96,AC96,AE96),2),ROUND(_xlfn.STDEV.P(C96,E96,G96,I96,K96,M96,O96,Q96,S96,U96,W96,Y96,AA96,AC96,AE96),2)))</f>
        <v>1397250</v>
      </c>
      <c r="C96" s="141">
        <f>IF($C$8="Habilitado",IF($A96="","",ROUND(VLOOKUP($A96,'Presupuesto Consolidado'!$A$9:$F$600,6,FALSE),2)),"")</f>
        <v>1397250</v>
      </c>
      <c r="D96" s="142">
        <f t="shared" ref="D96" si="943">IF($A96="","",IF(C96="","",IF($K$4="Media aritmética",(C96&lt;=$B96)*($G$5/$B$5)+(C96&gt;$B96)*0,IF(ROUND(AVERAGE($C96,$E96,$G96,$I96,$K96,$M96,$O96,$Q96,$S96,$U96,$W96,$Y96,$AA96,$AC96,$AE96),2)-$B96/2&lt;=C96,IF(ROUND(AVERAGE($C96,$E96,$G96,$I96,$K96,$M96,$O96,$Q96,$S96,$U96,$W96,$Y96,$AA96,$AC96,$AE96),2)+$B96/2&gt;C96,($G$5/$B$5),0),0))))</f>
        <v>0.45714285714285713</v>
      </c>
      <c r="E96" s="141" t="str">
        <f>IF($E$8="Habilitado",IF($A96="","",ROUND(VLOOKUP($A96,'Presupuesto Consolidado'!$I$9:$N$600,6,FALSE),2)),"")</f>
        <v/>
      </c>
      <c r="F96" s="142" t="str">
        <f t="shared" ref="F96" si="944">IF($A96="","",IF(E96="","",IF($K$4="Media aritmética",(E96&lt;=$B96)*($G$5/$B$5)+(E96&gt;$B96)*0,IF(ROUND(AVERAGE($C96,$E96,$G96,$I96,$K96,$M96,$O96,$Q96,$S96,$U96,$W96,$Y96,$AA96,$AC96,$AE96),2)-$B96/2&lt;=E96,IF(ROUND(AVERAGE($C96,$E96,$G96,$I96,$K96,$M96,$O96,$Q96,$S96,$U96,$W96,$Y96,$AA96,$AC96,$AE96),2)+$B96/2&gt;E96,($G$5/$B$5),0),0))))</f>
        <v/>
      </c>
      <c r="G96" s="141" t="str">
        <f>IF($G$8="Habilitado",IF($A96="","",ROUND(VLOOKUP($A96,'Presupuesto Consolidado'!$Q$9:$V$600,6,FALSE),2)),"")</f>
        <v/>
      </c>
      <c r="H96" s="142" t="str">
        <f t="shared" ref="H96" si="945">IF($A96="","",IF(G96="","",IF($K$4="Media aritmética",(G96&lt;=$B96)*($G$5/$B$5)+(G96&gt;$B96)*0,IF(ROUND(AVERAGE($C96,$E96,$G96,$I96,$K96,$M96,$O96,$Q96,$S96,$U96,$W96,$Y96,$AA96,$AC96,$AE96),2)-$B96/2&lt;=G96,IF(ROUND(AVERAGE($C96,$E96,$G96,$I96,$K96,$M96,$O96,$Q96,$S96,$U96,$W96,$Y96,$AA96,$AC96,$AE96),2)+$B96/2&gt;G96,($G$5/$B$5),0),0))))</f>
        <v/>
      </c>
      <c r="I96" s="141" t="str">
        <f>IF($I$8="Habilitado",IF($A96="","",ROUND(VLOOKUP($A96,'Presupuesto Consolidado'!$Y$9:$AD$600,6,FALSE),2)),"")</f>
        <v/>
      </c>
      <c r="J96" s="142" t="str">
        <f t="shared" ref="J96" si="946">IF($A96="","",IF(I96="","",IF($K$4="Media aritmética",(I96&lt;=$B96)*($G$5/$B$5)+(I96&gt;$B96)*0,IF(ROUND(AVERAGE($C96,$E96,$G96,$I96,$K96,$M96,$O96,$Q96,$S96,$U96,$W96,$Y96,$AA96,$AC96,$AE96),2)-$B96/2&lt;=I96,IF(ROUND(AVERAGE($C96,$E96,$G96,$I96,$K96,$M96,$O96,$Q96,$S96,$U96,$W96,$Y96,$AA96,$AC96,$AE96),2)+$B96/2&gt;I96,($G$5/$B$5),0),0))))</f>
        <v/>
      </c>
      <c r="K96" s="141" t="str">
        <f>IF($K$8="Habilitado",IF($A96="","",ROUND(VLOOKUP($A96,'Presupuesto Consolidado'!#REF!,6,FALSE),2)),"")</f>
        <v/>
      </c>
      <c r="L96" s="142" t="str">
        <f t="shared" ref="L96" si="947">IF($A96="","",IF(K96="","",IF($K$4="Media aritmética",(K96&lt;=$B96)*($G$5/$B$5)+(K96&gt;$B96)*0,IF(ROUND(AVERAGE($C96,$E96,$G96,$I96,$K96,$M96,$O96,$Q96,$S96,$U96,$W96,$Y96,$AA96,$AC96,$AE96),2)-$B96/2&lt;=K96,IF(ROUND(AVERAGE($C96,$E96,$G96,$I96,$K96,$M96,$O96,$Q96,$S96,$U96,$W96,$Y96,$AA96,$AC96,$AE96),2)+$B96/2&gt;K96,($G$5/$B$5),0),0))))</f>
        <v/>
      </c>
      <c r="M96" s="141" t="str">
        <f>IF($M$8="Habilitado",IF($A96="","",ROUND(VLOOKUP($A96,'Presupuesto Consolidado'!#REF!,6,FALSE),2)),"")</f>
        <v/>
      </c>
      <c r="N96" s="142" t="str">
        <f t="shared" ref="N96" si="948">IF($A96="","",IF(M96="","",IF($K$4="Media aritmética",(M96&lt;=$B96)*($G$5/$B$5)+(M96&gt;$B96)*0,IF(ROUND(AVERAGE($C96,$E96,$G96,$I96,$K96,$M96,$O96,$Q96,$S96,$U96,$W96,$Y96,$AA96,$AC96,$AE96),2)-$B96/2&lt;=M96,IF(ROUND(AVERAGE($C96,$E96,$G96,$I96,$K96,$M96,$O96,$Q96,$S96,$U96,$W96,$Y96,$AA96,$AC96,$AE96),2)+$B96/2&gt;M96,($G$5/$B$5),0),0))))</f>
        <v/>
      </c>
      <c r="O96" s="141" t="str">
        <f>IF($O$8="Habilitado",IF($A96="","",ROUND(VLOOKUP($A96,'Presupuesto Consolidado'!#REF!,6,FALSE),2)),"")</f>
        <v/>
      </c>
      <c r="P96" s="142" t="str">
        <f t="shared" ref="P96" si="949">IF($A96="","",IF(O96="","",IF($K$4="Media aritmética",(O96&lt;=$B96)*($G$5/$B$5)+(O96&gt;$B96)*0,IF(ROUND(AVERAGE($C96,$E96,$G96,$I96,$K96,$M96,$O96,$Q96,$S96,$U96,$W96,$Y96,$AA96,$AC96,$AE96),2)-$B96/2&lt;=O96,IF(ROUND(AVERAGE($C96,$E96,$G96,$I96,$K96,$M96,$O96,$Q96,$S96,$U96,$W96,$Y96,$AA96,$AC96,$AE96),2)+$B96/2&gt;O96,($G$5/$B$5),0),0))))</f>
        <v/>
      </c>
      <c r="Q96" s="141" t="str">
        <f>IF($Q$8="Habilitado",IF($A96="","",ROUND(VLOOKUP($A96,'Presupuesto Consolidado'!#REF!,6,FALSE),2)),"")</f>
        <v/>
      </c>
      <c r="R96" s="142" t="str">
        <f t="shared" ref="R96" si="950">IF($A96="","",IF(Q96="","",IF($K$4="Media aritmética",(Q96&lt;=$B96)*($G$5/$B$5)+(Q96&gt;$B96)*0,IF(ROUND(AVERAGE($C96,$E96,$G96,$I96,$K96,$M96,$O96,$Q96,$S96,$U96,$W96,$Y96,$AA96,$AC96,$AE96),2)-$B96/2&lt;=Q96,IF(ROUND(AVERAGE($C96,$E96,$G96,$I96,$K96,$M96,$O96,$Q96,$S96,$U96,$W96,$Y96,$AA96,$AC96,$AE96),2)+$B96/2&gt;Q96,($G$5/$B$5),0),0))))</f>
        <v/>
      </c>
      <c r="S96" s="141" t="str">
        <f>IF($S$8="Habilitado",IF($A96="","",ROUND(VLOOKUP($A96,'Presupuesto Consolidado'!#REF!,6,FALSE),2)),"")</f>
        <v/>
      </c>
      <c r="T96" s="142" t="str">
        <f t="shared" ref="T96" si="951">IF($A96="","",IF(S96="","",IF($K$4="Media aritmética",(S96&lt;=$B96)*($G$5/$B$5)+(S96&gt;$B96)*0,IF(ROUND(AVERAGE($C96,$E96,$G96,$I96,$K96,$M96,$O96,$Q96,$S96,$U96,$W96,$Y96,$AA96,$AC96,$AE96),2)-$B96/2&lt;=S96,IF(ROUND(AVERAGE($C96,$E96,$G96,$I96,$K96,$M96,$O96,$Q96,$S96,$U96,$W96,$Y96,$AA96,$AC96,$AE96),2)+$B96/2&gt;S96,($G$5/$B$5),0),0))))</f>
        <v/>
      </c>
      <c r="U96" s="141" t="str">
        <f>IF($U$8="Habilitado",IF($A96="","",ROUND(VLOOKUP($A96,'Presupuesto Consolidado'!#REF!,6,FALSE),2)),"")</f>
        <v/>
      </c>
      <c r="V96" s="142" t="str">
        <f t="shared" ref="V96" si="952">IF($A96="","",IF(U96="","",IF($K$4="Media aritmética",(U96&lt;=$B96)*($G$5/$B$5)+(U96&gt;$B96)*0,IF(ROUND(AVERAGE($C96,$E96,$G96,$I96,$K96,$M96,$O96,$Q96,$S96,$U96,$W96,$Y96,$AA96,$AC96,$AE96),2)-$B96/2&lt;=U96,IF(ROUND(AVERAGE($C96,$E96,$G96,$I96,$K96,$M96,$O96,$Q96,$S96,$U96,$W96,$Y96,$AA96,$AC96,$AE96),2)+$B96/2&gt;U96,($G$5/$B$5),0),0))))</f>
        <v/>
      </c>
      <c r="W96" s="141" t="str">
        <f>IF($W$8="Habilitado",IF($A96="","",ROUND(VLOOKUP($A96,'Presupuesto Consolidado'!#REF!,6,FALSE),2)),"")</f>
        <v/>
      </c>
      <c r="X96" s="142" t="str">
        <f t="shared" ref="X96" si="953">IF($A96="","",IF(W96="","",IF($K$4="Media aritmética",(W96&lt;=$B96)*($G$5/$B$5)+(W96&gt;$B96)*0,IF(ROUND(AVERAGE($C96,$E96,$G96,$I96,$K96,$M96,$O96,$Q96,$S96,$U96,$W96,$Y96,$AA96,$AC96,$AE96),2)-$B96/2&lt;=W96,IF(ROUND(AVERAGE($C96,$E96,$G96,$I96,$K96,$M96,$O96,$Q96,$S96,$U96,$W96,$Y96,$AA96,$AC96,$AE96),2)+$B96/2&gt;W96,($G$5/$B$5),0),0))))</f>
        <v/>
      </c>
      <c r="Y96" s="141" t="str">
        <f>IF($Y$8="Habilitado",IF($A96="","",ROUND(VLOOKUP($A96,'Presupuesto Consolidado'!#REF!,6,FALSE),2)),"")</f>
        <v/>
      </c>
      <c r="Z96" s="142" t="str">
        <f t="shared" ref="Z96" si="954">IF($A96="","",IF(Y96="","",IF($K$4="Media aritmética",(Y96&lt;=$B96)*($G$5/$B$5)+(Y96&gt;$B96)*0,IF(ROUND(AVERAGE($C96,$E96,$G96,$I96,$K96,$M96,$O96,$Q96,$S96,$U96,$W96,$Y96,$AA96,$AC96,$AE96),2)-$B96/2&lt;=Y96,IF(ROUND(AVERAGE($C96,$E96,$G96,$I96,$K96,$M96,$O96,$Q96,$S96,$U96,$W96,$Y96,$AA96,$AC96,$AE96),2)+$B96/2&gt;Y96,($G$5/$B$5),0),0))))</f>
        <v/>
      </c>
      <c r="AA96" s="141" t="str">
        <f>IF($AA$8="Habilitado",IF($A96="","",ROUND(VLOOKUP($A96,'Presupuesto Consolidado'!#REF!,6,FALSE),2)),"")</f>
        <v/>
      </c>
      <c r="AB96" s="142" t="str">
        <f t="shared" ref="AB96" si="955">IF($A96="","",IF(AA96="","",IF($K$4="Media aritmética",(AA96&lt;=$B96)*($G$5/$B$5)+(AA96&gt;$B96)*0,IF(ROUND(AVERAGE($C96,$E96,$G96,$I96,$K96,$M96,$O96,$Q96,$S96,$U96,$W96,$Y96,$AA96,$AC96,$AE96),2)-$B96/2&lt;=AA96,IF(ROUND(AVERAGE($C96,$E96,$G96,$I96,$K96,$M96,$O96,$Q96,$S96,$U96,$W96,$Y96,$AA96,$AC96,$AE96),2)+$B96/2&gt;AA96,($G$5/$B$5),0),0))))</f>
        <v/>
      </c>
      <c r="AC96" s="141" t="str">
        <f>IF($AC$8="Habilitado",IF($A96="","",ROUND(VLOOKUP($A96,'Presupuesto Consolidado'!#REF!,6,FALSE),2)),"")</f>
        <v/>
      </c>
      <c r="AD96" s="142" t="str">
        <f t="shared" ref="AD96" si="956">IF($A96="","",IF(AC96="","",IF($K$4="Media aritmética",(AC96&lt;=$B96)*($G$5/$B$5)+(AC96&gt;$B96)*0,IF(ROUND(AVERAGE($C96,$E96,$G96,$I96,$K96,$M96,$O96,$Q96,$S96,$U96,$W96,$Y96,$AA96,$AC96,$AE96),2)-$B96/2&lt;=AC96,IF(ROUND(AVERAGE($C96,$E96,$G96,$I96,$K96,$M96,$O96,$Q96,$S96,$U96,$W96,$Y96,$AA96,$AC96,$AE96),2)+$B96/2&gt;AC96,($G$5/$B$5),0),0))))</f>
        <v/>
      </c>
      <c r="AE96" s="141" t="str">
        <f>IF($AE$8="Habilitado",IF($A96="","",ROUND(VLOOKUP($A96,'Presupuesto Consolidado'!#REF!,6,FALSE),2)),"")</f>
        <v/>
      </c>
      <c r="AF96" s="142" t="str">
        <f t="shared" ref="AF96" si="957">IF($A96="","",IF(AE96="","",IF($K$4="Media aritmética",(AE96&lt;=$B96)*($G$5/$B$5)+(AE96&gt;$B96)*0,IF(ROUND(AVERAGE($C96,$E96,$G96,$I96,$K96,$M96,$O96,$Q96,$S96,$U96,$W96,$Y96,$AA96,$AC96,$AE96),2)-$B96/2&lt;=AE96,IF(ROUND(AVERAGE($C96,$E96,$G96,$I96,$K96,$M96,$O96,$Q96,$S96,$U96,$W96,$Y96,$AA96,$AC96,$AE96),2)+$B96/2&gt;AE96,($G$5/$B$5),0),0))))</f>
        <v/>
      </c>
    </row>
    <row r="97" spans="1:32" s="135" customFormat="1" ht="21" customHeight="1">
      <c r="A97" s="132" t="str">
        <f>+'Presupuesto Consolidado'!A108</f>
        <v>12.3.4</v>
      </c>
      <c r="B97" s="140">
        <f t="shared" ref="B97" si="958">IF(A97="","",IF($K$4="Media aritmética",ROUND(AVERAGE(C97,E97,G97,I97,K97,M97,O97,Q97,S97,U97,W97,Y97,AA97,AC97,AE97),2),ROUND(_xlfn.STDEV.P(C97,E97,G97,I97,K97,M97,O97,Q97,S97,U97,W97,Y97,AA97,AC97,AE97),2)))</f>
        <v>3260250</v>
      </c>
      <c r="C97" s="141">
        <f>IF($C$8="Habilitado",IF($A97="","",ROUND(VLOOKUP($A97,'Presupuesto Consolidado'!$A$9:$F$600,6,FALSE),2)),"")</f>
        <v>3260250</v>
      </c>
      <c r="D97" s="142">
        <f t="shared" ref="D97" si="959">IF($A97="","",IF(C97="","",IF($K$4="Media aritmética",(C97&lt;=$B97)*($G$5/$B$5)+(C97&gt;$B97)*0,IF(ROUND(AVERAGE($C97,$E97,$G97,$I97,$K97,$M97,$O97,$Q97,$S97,$U97,$W97,$Y97,$AA97,$AC97,$AE97),2)-$B97/2&lt;=C97,IF(ROUND(AVERAGE($C97,$E97,$G97,$I97,$K97,$M97,$O97,$Q97,$S97,$U97,$W97,$Y97,$AA97,$AC97,$AE97),2)+$B97/2&gt;C97,($G$5/$B$5),0),0))))</f>
        <v>0.45714285714285713</v>
      </c>
      <c r="E97" s="141" t="str">
        <f>IF($E$8="Habilitado",IF($A97="","",ROUND(VLOOKUP($A97,'Presupuesto Consolidado'!$I$9:$N$600,6,FALSE),2)),"")</f>
        <v/>
      </c>
      <c r="F97" s="142" t="str">
        <f t="shared" ref="F97" si="960">IF($A97="","",IF(E97="","",IF($K$4="Media aritmética",(E97&lt;=$B97)*($G$5/$B$5)+(E97&gt;$B97)*0,IF(ROUND(AVERAGE($C97,$E97,$G97,$I97,$K97,$M97,$O97,$Q97,$S97,$U97,$W97,$Y97,$AA97,$AC97,$AE97),2)-$B97/2&lt;=E97,IF(ROUND(AVERAGE($C97,$E97,$G97,$I97,$K97,$M97,$O97,$Q97,$S97,$U97,$W97,$Y97,$AA97,$AC97,$AE97),2)+$B97/2&gt;E97,($G$5/$B$5),0),0))))</f>
        <v/>
      </c>
      <c r="G97" s="141" t="str">
        <f>IF($G$8="Habilitado",IF($A97="","",ROUND(VLOOKUP($A97,'Presupuesto Consolidado'!$Q$9:$V$600,6,FALSE),2)),"")</f>
        <v/>
      </c>
      <c r="H97" s="142" t="str">
        <f t="shared" ref="H97" si="961">IF($A97="","",IF(G97="","",IF($K$4="Media aritmética",(G97&lt;=$B97)*($G$5/$B$5)+(G97&gt;$B97)*0,IF(ROUND(AVERAGE($C97,$E97,$G97,$I97,$K97,$M97,$O97,$Q97,$S97,$U97,$W97,$Y97,$AA97,$AC97,$AE97),2)-$B97/2&lt;=G97,IF(ROUND(AVERAGE($C97,$E97,$G97,$I97,$K97,$M97,$O97,$Q97,$S97,$U97,$W97,$Y97,$AA97,$AC97,$AE97),2)+$B97/2&gt;G97,($G$5/$B$5),0),0))))</f>
        <v/>
      </c>
      <c r="I97" s="141" t="str">
        <f>IF($I$8="Habilitado",IF($A97="","",ROUND(VLOOKUP($A97,'Presupuesto Consolidado'!$Y$9:$AD$600,6,FALSE),2)),"")</f>
        <v/>
      </c>
      <c r="J97" s="142" t="str">
        <f t="shared" ref="J97" si="962">IF($A97="","",IF(I97="","",IF($K$4="Media aritmética",(I97&lt;=$B97)*($G$5/$B$5)+(I97&gt;$B97)*0,IF(ROUND(AVERAGE($C97,$E97,$G97,$I97,$K97,$M97,$O97,$Q97,$S97,$U97,$W97,$Y97,$AA97,$AC97,$AE97),2)-$B97/2&lt;=I97,IF(ROUND(AVERAGE($C97,$E97,$G97,$I97,$K97,$M97,$O97,$Q97,$S97,$U97,$W97,$Y97,$AA97,$AC97,$AE97),2)+$B97/2&gt;I97,($G$5/$B$5),0),0))))</f>
        <v/>
      </c>
      <c r="K97" s="141" t="str">
        <f>IF($K$8="Habilitado",IF($A97="","",ROUND(VLOOKUP($A97,'Presupuesto Consolidado'!#REF!,6,FALSE),2)),"")</f>
        <v/>
      </c>
      <c r="L97" s="142" t="str">
        <f t="shared" ref="L97" si="963">IF($A97="","",IF(K97="","",IF($K$4="Media aritmética",(K97&lt;=$B97)*($G$5/$B$5)+(K97&gt;$B97)*0,IF(ROUND(AVERAGE($C97,$E97,$G97,$I97,$K97,$M97,$O97,$Q97,$S97,$U97,$W97,$Y97,$AA97,$AC97,$AE97),2)-$B97/2&lt;=K97,IF(ROUND(AVERAGE($C97,$E97,$G97,$I97,$K97,$M97,$O97,$Q97,$S97,$U97,$W97,$Y97,$AA97,$AC97,$AE97),2)+$B97/2&gt;K97,($G$5/$B$5),0),0))))</f>
        <v/>
      </c>
      <c r="M97" s="141" t="str">
        <f>IF($M$8="Habilitado",IF($A97="","",ROUND(VLOOKUP($A97,'Presupuesto Consolidado'!#REF!,6,FALSE),2)),"")</f>
        <v/>
      </c>
      <c r="N97" s="142" t="str">
        <f t="shared" ref="N97" si="964">IF($A97="","",IF(M97="","",IF($K$4="Media aritmética",(M97&lt;=$B97)*($G$5/$B$5)+(M97&gt;$B97)*0,IF(ROUND(AVERAGE($C97,$E97,$G97,$I97,$K97,$M97,$O97,$Q97,$S97,$U97,$W97,$Y97,$AA97,$AC97,$AE97),2)-$B97/2&lt;=M97,IF(ROUND(AVERAGE($C97,$E97,$G97,$I97,$K97,$M97,$O97,$Q97,$S97,$U97,$W97,$Y97,$AA97,$AC97,$AE97),2)+$B97/2&gt;M97,($G$5/$B$5),0),0))))</f>
        <v/>
      </c>
      <c r="O97" s="141" t="str">
        <f>IF($O$8="Habilitado",IF($A97="","",ROUND(VLOOKUP($A97,'Presupuesto Consolidado'!#REF!,6,FALSE),2)),"")</f>
        <v/>
      </c>
      <c r="P97" s="142" t="str">
        <f t="shared" ref="P97" si="965">IF($A97="","",IF(O97="","",IF($K$4="Media aritmética",(O97&lt;=$B97)*($G$5/$B$5)+(O97&gt;$B97)*0,IF(ROUND(AVERAGE($C97,$E97,$G97,$I97,$K97,$M97,$O97,$Q97,$S97,$U97,$W97,$Y97,$AA97,$AC97,$AE97),2)-$B97/2&lt;=O97,IF(ROUND(AVERAGE($C97,$E97,$G97,$I97,$K97,$M97,$O97,$Q97,$S97,$U97,$W97,$Y97,$AA97,$AC97,$AE97),2)+$B97/2&gt;O97,($G$5/$B$5),0),0))))</f>
        <v/>
      </c>
      <c r="Q97" s="141" t="str">
        <f>IF($Q$8="Habilitado",IF($A97="","",ROUND(VLOOKUP($A97,'Presupuesto Consolidado'!#REF!,6,FALSE),2)),"")</f>
        <v/>
      </c>
      <c r="R97" s="142" t="str">
        <f t="shared" ref="R97" si="966">IF($A97="","",IF(Q97="","",IF($K$4="Media aritmética",(Q97&lt;=$B97)*($G$5/$B$5)+(Q97&gt;$B97)*0,IF(ROUND(AVERAGE($C97,$E97,$G97,$I97,$K97,$M97,$O97,$Q97,$S97,$U97,$W97,$Y97,$AA97,$AC97,$AE97),2)-$B97/2&lt;=Q97,IF(ROUND(AVERAGE($C97,$E97,$G97,$I97,$K97,$M97,$O97,$Q97,$S97,$U97,$W97,$Y97,$AA97,$AC97,$AE97),2)+$B97/2&gt;Q97,($G$5/$B$5),0),0))))</f>
        <v/>
      </c>
      <c r="S97" s="141" t="str">
        <f>IF($S$8="Habilitado",IF($A97="","",ROUND(VLOOKUP($A97,'Presupuesto Consolidado'!#REF!,6,FALSE),2)),"")</f>
        <v/>
      </c>
      <c r="T97" s="142" t="str">
        <f t="shared" ref="T97" si="967">IF($A97="","",IF(S97="","",IF($K$4="Media aritmética",(S97&lt;=$B97)*($G$5/$B$5)+(S97&gt;$B97)*0,IF(ROUND(AVERAGE($C97,$E97,$G97,$I97,$K97,$M97,$O97,$Q97,$S97,$U97,$W97,$Y97,$AA97,$AC97,$AE97),2)-$B97/2&lt;=S97,IF(ROUND(AVERAGE($C97,$E97,$G97,$I97,$K97,$M97,$O97,$Q97,$S97,$U97,$W97,$Y97,$AA97,$AC97,$AE97),2)+$B97/2&gt;S97,($G$5/$B$5),0),0))))</f>
        <v/>
      </c>
      <c r="U97" s="141" t="str">
        <f>IF($U$8="Habilitado",IF($A97="","",ROUND(VLOOKUP($A97,'Presupuesto Consolidado'!#REF!,6,FALSE),2)),"")</f>
        <v/>
      </c>
      <c r="V97" s="142" t="str">
        <f t="shared" ref="V97" si="968">IF($A97="","",IF(U97="","",IF($K$4="Media aritmética",(U97&lt;=$B97)*($G$5/$B$5)+(U97&gt;$B97)*0,IF(ROUND(AVERAGE($C97,$E97,$G97,$I97,$K97,$M97,$O97,$Q97,$S97,$U97,$W97,$Y97,$AA97,$AC97,$AE97),2)-$B97/2&lt;=U97,IF(ROUND(AVERAGE($C97,$E97,$G97,$I97,$K97,$M97,$O97,$Q97,$S97,$U97,$W97,$Y97,$AA97,$AC97,$AE97),2)+$B97/2&gt;U97,($G$5/$B$5),0),0))))</f>
        <v/>
      </c>
      <c r="W97" s="141" t="str">
        <f>IF($W$8="Habilitado",IF($A97="","",ROUND(VLOOKUP($A97,'Presupuesto Consolidado'!#REF!,6,FALSE),2)),"")</f>
        <v/>
      </c>
      <c r="X97" s="142" t="str">
        <f t="shared" ref="X97" si="969">IF($A97="","",IF(W97="","",IF($K$4="Media aritmética",(W97&lt;=$B97)*($G$5/$B$5)+(W97&gt;$B97)*0,IF(ROUND(AVERAGE($C97,$E97,$G97,$I97,$K97,$M97,$O97,$Q97,$S97,$U97,$W97,$Y97,$AA97,$AC97,$AE97),2)-$B97/2&lt;=W97,IF(ROUND(AVERAGE($C97,$E97,$G97,$I97,$K97,$M97,$O97,$Q97,$S97,$U97,$W97,$Y97,$AA97,$AC97,$AE97),2)+$B97/2&gt;W97,($G$5/$B$5),0),0))))</f>
        <v/>
      </c>
      <c r="Y97" s="141" t="str">
        <f>IF($Y$8="Habilitado",IF($A97="","",ROUND(VLOOKUP($A97,'Presupuesto Consolidado'!#REF!,6,FALSE),2)),"")</f>
        <v/>
      </c>
      <c r="Z97" s="142" t="str">
        <f t="shared" ref="Z97" si="970">IF($A97="","",IF(Y97="","",IF($K$4="Media aritmética",(Y97&lt;=$B97)*($G$5/$B$5)+(Y97&gt;$B97)*0,IF(ROUND(AVERAGE($C97,$E97,$G97,$I97,$K97,$M97,$O97,$Q97,$S97,$U97,$W97,$Y97,$AA97,$AC97,$AE97),2)-$B97/2&lt;=Y97,IF(ROUND(AVERAGE($C97,$E97,$G97,$I97,$K97,$M97,$O97,$Q97,$S97,$U97,$W97,$Y97,$AA97,$AC97,$AE97),2)+$B97/2&gt;Y97,($G$5/$B$5),0),0))))</f>
        <v/>
      </c>
      <c r="AA97" s="141" t="str">
        <f>IF($AA$8="Habilitado",IF($A97="","",ROUND(VLOOKUP($A97,'Presupuesto Consolidado'!#REF!,6,FALSE),2)),"")</f>
        <v/>
      </c>
      <c r="AB97" s="142" t="str">
        <f t="shared" ref="AB97" si="971">IF($A97="","",IF(AA97="","",IF($K$4="Media aritmética",(AA97&lt;=$B97)*($G$5/$B$5)+(AA97&gt;$B97)*0,IF(ROUND(AVERAGE($C97,$E97,$G97,$I97,$K97,$M97,$O97,$Q97,$S97,$U97,$W97,$Y97,$AA97,$AC97,$AE97),2)-$B97/2&lt;=AA97,IF(ROUND(AVERAGE($C97,$E97,$G97,$I97,$K97,$M97,$O97,$Q97,$S97,$U97,$W97,$Y97,$AA97,$AC97,$AE97),2)+$B97/2&gt;AA97,($G$5/$B$5),0),0))))</f>
        <v/>
      </c>
      <c r="AC97" s="141" t="str">
        <f>IF($AC$8="Habilitado",IF($A97="","",ROUND(VLOOKUP($A97,'Presupuesto Consolidado'!#REF!,6,FALSE),2)),"")</f>
        <v/>
      </c>
      <c r="AD97" s="142" t="str">
        <f t="shared" ref="AD97" si="972">IF($A97="","",IF(AC97="","",IF($K$4="Media aritmética",(AC97&lt;=$B97)*($G$5/$B$5)+(AC97&gt;$B97)*0,IF(ROUND(AVERAGE($C97,$E97,$G97,$I97,$K97,$M97,$O97,$Q97,$S97,$U97,$W97,$Y97,$AA97,$AC97,$AE97),2)-$B97/2&lt;=AC97,IF(ROUND(AVERAGE($C97,$E97,$G97,$I97,$K97,$M97,$O97,$Q97,$S97,$U97,$W97,$Y97,$AA97,$AC97,$AE97),2)+$B97/2&gt;AC97,($G$5/$B$5),0),0))))</f>
        <v/>
      </c>
      <c r="AE97" s="141" t="str">
        <f>IF($AE$8="Habilitado",IF($A97="","",ROUND(VLOOKUP($A97,'Presupuesto Consolidado'!#REF!,6,FALSE),2)),"")</f>
        <v/>
      </c>
      <c r="AF97" s="142" t="str">
        <f t="shared" ref="AF97" si="973">IF($A97="","",IF(AE97="","",IF($K$4="Media aritmética",(AE97&lt;=$B97)*($G$5/$B$5)+(AE97&gt;$B97)*0,IF(ROUND(AVERAGE($C97,$E97,$G97,$I97,$K97,$M97,$O97,$Q97,$S97,$U97,$W97,$Y97,$AA97,$AC97,$AE97),2)-$B97/2&lt;=AE97,IF(ROUND(AVERAGE($C97,$E97,$G97,$I97,$K97,$M97,$O97,$Q97,$S97,$U97,$W97,$Y97,$AA97,$AC97,$AE97),2)+$B97/2&gt;AE97,($G$5/$B$5),0),0))))</f>
        <v/>
      </c>
    </row>
    <row r="98" spans="1:32" s="135" customFormat="1" ht="21" customHeight="1">
      <c r="A98" s="132" t="str">
        <f>+'Presupuesto Consolidado'!A109</f>
        <v>12.3.5</v>
      </c>
      <c r="B98" s="140">
        <f t="shared" ref="B98" si="974">IF(A98="","",IF($K$4="Media aritmética",ROUND(AVERAGE(C98,E98,G98,I98,K98,M98,O98,Q98,S98,U98,W98,Y98,AA98,AC98,AE98),2),ROUND(_xlfn.STDEV.P(C98,E98,G98,I98,K98,M98,O98,Q98,S98,U98,W98,Y98,AA98,AC98,AE98),2)))</f>
        <v>5278500</v>
      </c>
      <c r="C98" s="141">
        <f>IF($C$8="Habilitado",IF($A98="","",ROUND(VLOOKUP($A98,'Presupuesto Consolidado'!$A$9:$F$600,6,FALSE),2)),"")</f>
        <v>5278500</v>
      </c>
      <c r="D98" s="142">
        <f t="shared" ref="D98" si="975">IF($A98="","",IF(C98="","",IF($K$4="Media aritmética",(C98&lt;=$B98)*($G$5/$B$5)+(C98&gt;$B98)*0,IF(ROUND(AVERAGE($C98,$E98,$G98,$I98,$K98,$M98,$O98,$Q98,$S98,$U98,$W98,$Y98,$AA98,$AC98,$AE98),2)-$B98/2&lt;=C98,IF(ROUND(AVERAGE($C98,$E98,$G98,$I98,$K98,$M98,$O98,$Q98,$S98,$U98,$W98,$Y98,$AA98,$AC98,$AE98),2)+$B98/2&gt;C98,($G$5/$B$5),0),0))))</f>
        <v>0.45714285714285713</v>
      </c>
      <c r="E98" s="141" t="str">
        <f>IF($E$8="Habilitado",IF($A98="","",ROUND(VLOOKUP($A98,'Presupuesto Consolidado'!$I$9:$N$600,6,FALSE),2)),"")</f>
        <v/>
      </c>
      <c r="F98" s="142" t="str">
        <f t="shared" ref="F98" si="976">IF($A98="","",IF(E98="","",IF($K$4="Media aritmética",(E98&lt;=$B98)*($G$5/$B$5)+(E98&gt;$B98)*0,IF(ROUND(AVERAGE($C98,$E98,$G98,$I98,$K98,$M98,$O98,$Q98,$S98,$U98,$W98,$Y98,$AA98,$AC98,$AE98),2)-$B98/2&lt;=E98,IF(ROUND(AVERAGE($C98,$E98,$G98,$I98,$K98,$M98,$O98,$Q98,$S98,$U98,$W98,$Y98,$AA98,$AC98,$AE98),2)+$B98/2&gt;E98,($G$5/$B$5),0),0))))</f>
        <v/>
      </c>
      <c r="G98" s="141" t="str">
        <f>IF($G$8="Habilitado",IF($A98="","",ROUND(VLOOKUP($A98,'Presupuesto Consolidado'!$Q$9:$V$600,6,FALSE),2)),"")</f>
        <v/>
      </c>
      <c r="H98" s="142" t="str">
        <f t="shared" ref="H98" si="977">IF($A98="","",IF(G98="","",IF($K$4="Media aritmética",(G98&lt;=$B98)*($G$5/$B$5)+(G98&gt;$B98)*0,IF(ROUND(AVERAGE($C98,$E98,$G98,$I98,$K98,$M98,$O98,$Q98,$S98,$U98,$W98,$Y98,$AA98,$AC98,$AE98),2)-$B98/2&lt;=G98,IF(ROUND(AVERAGE($C98,$E98,$G98,$I98,$K98,$M98,$O98,$Q98,$S98,$U98,$W98,$Y98,$AA98,$AC98,$AE98),2)+$B98/2&gt;G98,($G$5/$B$5),0),0))))</f>
        <v/>
      </c>
      <c r="I98" s="141" t="str">
        <f>IF($I$8="Habilitado",IF($A98="","",ROUND(VLOOKUP($A98,'Presupuesto Consolidado'!$Y$9:$AD$600,6,FALSE),2)),"")</f>
        <v/>
      </c>
      <c r="J98" s="142" t="str">
        <f t="shared" ref="J98" si="978">IF($A98="","",IF(I98="","",IF($K$4="Media aritmética",(I98&lt;=$B98)*($G$5/$B$5)+(I98&gt;$B98)*0,IF(ROUND(AVERAGE($C98,$E98,$G98,$I98,$K98,$M98,$O98,$Q98,$S98,$U98,$W98,$Y98,$AA98,$AC98,$AE98),2)-$B98/2&lt;=I98,IF(ROUND(AVERAGE($C98,$E98,$G98,$I98,$K98,$M98,$O98,$Q98,$S98,$U98,$W98,$Y98,$AA98,$AC98,$AE98),2)+$B98/2&gt;I98,($G$5/$B$5),0),0))))</f>
        <v/>
      </c>
      <c r="K98" s="141" t="str">
        <f>IF($K$8="Habilitado",IF($A98="","",ROUND(VLOOKUP($A98,'Presupuesto Consolidado'!#REF!,6,FALSE),2)),"")</f>
        <v/>
      </c>
      <c r="L98" s="142" t="str">
        <f t="shared" ref="L98" si="979">IF($A98="","",IF(K98="","",IF($K$4="Media aritmética",(K98&lt;=$B98)*($G$5/$B$5)+(K98&gt;$B98)*0,IF(ROUND(AVERAGE($C98,$E98,$G98,$I98,$K98,$M98,$O98,$Q98,$S98,$U98,$W98,$Y98,$AA98,$AC98,$AE98),2)-$B98/2&lt;=K98,IF(ROUND(AVERAGE($C98,$E98,$G98,$I98,$K98,$M98,$O98,$Q98,$S98,$U98,$W98,$Y98,$AA98,$AC98,$AE98),2)+$B98/2&gt;K98,($G$5/$B$5),0),0))))</f>
        <v/>
      </c>
      <c r="M98" s="141" t="str">
        <f>IF($M$8="Habilitado",IF($A98="","",ROUND(VLOOKUP($A98,'Presupuesto Consolidado'!#REF!,6,FALSE),2)),"")</f>
        <v/>
      </c>
      <c r="N98" s="142" t="str">
        <f t="shared" ref="N98" si="980">IF($A98="","",IF(M98="","",IF($K$4="Media aritmética",(M98&lt;=$B98)*($G$5/$B$5)+(M98&gt;$B98)*0,IF(ROUND(AVERAGE($C98,$E98,$G98,$I98,$K98,$M98,$O98,$Q98,$S98,$U98,$W98,$Y98,$AA98,$AC98,$AE98),2)-$B98/2&lt;=M98,IF(ROUND(AVERAGE($C98,$E98,$G98,$I98,$K98,$M98,$O98,$Q98,$S98,$U98,$W98,$Y98,$AA98,$AC98,$AE98),2)+$B98/2&gt;M98,($G$5/$B$5),0),0))))</f>
        <v/>
      </c>
      <c r="O98" s="141" t="str">
        <f>IF($O$8="Habilitado",IF($A98="","",ROUND(VLOOKUP($A98,'Presupuesto Consolidado'!#REF!,6,FALSE),2)),"")</f>
        <v/>
      </c>
      <c r="P98" s="142" t="str">
        <f t="shared" ref="P98" si="981">IF($A98="","",IF(O98="","",IF($K$4="Media aritmética",(O98&lt;=$B98)*($G$5/$B$5)+(O98&gt;$B98)*0,IF(ROUND(AVERAGE($C98,$E98,$G98,$I98,$K98,$M98,$O98,$Q98,$S98,$U98,$W98,$Y98,$AA98,$AC98,$AE98),2)-$B98/2&lt;=O98,IF(ROUND(AVERAGE($C98,$E98,$G98,$I98,$K98,$M98,$O98,$Q98,$S98,$U98,$W98,$Y98,$AA98,$AC98,$AE98),2)+$B98/2&gt;O98,($G$5/$B$5),0),0))))</f>
        <v/>
      </c>
      <c r="Q98" s="141" t="str">
        <f>IF($Q$8="Habilitado",IF($A98="","",ROUND(VLOOKUP($A98,'Presupuesto Consolidado'!#REF!,6,FALSE),2)),"")</f>
        <v/>
      </c>
      <c r="R98" s="142" t="str">
        <f t="shared" ref="R98" si="982">IF($A98="","",IF(Q98="","",IF($K$4="Media aritmética",(Q98&lt;=$B98)*($G$5/$B$5)+(Q98&gt;$B98)*0,IF(ROUND(AVERAGE($C98,$E98,$G98,$I98,$K98,$M98,$O98,$Q98,$S98,$U98,$W98,$Y98,$AA98,$AC98,$AE98),2)-$B98/2&lt;=Q98,IF(ROUND(AVERAGE($C98,$E98,$G98,$I98,$K98,$M98,$O98,$Q98,$S98,$U98,$W98,$Y98,$AA98,$AC98,$AE98),2)+$B98/2&gt;Q98,($G$5/$B$5),0),0))))</f>
        <v/>
      </c>
      <c r="S98" s="141" t="str">
        <f>IF($S$8="Habilitado",IF($A98="","",ROUND(VLOOKUP($A98,'Presupuesto Consolidado'!#REF!,6,FALSE),2)),"")</f>
        <v/>
      </c>
      <c r="T98" s="142" t="str">
        <f t="shared" ref="T98" si="983">IF($A98="","",IF(S98="","",IF($K$4="Media aritmética",(S98&lt;=$B98)*($G$5/$B$5)+(S98&gt;$B98)*0,IF(ROUND(AVERAGE($C98,$E98,$G98,$I98,$K98,$M98,$O98,$Q98,$S98,$U98,$W98,$Y98,$AA98,$AC98,$AE98),2)-$B98/2&lt;=S98,IF(ROUND(AVERAGE($C98,$E98,$G98,$I98,$K98,$M98,$O98,$Q98,$S98,$U98,$W98,$Y98,$AA98,$AC98,$AE98),2)+$B98/2&gt;S98,($G$5/$B$5),0),0))))</f>
        <v/>
      </c>
      <c r="U98" s="141" t="str">
        <f>IF($U$8="Habilitado",IF($A98="","",ROUND(VLOOKUP($A98,'Presupuesto Consolidado'!#REF!,6,FALSE),2)),"")</f>
        <v/>
      </c>
      <c r="V98" s="142" t="str">
        <f t="shared" ref="V98" si="984">IF($A98="","",IF(U98="","",IF($K$4="Media aritmética",(U98&lt;=$B98)*($G$5/$B$5)+(U98&gt;$B98)*0,IF(ROUND(AVERAGE($C98,$E98,$G98,$I98,$K98,$M98,$O98,$Q98,$S98,$U98,$W98,$Y98,$AA98,$AC98,$AE98),2)-$B98/2&lt;=U98,IF(ROUND(AVERAGE($C98,$E98,$G98,$I98,$K98,$M98,$O98,$Q98,$S98,$U98,$W98,$Y98,$AA98,$AC98,$AE98),2)+$B98/2&gt;U98,($G$5/$B$5),0),0))))</f>
        <v/>
      </c>
      <c r="W98" s="141" t="str">
        <f>IF($W$8="Habilitado",IF($A98="","",ROUND(VLOOKUP($A98,'Presupuesto Consolidado'!#REF!,6,FALSE),2)),"")</f>
        <v/>
      </c>
      <c r="X98" s="142" t="str">
        <f t="shared" ref="X98" si="985">IF($A98="","",IF(W98="","",IF($K$4="Media aritmética",(W98&lt;=$B98)*($G$5/$B$5)+(W98&gt;$B98)*0,IF(ROUND(AVERAGE($C98,$E98,$G98,$I98,$K98,$M98,$O98,$Q98,$S98,$U98,$W98,$Y98,$AA98,$AC98,$AE98),2)-$B98/2&lt;=W98,IF(ROUND(AVERAGE($C98,$E98,$G98,$I98,$K98,$M98,$O98,$Q98,$S98,$U98,$W98,$Y98,$AA98,$AC98,$AE98),2)+$B98/2&gt;W98,($G$5/$B$5),0),0))))</f>
        <v/>
      </c>
      <c r="Y98" s="141" t="str">
        <f>IF($Y$8="Habilitado",IF($A98="","",ROUND(VLOOKUP($A98,'Presupuesto Consolidado'!#REF!,6,FALSE),2)),"")</f>
        <v/>
      </c>
      <c r="Z98" s="142" t="str">
        <f t="shared" ref="Z98" si="986">IF($A98="","",IF(Y98="","",IF($K$4="Media aritmética",(Y98&lt;=$B98)*($G$5/$B$5)+(Y98&gt;$B98)*0,IF(ROUND(AVERAGE($C98,$E98,$G98,$I98,$K98,$M98,$O98,$Q98,$S98,$U98,$W98,$Y98,$AA98,$AC98,$AE98),2)-$B98/2&lt;=Y98,IF(ROUND(AVERAGE($C98,$E98,$G98,$I98,$K98,$M98,$O98,$Q98,$S98,$U98,$W98,$Y98,$AA98,$AC98,$AE98),2)+$B98/2&gt;Y98,($G$5/$B$5),0),0))))</f>
        <v/>
      </c>
      <c r="AA98" s="141" t="str">
        <f>IF($AA$8="Habilitado",IF($A98="","",ROUND(VLOOKUP($A98,'Presupuesto Consolidado'!#REF!,6,FALSE),2)),"")</f>
        <v/>
      </c>
      <c r="AB98" s="142" t="str">
        <f t="shared" ref="AB98" si="987">IF($A98="","",IF(AA98="","",IF($K$4="Media aritmética",(AA98&lt;=$B98)*($G$5/$B$5)+(AA98&gt;$B98)*0,IF(ROUND(AVERAGE($C98,$E98,$G98,$I98,$K98,$M98,$O98,$Q98,$S98,$U98,$W98,$Y98,$AA98,$AC98,$AE98),2)-$B98/2&lt;=AA98,IF(ROUND(AVERAGE($C98,$E98,$G98,$I98,$K98,$M98,$O98,$Q98,$S98,$U98,$W98,$Y98,$AA98,$AC98,$AE98),2)+$B98/2&gt;AA98,($G$5/$B$5),0),0))))</f>
        <v/>
      </c>
      <c r="AC98" s="141" t="str">
        <f>IF($AC$8="Habilitado",IF($A98="","",ROUND(VLOOKUP($A98,'Presupuesto Consolidado'!#REF!,6,FALSE),2)),"")</f>
        <v/>
      </c>
      <c r="AD98" s="142" t="str">
        <f t="shared" ref="AD98" si="988">IF($A98="","",IF(AC98="","",IF($K$4="Media aritmética",(AC98&lt;=$B98)*($G$5/$B$5)+(AC98&gt;$B98)*0,IF(ROUND(AVERAGE($C98,$E98,$G98,$I98,$K98,$M98,$O98,$Q98,$S98,$U98,$W98,$Y98,$AA98,$AC98,$AE98),2)-$B98/2&lt;=AC98,IF(ROUND(AVERAGE($C98,$E98,$G98,$I98,$K98,$M98,$O98,$Q98,$S98,$U98,$W98,$Y98,$AA98,$AC98,$AE98),2)+$B98/2&gt;AC98,($G$5/$B$5),0),0))))</f>
        <v/>
      </c>
      <c r="AE98" s="141" t="str">
        <f>IF($AE$8="Habilitado",IF($A98="","",ROUND(VLOOKUP($A98,'Presupuesto Consolidado'!#REF!,6,FALSE),2)),"")</f>
        <v/>
      </c>
      <c r="AF98" s="142" t="str">
        <f t="shared" ref="AF98" si="989">IF($A98="","",IF(AE98="","",IF($K$4="Media aritmética",(AE98&lt;=$B98)*($G$5/$B$5)+(AE98&gt;$B98)*0,IF(ROUND(AVERAGE($C98,$E98,$G98,$I98,$K98,$M98,$O98,$Q98,$S98,$U98,$W98,$Y98,$AA98,$AC98,$AE98),2)-$B98/2&lt;=AE98,IF(ROUND(AVERAGE($C98,$E98,$G98,$I98,$K98,$M98,$O98,$Q98,$S98,$U98,$W98,$Y98,$AA98,$AC98,$AE98),2)+$B98/2&gt;AE98,($G$5/$B$5),0),0))))</f>
        <v/>
      </c>
    </row>
    <row r="99" spans="1:32" s="135" customFormat="1" ht="21" customHeight="1">
      <c r="A99" s="132" t="str">
        <f>+'Presupuesto Consolidado'!A111</f>
        <v>12.3.7</v>
      </c>
      <c r="B99" s="140">
        <f t="shared" ref="B99" si="990">IF(A99="","",IF($K$4="Media aritmética",ROUND(AVERAGE(C99,E99,G99,I99,K99,M99,O99,Q99,S99,U99,W99,Y99,AA99,AC99,AE99),2),ROUND(_xlfn.STDEV.P(C99,E99,G99,I99,K99,M99,O99,Q99,S99,U99,W99,Y99,AA99,AC99,AE99),2)))</f>
        <v>2846250</v>
      </c>
      <c r="C99" s="141">
        <f>IF($C$8="Habilitado",IF($A99="","",ROUND(VLOOKUP($A99,'Presupuesto Consolidado'!$A$9:$F$600,6,FALSE),2)),"")</f>
        <v>2846250</v>
      </c>
      <c r="D99" s="142">
        <f t="shared" ref="D99" si="991">IF($A99="","",IF(C99="","",IF($K$4="Media aritmética",(C99&lt;=$B99)*($G$5/$B$5)+(C99&gt;$B99)*0,IF(ROUND(AVERAGE($C99,$E99,$G99,$I99,$K99,$M99,$O99,$Q99,$S99,$U99,$W99,$Y99,$AA99,$AC99,$AE99),2)-$B99/2&lt;=C99,IF(ROUND(AVERAGE($C99,$E99,$G99,$I99,$K99,$M99,$O99,$Q99,$S99,$U99,$W99,$Y99,$AA99,$AC99,$AE99),2)+$B99/2&gt;C99,($G$5/$B$5),0),0))))</f>
        <v>0.45714285714285713</v>
      </c>
      <c r="E99" s="141" t="str">
        <f>IF($E$8="Habilitado",IF($A99="","",ROUND(VLOOKUP($A99,'Presupuesto Consolidado'!$I$9:$N$600,6,FALSE),2)),"")</f>
        <v/>
      </c>
      <c r="F99" s="142" t="str">
        <f t="shared" ref="F99" si="992">IF($A99="","",IF(E99="","",IF($K$4="Media aritmética",(E99&lt;=$B99)*($G$5/$B$5)+(E99&gt;$B99)*0,IF(ROUND(AVERAGE($C99,$E99,$G99,$I99,$K99,$M99,$O99,$Q99,$S99,$U99,$W99,$Y99,$AA99,$AC99,$AE99),2)-$B99/2&lt;=E99,IF(ROUND(AVERAGE($C99,$E99,$G99,$I99,$K99,$M99,$O99,$Q99,$S99,$U99,$W99,$Y99,$AA99,$AC99,$AE99),2)+$B99/2&gt;E99,($G$5/$B$5),0),0))))</f>
        <v/>
      </c>
      <c r="G99" s="141" t="str">
        <f>IF($G$8="Habilitado",IF($A99="","",ROUND(VLOOKUP($A99,'Presupuesto Consolidado'!$Q$9:$V$600,6,FALSE),2)),"")</f>
        <v/>
      </c>
      <c r="H99" s="142" t="str">
        <f t="shared" ref="H99" si="993">IF($A99="","",IF(G99="","",IF($K$4="Media aritmética",(G99&lt;=$B99)*($G$5/$B$5)+(G99&gt;$B99)*0,IF(ROUND(AVERAGE($C99,$E99,$G99,$I99,$K99,$M99,$O99,$Q99,$S99,$U99,$W99,$Y99,$AA99,$AC99,$AE99),2)-$B99/2&lt;=G99,IF(ROUND(AVERAGE($C99,$E99,$G99,$I99,$K99,$M99,$O99,$Q99,$S99,$U99,$W99,$Y99,$AA99,$AC99,$AE99),2)+$B99/2&gt;G99,($G$5/$B$5),0),0))))</f>
        <v/>
      </c>
      <c r="I99" s="141" t="str">
        <f>IF($I$8="Habilitado",IF($A99="","",ROUND(VLOOKUP($A99,'Presupuesto Consolidado'!$Y$9:$AD$600,6,FALSE),2)),"")</f>
        <v/>
      </c>
      <c r="J99" s="142" t="str">
        <f t="shared" ref="J99" si="994">IF($A99="","",IF(I99="","",IF($K$4="Media aritmética",(I99&lt;=$B99)*($G$5/$B$5)+(I99&gt;$B99)*0,IF(ROUND(AVERAGE($C99,$E99,$G99,$I99,$K99,$M99,$O99,$Q99,$S99,$U99,$W99,$Y99,$AA99,$AC99,$AE99),2)-$B99/2&lt;=I99,IF(ROUND(AVERAGE($C99,$E99,$G99,$I99,$K99,$M99,$O99,$Q99,$S99,$U99,$W99,$Y99,$AA99,$AC99,$AE99),2)+$B99/2&gt;I99,($G$5/$B$5),0),0))))</f>
        <v/>
      </c>
      <c r="K99" s="141" t="str">
        <f>IF($K$8="Habilitado",IF($A99="","",ROUND(VLOOKUP($A99,'Presupuesto Consolidado'!#REF!,6,FALSE),2)),"")</f>
        <v/>
      </c>
      <c r="L99" s="142" t="str">
        <f t="shared" ref="L99" si="995">IF($A99="","",IF(K99="","",IF($K$4="Media aritmética",(K99&lt;=$B99)*($G$5/$B$5)+(K99&gt;$B99)*0,IF(ROUND(AVERAGE($C99,$E99,$G99,$I99,$K99,$M99,$O99,$Q99,$S99,$U99,$W99,$Y99,$AA99,$AC99,$AE99),2)-$B99/2&lt;=K99,IF(ROUND(AVERAGE($C99,$E99,$G99,$I99,$K99,$M99,$O99,$Q99,$S99,$U99,$W99,$Y99,$AA99,$AC99,$AE99),2)+$B99/2&gt;K99,($G$5/$B$5),0),0))))</f>
        <v/>
      </c>
      <c r="M99" s="141" t="str">
        <f>IF($M$8="Habilitado",IF($A99="","",ROUND(VLOOKUP($A99,'Presupuesto Consolidado'!#REF!,6,FALSE),2)),"")</f>
        <v/>
      </c>
      <c r="N99" s="142" t="str">
        <f t="shared" ref="N99" si="996">IF($A99="","",IF(M99="","",IF($K$4="Media aritmética",(M99&lt;=$B99)*($G$5/$B$5)+(M99&gt;$B99)*0,IF(ROUND(AVERAGE($C99,$E99,$G99,$I99,$K99,$M99,$O99,$Q99,$S99,$U99,$W99,$Y99,$AA99,$AC99,$AE99),2)-$B99/2&lt;=M99,IF(ROUND(AVERAGE($C99,$E99,$G99,$I99,$K99,$M99,$O99,$Q99,$S99,$U99,$W99,$Y99,$AA99,$AC99,$AE99),2)+$B99/2&gt;M99,($G$5/$B$5),0),0))))</f>
        <v/>
      </c>
      <c r="O99" s="141" t="str">
        <f>IF($O$8="Habilitado",IF($A99="","",ROUND(VLOOKUP($A99,'Presupuesto Consolidado'!#REF!,6,FALSE),2)),"")</f>
        <v/>
      </c>
      <c r="P99" s="142" t="str">
        <f t="shared" ref="P99" si="997">IF($A99="","",IF(O99="","",IF($K$4="Media aritmética",(O99&lt;=$B99)*($G$5/$B$5)+(O99&gt;$B99)*0,IF(ROUND(AVERAGE($C99,$E99,$G99,$I99,$K99,$M99,$O99,$Q99,$S99,$U99,$W99,$Y99,$AA99,$AC99,$AE99),2)-$B99/2&lt;=O99,IF(ROUND(AVERAGE($C99,$E99,$G99,$I99,$K99,$M99,$O99,$Q99,$S99,$U99,$W99,$Y99,$AA99,$AC99,$AE99),2)+$B99/2&gt;O99,($G$5/$B$5),0),0))))</f>
        <v/>
      </c>
      <c r="Q99" s="141" t="str">
        <f>IF($Q$8="Habilitado",IF($A99="","",ROUND(VLOOKUP($A99,'Presupuesto Consolidado'!#REF!,6,FALSE),2)),"")</f>
        <v/>
      </c>
      <c r="R99" s="142" t="str">
        <f t="shared" ref="R99" si="998">IF($A99="","",IF(Q99="","",IF($K$4="Media aritmética",(Q99&lt;=$B99)*($G$5/$B$5)+(Q99&gt;$B99)*0,IF(ROUND(AVERAGE($C99,$E99,$G99,$I99,$K99,$M99,$O99,$Q99,$S99,$U99,$W99,$Y99,$AA99,$AC99,$AE99),2)-$B99/2&lt;=Q99,IF(ROUND(AVERAGE($C99,$E99,$G99,$I99,$K99,$M99,$O99,$Q99,$S99,$U99,$W99,$Y99,$AA99,$AC99,$AE99),2)+$B99/2&gt;Q99,($G$5/$B$5),0),0))))</f>
        <v/>
      </c>
      <c r="S99" s="141" t="str">
        <f>IF($S$8="Habilitado",IF($A99="","",ROUND(VLOOKUP($A99,'Presupuesto Consolidado'!#REF!,6,FALSE),2)),"")</f>
        <v/>
      </c>
      <c r="T99" s="142" t="str">
        <f t="shared" ref="T99" si="999">IF($A99="","",IF(S99="","",IF($K$4="Media aritmética",(S99&lt;=$B99)*($G$5/$B$5)+(S99&gt;$B99)*0,IF(ROUND(AVERAGE($C99,$E99,$G99,$I99,$K99,$M99,$O99,$Q99,$S99,$U99,$W99,$Y99,$AA99,$AC99,$AE99),2)-$B99/2&lt;=S99,IF(ROUND(AVERAGE($C99,$E99,$G99,$I99,$K99,$M99,$O99,$Q99,$S99,$U99,$W99,$Y99,$AA99,$AC99,$AE99),2)+$B99/2&gt;S99,($G$5/$B$5),0),0))))</f>
        <v/>
      </c>
      <c r="U99" s="141" t="str">
        <f>IF($U$8="Habilitado",IF($A99="","",ROUND(VLOOKUP($A99,'Presupuesto Consolidado'!#REF!,6,FALSE),2)),"")</f>
        <v/>
      </c>
      <c r="V99" s="142" t="str">
        <f t="shared" ref="V99" si="1000">IF($A99="","",IF(U99="","",IF($K$4="Media aritmética",(U99&lt;=$B99)*($G$5/$B$5)+(U99&gt;$B99)*0,IF(ROUND(AVERAGE($C99,$E99,$G99,$I99,$K99,$M99,$O99,$Q99,$S99,$U99,$W99,$Y99,$AA99,$AC99,$AE99),2)-$B99/2&lt;=U99,IF(ROUND(AVERAGE($C99,$E99,$G99,$I99,$K99,$M99,$O99,$Q99,$S99,$U99,$W99,$Y99,$AA99,$AC99,$AE99),2)+$B99/2&gt;U99,($G$5/$B$5),0),0))))</f>
        <v/>
      </c>
      <c r="W99" s="141" t="str">
        <f>IF($W$8="Habilitado",IF($A99="","",ROUND(VLOOKUP($A99,'Presupuesto Consolidado'!#REF!,6,FALSE),2)),"")</f>
        <v/>
      </c>
      <c r="X99" s="142" t="str">
        <f t="shared" ref="X99" si="1001">IF($A99="","",IF(W99="","",IF($K$4="Media aritmética",(W99&lt;=$B99)*($G$5/$B$5)+(W99&gt;$B99)*0,IF(ROUND(AVERAGE($C99,$E99,$G99,$I99,$K99,$M99,$O99,$Q99,$S99,$U99,$W99,$Y99,$AA99,$AC99,$AE99),2)-$B99/2&lt;=W99,IF(ROUND(AVERAGE($C99,$E99,$G99,$I99,$K99,$M99,$O99,$Q99,$S99,$U99,$W99,$Y99,$AA99,$AC99,$AE99),2)+$B99/2&gt;W99,($G$5/$B$5),0),0))))</f>
        <v/>
      </c>
      <c r="Y99" s="141" t="str">
        <f>IF($Y$8="Habilitado",IF($A99="","",ROUND(VLOOKUP($A99,'Presupuesto Consolidado'!#REF!,6,FALSE),2)),"")</f>
        <v/>
      </c>
      <c r="Z99" s="142" t="str">
        <f t="shared" ref="Z99" si="1002">IF($A99="","",IF(Y99="","",IF($K$4="Media aritmética",(Y99&lt;=$B99)*($G$5/$B$5)+(Y99&gt;$B99)*0,IF(ROUND(AVERAGE($C99,$E99,$G99,$I99,$K99,$M99,$O99,$Q99,$S99,$U99,$W99,$Y99,$AA99,$AC99,$AE99),2)-$B99/2&lt;=Y99,IF(ROUND(AVERAGE($C99,$E99,$G99,$I99,$K99,$M99,$O99,$Q99,$S99,$U99,$W99,$Y99,$AA99,$AC99,$AE99),2)+$B99/2&gt;Y99,($G$5/$B$5),0),0))))</f>
        <v/>
      </c>
      <c r="AA99" s="141" t="str">
        <f>IF($AA$8="Habilitado",IF($A99="","",ROUND(VLOOKUP($A99,'Presupuesto Consolidado'!#REF!,6,FALSE),2)),"")</f>
        <v/>
      </c>
      <c r="AB99" s="142" t="str">
        <f t="shared" ref="AB99" si="1003">IF($A99="","",IF(AA99="","",IF($K$4="Media aritmética",(AA99&lt;=$B99)*($G$5/$B$5)+(AA99&gt;$B99)*0,IF(ROUND(AVERAGE($C99,$E99,$G99,$I99,$K99,$M99,$O99,$Q99,$S99,$U99,$W99,$Y99,$AA99,$AC99,$AE99),2)-$B99/2&lt;=AA99,IF(ROUND(AVERAGE($C99,$E99,$G99,$I99,$K99,$M99,$O99,$Q99,$S99,$U99,$W99,$Y99,$AA99,$AC99,$AE99),2)+$B99/2&gt;AA99,($G$5/$B$5),0),0))))</f>
        <v/>
      </c>
      <c r="AC99" s="141" t="str">
        <f>IF($AC$8="Habilitado",IF($A99="","",ROUND(VLOOKUP($A99,'Presupuesto Consolidado'!#REF!,6,FALSE),2)),"")</f>
        <v/>
      </c>
      <c r="AD99" s="142" t="str">
        <f t="shared" ref="AD99" si="1004">IF($A99="","",IF(AC99="","",IF($K$4="Media aritmética",(AC99&lt;=$B99)*($G$5/$B$5)+(AC99&gt;$B99)*0,IF(ROUND(AVERAGE($C99,$E99,$G99,$I99,$K99,$M99,$O99,$Q99,$S99,$U99,$W99,$Y99,$AA99,$AC99,$AE99),2)-$B99/2&lt;=AC99,IF(ROUND(AVERAGE($C99,$E99,$G99,$I99,$K99,$M99,$O99,$Q99,$S99,$U99,$W99,$Y99,$AA99,$AC99,$AE99),2)+$B99/2&gt;AC99,($G$5/$B$5),0),0))))</f>
        <v/>
      </c>
      <c r="AE99" s="141" t="str">
        <f>IF($AE$8="Habilitado",IF($A99="","",ROUND(VLOOKUP($A99,'Presupuesto Consolidado'!#REF!,6,FALSE),2)),"")</f>
        <v/>
      </c>
      <c r="AF99" s="142" t="str">
        <f t="shared" ref="AF99" si="1005">IF($A99="","",IF(AE99="","",IF($K$4="Media aritmética",(AE99&lt;=$B99)*($G$5/$B$5)+(AE99&gt;$B99)*0,IF(ROUND(AVERAGE($C99,$E99,$G99,$I99,$K99,$M99,$O99,$Q99,$S99,$U99,$W99,$Y99,$AA99,$AC99,$AE99),2)-$B99/2&lt;=AE99,IF(ROUND(AVERAGE($C99,$E99,$G99,$I99,$K99,$M99,$O99,$Q99,$S99,$U99,$W99,$Y99,$AA99,$AC99,$AE99),2)+$B99/2&gt;AE99,($G$5/$B$5),0),0))))</f>
        <v/>
      </c>
    </row>
    <row r="100" spans="1:32" s="135" customFormat="1" ht="21" customHeight="1">
      <c r="A100" s="132" t="str">
        <f>+'Presupuesto Consolidado'!A112</f>
        <v>12.3.8</v>
      </c>
      <c r="B100" s="140">
        <f t="shared" ref="B100" si="1006">IF(A100="","",IF($K$4="Media aritmética",ROUND(AVERAGE(C100,E100,G100,I100,K100,M100,O100,Q100,S100,U100,W100,Y100,AA100,AC100,AE100),2),ROUND(_xlfn.STDEV.P(C100,E100,G100,I100,K100,M100,O100,Q100,S100,U100,W100,Y100,AA100,AC100,AE100),2)))</f>
        <v>388125</v>
      </c>
      <c r="C100" s="141">
        <f>IF($C$8="Habilitado",IF($A100="","",ROUND(VLOOKUP($A100,'Presupuesto Consolidado'!$A$9:$F$600,6,FALSE),2)),"")</f>
        <v>388125</v>
      </c>
      <c r="D100" s="142">
        <f t="shared" ref="D100" si="1007">IF($A100="","",IF(C100="","",IF($K$4="Media aritmética",(C100&lt;=$B100)*($G$5/$B$5)+(C100&gt;$B100)*0,IF(ROUND(AVERAGE($C100,$E100,$G100,$I100,$K100,$M100,$O100,$Q100,$S100,$U100,$W100,$Y100,$AA100,$AC100,$AE100),2)-$B100/2&lt;=C100,IF(ROUND(AVERAGE($C100,$E100,$G100,$I100,$K100,$M100,$O100,$Q100,$S100,$U100,$W100,$Y100,$AA100,$AC100,$AE100),2)+$B100/2&gt;C100,($G$5/$B$5),0),0))))</f>
        <v>0.45714285714285713</v>
      </c>
      <c r="E100" s="141" t="str">
        <f>IF($E$8="Habilitado",IF($A100="","",ROUND(VLOOKUP($A100,'Presupuesto Consolidado'!$I$9:$N$600,6,FALSE),2)),"")</f>
        <v/>
      </c>
      <c r="F100" s="142" t="str">
        <f t="shared" ref="F100" si="1008">IF($A100="","",IF(E100="","",IF($K$4="Media aritmética",(E100&lt;=$B100)*($G$5/$B$5)+(E100&gt;$B100)*0,IF(ROUND(AVERAGE($C100,$E100,$G100,$I100,$K100,$M100,$O100,$Q100,$S100,$U100,$W100,$Y100,$AA100,$AC100,$AE100),2)-$B100/2&lt;=E100,IF(ROUND(AVERAGE($C100,$E100,$G100,$I100,$K100,$M100,$O100,$Q100,$S100,$U100,$W100,$Y100,$AA100,$AC100,$AE100),2)+$B100/2&gt;E100,($G$5/$B$5),0),0))))</f>
        <v/>
      </c>
      <c r="G100" s="141" t="str">
        <f>IF($G$8="Habilitado",IF($A100="","",ROUND(VLOOKUP($A100,'Presupuesto Consolidado'!$Q$9:$V$600,6,FALSE),2)),"")</f>
        <v/>
      </c>
      <c r="H100" s="142" t="str">
        <f t="shared" ref="H100" si="1009">IF($A100="","",IF(G100="","",IF($K$4="Media aritmética",(G100&lt;=$B100)*($G$5/$B$5)+(G100&gt;$B100)*0,IF(ROUND(AVERAGE($C100,$E100,$G100,$I100,$K100,$M100,$O100,$Q100,$S100,$U100,$W100,$Y100,$AA100,$AC100,$AE100),2)-$B100/2&lt;=G100,IF(ROUND(AVERAGE($C100,$E100,$G100,$I100,$K100,$M100,$O100,$Q100,$S100,$U100,$W100,$Y100,$AA100,$AC100,$AE100),2)+$B100/2&gt;G100,($G$5/$B$5),0),0))))</f>
        <v/>
      </c>
      <c r="I100" s="141" t="str">
        <f>IF($I$8="Habilitado",IF($A100="","",ROUND(VLOOKUP($A100,'Presupuesto Consolidado'!$Y$9:$AD$600,6,FALSE),2)),"")</f>
        <v/>
      </c>
      <c r="J100" s="142" t="str">
        <f t="shared" ref="J100" si="1010">IF($A100="","",IF(I100="","",IF($K$4="Media aritmética",(I100&lt;=$B100)*($G$5/$B$5)+(I100&gt;$B100)*0,IF(ROUND(AVERAGE($C100,$E100,$G100,$I100,$K100,$M100,$O100,$Q100,$S100,$U100,$W100,$Y100,$AA100,$AC100,$AE100),2)-$B100/2&lt;=I100,IF(ROUND(AVERAGE($C100,$E100,$G100,$I100,$K100,$M100,$O100,$Q100,$S100,$U100,$W100,$Y100,$AA100,$AC100,$AE100),2)+$B100/2&gt;I100,($G$5/$B$5),0),0))))</f>
        <v/>
      </c>
      <c r="K100" s="141" t="str">
        <f>IF($K$8="Habilitado",IF($A100="","",ROUND(VLOOKUP($A100,'Presupuesto Consolidado'!#REF!,6,FALSE),2)),"")</f>
        <v/>
      </c>
      <c r="L100" s="142" t="str">
        <f t="shared" ref="L100" si="1011">IF($A100="","",IF(K100="","",IF($K$4="Media aritmética",(K100&lt;=$B100)*($G$5/$B$5)+(K100&gt;$B100)*0,IF(ROUND(AVERAGE($C100,$E100,$G100,$I100,$K100,$M100,$O100,$Q100,$S100,$U100,$W100,$Y100,$AA100,$AC100,$AE100),2)-$B100/2&lt;=K100,IF(ROUND(AVERAGE($C100,$E100,$G100,$I100,$K100,$M100,$O100,$Q100,$S100,$U100,$W100,$Y100,$AA100,$AC100,$AE100),2)+$B100/2&gt;K100,($G$5/$B$5),0),0))))</f>
        <v/>
      </c>
      <c r="M100" s="141" t="str">
        <f>IF($M$8="Habilitado",IF($A100="","",ROUND(VLOOKUP($A100,'Presupuesto Consolidado'!#REF!,6,FALSE),2)),"")</f>
        <v/>
      </c>
      <c r="N100" s="142" t="str">
        <f t="shared" ref="N100" si="1012">IF($A100="","",IF(M100="","",IF($K$4="Media aritmética",(M100&lt;=$B100)*($G$5/$B$5)+(M100&gt;$B100)*0,IF(ROUND(AVERAGE($C100,$E100,$G100,$I100,$K100,$M100,$O100,$Q100,$S100,$U100,$W100,$Y100,$AA100,$AC100,$AE100),2)-$B100/2&lt;=M100,IF(ROUND(AVERAGE($C100,$E100,$G100,$I100,$K100,$M100,$O100,$Q100,$S100,$U100,$W100,$Y100,$AA100,$AC100,$AE100),2)+$B100/2&gt;M100,($G$5/$B$5),0),0))))</f>
        <v/>
      </c>
      <c r="O100" s="141" t="str">
        <f>IF($O$8="Habilitado",IF($A100="","",ROUND(VLOOKUP($A100,'Presupuesto Consolidado'!#REF!,6,FALSE),2)),"")</f>
        <v/>
      </c>
      <c r="P100" s="142" t="str">
        <f t="shared" ref="P100" si="1013">IF($A100="","",IF(O100="","",IF($K$4="Media aritmética",(O100&lt;=$B100)*($G$5/$B$5)+(O100&gt;$B100)*0,IF(ROUND(AVERAGE($C100,$E100,$G100,$I100,$K100,$M100,$O100,$Q100,$S100,$U100,$W100,$Y100,$AA100,$AC100,$AE100),2)-$B100/2&lt;=O100,IF(ROUND(AVERAGE($C100,$E100,$G100,$I100,$K100,$M100,$O100,$Q100,$S100,$U100,$W100,$Y100,$AA100,$AC100,$AE100),2)+$B100/2&gt;O100,($G$5/$B$5),0),0))))</f>
        <v/>
      </c>
      <c r="Q100" s="141" t="str">
        <f>IF($Q$8="Habilitado",IF($A100="","",ROUND(VLOOKUP($A100,'Presupuesto Consolidado'!#REF!,6,FALSE),2)),"")</f>
        <v/>
      </c>
      <c r="R100" s="142" t="str">
        <f t="shared" ref="R100" si="1014">IF($A100="","",IF(Q100="","",IF($K$4="Media aritmética",(Q100&lt;=$B100)*($G$5/$B$5)+(Q100&gt;$B100)*0,IF(ROUND(AVERAGE($C100,$E100,$G100,$I100,$K100,$M100,$O100,$Q100,$S100,$U100,$W100,$Y100,$AA100,$AC100,$AE100),2)-$B100/2&lt;=Q100,IF(ROUND(AVERAGE($C100,$E100,$G100,$I100,$K100,$M100,$O100,$Q100,$S100,$U100,$W100,$Y100,$AA100,$AC100,$AE100),2)+$B100/2&gt;Q100,($G$5/$B$5),0),0))))</f>
        <v/>
      </c>
      <c r="S100" s="141" t="str">
        <f>IF($S$8="Habilitado",IF($A100="","",ROUND(VLOOKUP($A100,'Presupuesto Consolidado'!#REF!,6,FALSE),2)),"")</f>
        <v/>
      </c>
      <c r="T100" s="142" t="str">
        <f t="shared" ref="T100" si="1015">IF($A100="","",IF(S100="","",IF($K$4="Media aritmética",(S100&lt;=$B100)*($G$5/$B$5)+(S100&gt;$B100)*0,IF(ROUND(AVERAGE($C100,$E100,$G100,$I100,$K100,$M100,$O100,$Q100,$S100,$U100,$W100,$Y100,$AA100,$AC100,$AE100),2)-$B100/2&lt;=S100,IF(ROUND(AVERAGE($C100,$E100,$G100,$I100,$K100,$M100,$O100,$Q100,$S100,$U100,$W100,$Y100,$AA100,$AC100,$AE100),2)+$B100/2&gt;S100,($G$5/$B$5),0),0))))</f>
        <v/>
      </c>
      <c r="U100" s="141" t="str">
        <f>IF($U$8="Habilitado",IF($A100="","",ROUND(VLOOKUP($A100,'Presupuesto Consolidado'!#REF!,6,FALSE),2)),"")</f>
        <v/>
      </c>
      <c r="V100" s="142" t="str">
        <f t="shared" ref="V100" si="1016">IF($A100="","",IF(U100="","",IF($K$4="Media aritmética",(U100&lt;=$B100)*($G$5/$B$5)+(U100&gt;$B100)*0,IF(ROUND(AVERAGE($C100,$E100,$G100,$I100,$K100,$M100,$O100,$Q100,$S100,$U100,$W100,$Y100,$AA100,$AC100,$AE100),2)-$B100/2&lt;=U100,IF(ROUND(AVERAGE($C100,$E100,$G100,$I100,$K100,$M100,$O100,$Q100,$S100,$U100,$W100,$Y100,$AA100,$AC100,$AE100),2)+$B100/2&gt;U100,($G$5/$B$5),0),0))))</f>
        <v/>
      </c>
      <c r="W100" s="141" t="str">
        <f>IF($W$8="Habilitado",IF($A100="","",ROUND(VLOOKUP($A100,'Presupuesto Consolidado'!#REF!,6,FALSE),2)),"")</f>
        <v/>
      </c>
      <c r="X100" s="142" t="str">
        <f t="shared" ref="X100" si="1017">IF($A100="","",IF(W100="","",IF($K$4="Media aritmética",(W100&lt;=$B100)*($G$5/$B$5)+(W100&gt;$B100)*0,IF(ROUND(AVERAGE($C100,$E100,$G100,$I100,$K100,$M100,$O100,$Q100,$S100,$U100,$W100,$Y100,$AA100,$AC100,$AE100),2)-$B100/2&lt;=W100,IF(ROUND(AVERAGE($C100,$E100,$G100,$I100,$K100,$M100,$O100,$Q100,$S100,$U100,$W100,$Y100,$AA100,$AC100,$AE100),2)+$B100/2&gt;W100,($G$5/$B$5),0),0))))</f>
        <v/>
      </c>
      <c r="Y100" s="141" t="str">
        <f>IF($Y$8="Habilitado",IF($A100="","",ROUND(VLOOKUP($A100,'Presupuesto Consolidado'!#REF!,6,FALSE),2)),"")</f>
        <v/>
      </c>
      <c r="Z100" s="142" t="str">
        <f t="shared" ref="Z100" si="1018">IF($A100="","",IF(Y100="","",IF($K$4="Media aritmética",(Y100&lt;=$B100)*($G$5/$B$5)+(Y100&gt;$B100)*0,IF(ROUND(AVERAGE($C100,$E100,$G100,$I100,$K100,$M100,$O100,$Q100,$S100,$U100,$W100,$Y100,$AA100,$AC100,$AE100),2)-$B100/2&lt;=Y100,IF(ROUND(AVERAGE($C100,$E100,$G100,$I100,$K100,$M100,$O100,$Q100,$S100,$U100,$W100,$Y100,$AA100,$AC100,$AE100),2)+$B100/2&gt;Y100,($G$5/$B$5),0),0))))</f>
        <v/>
      </c>
      <c r="AA100" s="141" t="str">
        <f>IF($AA$8="Habilitado",IF($A100="","",ROUND(VLOOKUP($A100,'Presupuesto Consolidado'!#REF!,6,FALSE),2)),"")</f>
        <v/>
      </c>
      <c r="AB100" s="142" t="str">
        <f t="shared" ref="AB100" si="1019">IF($A100="","",IF(AA100="","",IF($K$4="Media aritmética",(AA100&lt;=$B100)*($G$5/$B$5)+(AA100&gt;$B100)*0,IF(ROUND(AVERAGE($C100,$E100,$G100,$I100,$K100,$M100,$O100,$Q100,$S100,$U100,$W100,$Y100,$AA100,$AC100,$AE100),2)-$B100/2&lt;=AA100,IF(ROUND(AVERAGE($C100,$E100,$G100,$I100,$K100,$M100,$O100,$Q100,$S100,$U100,$W100,$Y100,$AA100,$AC100,$AE100),2)+$B100/2&gt;AA100,($G$5/$B$5),0),0))))</f>
        <v/>
      </c>
      <c r="AC100" s="141" t="str">
        <f>IF($AC$8="Habilitado",IF($A100="","",ROUND(VLOOKUP($A100,'Presupuesto Consolidado'!#REF!,6,FALSE),2)),"")</f>
        <v/>
      </c>
      <c r="AD100" s="142" t="str">
        <f t="shared" ref="AD100" si="1020">IF($A100="","",IF(AC100="","",IF($K$4="Media aritmética",(AC100&lt;=$B100)*($G$5/$B$5)+(AC100&gt;$B100)*0,IF(ROUND(AVERAGE($C100,$E100,$G100,$I100,$K100,$M100,$O100,$Q100,$S100,$U100,$W100,$Y100,$AA100,$AC100,$AE100),2)-$B100/2&lt;=AC100,IF(ROUND(AVERAGE($C100,$E100,$G100,$I100,$K100,$M100,$O100,$Q100,$S100,$U100,$W100,$Y100,$AA100,$AC100,$AE100),2)+$B100/2&gt;AC100,($G$5/$B$5),0),0))))</f>
        <v/>
      </c>
      <c r="AE100" s="141" t="str">
        <f>IF($AE$8="Habilitado",IF($A100="","",ROUND(VLOOKUP($A100,'Presupuesto Consolidado'!#REF!,6,FALSE),2)),"")</f>
        <v/>
      </c>
      <c r="AF100" s="142" t="str">
        <f t="shared" ref="AF100" si="1021">IF($A100="","",IF(AE100="","",IF($K$4="Media aritmética",(AE100&lt;=$B100)*($G$5/$B$5)+(AE100&gt;$B100)*0,IF(ROUND(AVERAGE($C100,$E100,$G100,$I100,$K100,$M100,$O100,$Q100,$S100,$U100,$W100,$Y100,$AA100,$AC100,$AE100),2)-$B100/2&lt;=AE100,IF(ROUND(AVERAGE($C100,$E100,$G100,$I100,$K100,$M100,$O100,$Q100,$S100,$U100,$W100,$Y100,$AA100,$AC100,$AE100),2)+$B100/2&gt;AE100,($G$5/$B$5),0),0))))</f>
        <v/>
      </c>
    </row>
    <row r="101" spans="1:32" s="135" customFormat="1" ht="21" customHeight="1">
      <c r="A101" s="132" t="str">
        <f>+'Presupuesto Consolidado'!A113</f>
        <v>12.3.9</v>
      </c>
      <c r="B101" s="140">
        <f t="shared" ref="B101" si="1022">IF(A101="","",IF($K$4="Media aritmética",ROUND(AVERAGE(C101,E101,G101,I101,K101,M101,O101,Q101,S101,U101,W101,Y101,AA101,AC101,AE101),2),ROUND(_xlfn.STDEV.P(C101,E101,G101,I101,K101,M101,O101,Q101,S101,U101,W101,Y101,AA101,AC101,AE101),2)))</f>
        <v>596160</v>
      </c>
      <c r="C101" s="141">
        <f>IF($C$8="Habilitado",IF($A101="","",ROUND(VLOOKUP($A101,'Presupuesto Consolidado'!$A$9:$F$600,6,FALSE),2)),"")</f>
        <v>596160</v>
      </c>
      <c r="D101" s="142">
        <f t="shared" ref="D101" si="1023">IF($A101="","",IF(C101="","",IF($K$4="Media aritmética",(C101&lt;=$B101)*($G$5/$B$5)+(C101&gt;$B101)*0,IF(ROUND(AVERAGE($C101,$E101,$G101,$I101,$K101,$M101,$O101,$Q101,$S101,$U101,$W101,$Y101,$AA101,$AC101,$AE101),2)-$B101/2&lt;=C101,IF(ROUND(AVERAGE($C101,$E101,$G101,$I101,$K101,$M101,$O101,$Q101,$S101,$U101,$W101,$Y101,$AA101,$AC101,$AE101),2)+$B101/2&gt;C101,($G$5/$B$5),0),0))))</f>
        <v>0.45714285714285713</v>
      </c>
      <c r="E101" s="141" t="str">
        <f>IF($E$8="Habilitado",IF($A101="","",ROUND(VLOOKUP($A101,'Presupuesto Consolidado'!$I$9:$N$600,6,FALSE),2)),"")</f>
        <v/>
      </c>
      <c r="F101" s="142" t="str">
        <f t="shared" ref="F101" si="1024">IF($A101="","",IF(E101="","",IF($K$4="Media aritmética",(E101&lt;=$B101)*($G$5/$B$5)+(E101&gt;$B101)*0,IF(ROUND(AVERAGE($C101,$E101,$G101,$I101,$K101,$M101,$O101,$Q101,$S101,$U101,$W101,$Y101,$AA101,$AC101,$AE101),2)-$B101/2&lt;=E101,IF(ROUND(AVERAGE($C101,$E101,$G101,$I101,$K101,$M101,$O101,$Q101,$S101,$U101,$W101,$Y101,$AA101,$AC101,$AE101),2)+$B101/2&gt;E101,($G$5/$B$5),0),0))))</f>
        <v/>
      </c>
      <c r="G101" s="141" t="str">
        <f>IF($G$8="Habilitado",IF($A101="","",ROUND(VLOOKUP($A101,'Presupuesto Consolidado'!$Q$9:$V$600,6,FALSE),2)),"")</f>
        <v/>
      </c>
      <c r="H101" s="142" t="str">
        <f t="shared" ref="H101" si="1025">IF($A101="","",IF(G101="","",IF($K$4="Media aritmética",(G101&lt;=$B101)*($G$5/$B$5)+(G101&gt;$B101)*0,IF(ROUND(AVERAGE($C101,$E101,$G101,$I101,$K101,$M101,$O101,$Q101,$S101,$U101,$W101,$Y101,$AA101,$AC101,$AE101),2)-$B101/2&lt;=G101,IF(ROUND(AVERAGE($C101,$E101,$G101,$I101,$K101,$M101,$O101,$Q101,$S101,$U101,$W101,$Y101,$AA101,$AC101,$AE101),2)+$B101/2&gt;G101,($G$5/$B$5),0),0))))</f>
        <v/>
      </c>
      <c r="I101" s="141" t="str">
        <f>IF($I$8="Habilitado",IF($A101="","",ROUND(VLOOKUP($A101,'Presupuesto Consolidado'!$Y$9:$AD$600,6,FALSE),2)),"")</f>
        <v/>
      </c>
      <c r="J101" s="142" t="str">
        <f t="shared" ref="J101" si="1026">IF($A101="","",IF(I101="","",IF($K$4="Media aritmética",(I101&lt;=$B101)*($G$5/$B$5)+(I101&gt;$B101)*0,IF(ROUND(AVERAGE($C101,$E101,$G101,$I101,$K101,$M101,$O101,$Q101,$S101,$U101,$W101,$Y101,$AA101,$AC101,$AE101),2)-$B101/2&lt;=I101,IF(ROUND(AVERAGE($C101,$E101,$G101,$I101,$K101,$M101,$O101,$Q101,$S101,$U101,$W101,$Y101,$AA101,$AC101,$AE101),2)+$B101/2&gt;I101,($G$5/$B$5),0),0))))</f>
        <v/>
      </c>
      <c r="K101" s="141" t="str">
        <f>IF($K$8="Habilitado",IF($A101="","",ROUND(VLOOKUP($A101,'Presupuesto Consolidado'!#REF!,6,FALSE),2)),"")</f>
        <v/>
      </c>
      <c r="L101" s="142" t="str">
        <f t="shared" ref="L101" si="1027">IF($A101="","",IF(K101="","",IF($K$4="Media aritmética",(K101&lt;=$B101)*($G$5/$B$5)+(K101&gt;$B101)*0,IF(ROUND(AVERAGE($C101,$E101,$G101,$I101,$K101,$M101,$O101,$Q101,$S101,$U101,$W101,$Y101,$AA101,$AC101,$AE101),2)-$B101/2&lt;=K101,IF(ROUND(AVERAGE($C101,$E101,$G101,$I101,$K101,$M101,$O101,$Q101,$S101,$U101,$W101,$Y101,$AA101,$AC101,$AE101),2)+$B101/2&gt;K101,($G$5/$B$5),0),0))))</f>
        <v/>
      </c>
      <c r="M101" s="141" t="str">
        <f>IF($M$8="Habilitado",IF($A101="","",ROUND(VLOOKUP($A101,'Presupuesto Consolidado'!#REF!,6,FALSE),2)),"")</f>
        <v/>
      </c>
      <c r="N101" s="142" t="str">
        <f t="shared" ref="N101" si="1028">IF($A101="","",IF(M101="","",IF($K$4="Media aritmética",(M101&lt;=$B101)*($G$5/$B$5)+(M101&gt;$B101)*0,IF(ROUND(AVERAGE($C101,$E101,$G101,$I101,$K101,$M101,$O101,$Q101,$S101,$U101,$W101,$Y101,$AA101,$AC101,$AE101),2)-$B101/2&lt;=M101,IF(ROUND(AVERAGE($C101,$E101,$G101,$I101,$K101,$M101,$O101,$Q101,$S101,$U101,$W101,$Y101,$AA101,$AC101,$AE101),2)+$B101/2&gt;M101,($G$5/$B$5),0),0))))</f>
        <v/>
      </c>
      <c r="O101" s="141" t="str">
        <f>IF($O$8="Habilitado",IF($A101="","",ROUND(VLOOKUP($A101,'Presupuesto Consolidado'!#REF!,6,FALSE),2)),"")</f>
        <v/>
      </c>
      <c r="P101" s="142" t="str">
        <f t="shared" ref="P101" si="1029">IF($A101="","",IF(O101="","",IF($K$4="Media aritmética",(O101&lt;=$B101)*($G$5/$B$5)+(O101&gt;$B101)*0,IF(ROUND(AVERAGE($C101,$E101,$G101,$I101,$K101,$M101,$O101,$Q101,$S101,$U101,$W101,$Y101,$AA101,$AC101,$AE101),2)-$B101/2&lt;=O101,IF(ROUND(AVERAGE($C101,$E101,$G101,$I101,$K101,$M101,$O101,$Q101,$S101,$U101,$W101,$Y101,$AA101,$AC101,$AE101),2)+$B101/2&gt;O101,($G$5/$B$5),0),0))))</f>
        <v/>
      </c>
      <c r="Q101" s="141" t="str">
        <f>IF($Q$8="Habilitado",IF($A101="","",ROUND(VLOOKUP($A101,'Presupuesto Consolidado'!#REF!,6,FALSE),2)),"")</f>
        <v/>
      </c>
      <c r="R101" s="142" t="str">
        <f t="shared" ref="R101" si="1030">IF($A101="","",IF(Q101="","",IF($K$4="Media aritmética",(Q101&lt;=$B101)*($G$5/$B$5)+(Q101&gt;$B101)*0,IF(ROUND(AVERAGE($C101,$E101,$G101,$I101,$K101,$M101,$O101,$Q101,$S101,$U101,$W101,$Y101,$AA101,$AC101,$AE101),2)-$B101/2&lt;=Q101,IF(ROUND(AVERAGE($C101,$E101,$G101,$I101,$K101,$M101,$O101,$Q101,$S101,$U101,$W101,$Y101,$AA101,$AC101,$AE101),2)+$B101/2&gt;Q101,($G$5/$B$5),0),0))))</f>
        <v/>
      </c>
      <c r="S101" s="141" t="str">
        <f>IF($S$8="Habilitado",IF($A101="","",ROUND(VLOOKUP($A101,'Presupuesto Consolidado'!#REF!,6,FALSE),2)),"")</f>
        <v/>
      </c>
      <c r="T101" s="142" t="str">
        <f t="shared" ref="T101" si="1031">IF($A101="","",IF(S101="","",IF($K$4="Media aritmética",(S101&lt;=$B101)*($G$5/$B$5)+(S101&gt;$B101)*0,IF(ROUND(AVERAGE($C101,$E101,$G101,$I101,$K101,$M101,$O101,$Q101,$S101,$U101,$W101,$Y101,$AA101,$AC101,$AE101),2)-$B101/2&lt;=S101,IF(ROUND(AVERAGE($C101,$E101,$G101,$I101,$K101,$M101,$O101,$Q101,$S101,$U101,$W101,$Y101,$AA101,$AC101,$AE101),2)+$B101/2&gt;S101,($G$5/$B$5),0),0))))</f>
        <v/>
      </c>
      <c r="U101" s="141" t="str">
        <f>IF($U$8="Habilitado",IF($A101="","",ROUND(VLOOKUP($A101,'Presupuesto Consolidado'!#REF!,6,FALSE),2)),"")</f>
        <v/>
      </c>
      <c r="V101" s="142" t="str">
        <f t="shared" ref="V101" si="1032">IF($A101="","",IF(U101="","",IF($K$4="Media aritmética",(U101&lt;=$B101)*($G$5/$B$5)+(U101&gt;$B101)*0,IF(ROUND(AVERAGE($C101,$E101,$G101,$I101,$K101,$M101,$O101,$Q101,$S101,$U101,$W101,$Y101,$AA101,$AC101,$AE101),2)-$B101/2&lt;=U101,IF(ROUND(AVERAGE($C101,$E101,$G101,$I101,$K101,$M101,$O101,$Q101,$S101,$U101,$W101,$Y101,$AA101,$AC101,$AE101),2)+$B101/2&gt;U101,($G$5/$B$5),0),0))))</f>
        <v/>
      </c>
      <c r="W101" s="141" t="str">
        <f>IF($W$8="Habilitado",IF($A101="","",ROUND(VLOOKUP($A101,'Presupuesto Consolidado'!#REF!,6,FALSE),2)),"")</f>
        <v/>
      </c>
      <c r="X101" s="142" t="str">
        <f t="shared" ref="X101" si="1033">IF($A101="","",IF(W101="","",IF($K$4="Media aritmética",(W101&lt;=$B101)*($G$5/$B$5)+(W101&gt;$B101)*0,IF(ROUND(AVERAGE($C101,$E101,$G101,$I101,$K101,$M101,$O101,$Q101,$S101,$U101,$W101,$Y101,$AA101,$AC101,$AE101),2)-$B101/2&lt;=W101,IF(ROUND(AVERAGE($C101,$E101,$G101,$I101,$K101,$M101,$O101,$Q101,$S101,$U101,$W101,$Y101,$AA101,$AC101,$AE101),2)+$B101/2&gt;W101,($G$5/$B$5),0),0))))</f>
        <v/>
      </c>
      <c r="Y101" s="141" t="str">
        <f>IF($Y$8="Habilitado",IF($A101="","",ROUND(VLOOKUP($A101,'Presupuesto Consolidado'!#REF!,6,FALSE),2)),"")</f>
        <v/>
      </c>
      <c r="Z101" s="142" t="str">
        <f t="shared" ref="Z101" si="1034">IF($A101="","",IF(Y101="","",IF($K$4="Media aritmética",(Y101&lt;=$B101)*($G$5/$B$5)+(Y101&gt;$B101)*0,IF(ROUND(AVERAGE($C101,$E101,$G101,$I101,$K101,$M101,$O101,$Q101,$S101,$U101,$W101,$Y101,$AA101,$AC101,$AE101),2)-$B101/2&lt;=Y101,IF(ROUND(AVERAGE($C101,$E101,$G101,$I101,$K101,$M101,$O101,$Q101,$S101,$U101,$W101,$Y101,$AA101,$AC101,$AE101),2)+$B101/2&gt;Y101,($G$5/$B$5),0),0))))</f>
        <v/>
      </c>
      <c r="AA101" s="141" t="str">
        <f>IF($AA$8="Habilitado",IF($A101="","",ROUND(VLOOKUP($A101,'Presupuesto Consolidado'!#REF!,6,FALSE),2)),"")</f>
        <v/>
      </c>
      <c r="AB101" s="142" t="str">
        <f t="shared" ref="AB101" si="1035">IF($A101="","",IF(AA101="","",IF($K$4="Media aritmética",(AA101&lt;=$B101)*($G$5/$B$5)+(AA101&gt;$B101)*0,IF(ROUND(AVERAGE($C101,$E101,$G101,$I101,$K101,$M101,$O101,$Q101,$S101,$U101,$W101,$Y101,$AA101,$AC101,$AE101),2)-$B101/2&lt;=AA101,IF(ROUND(AVERAGE($C101,$E101,$G101,$I101,$K101,$M101,$O101,$Q101,$S101,$U101,$W101,$Y101,$AA101,$AC101,$AE101),2)+$B101/2&gt;AA101,($G$5/$B$5),0),0))))</f>
        <v/>
      </c>
      <c r="AC101" s="141" t="str">
        <f>IF($AC$8="Habilitado",IF($A101="","",ROUND(VLOOKUP($A101,'Presupuesto Consolidado'!#REF!,6,FALSE),2)),"")</f>
        <v/>
      </c>
      <c r="AD101" s="142" t="str">
        <f t="shared" ref="AD101" si="1036">IF($A101="","",IF(AC101="","",IF($K$4="Media aritmética",(AC101&lt;=$B101)*($G$5/$B$5)+(AC101&gt;$B101)*0,IF(ROUND(AVERAGE($C101,$E101,$G101,$I101,$K101,$M101,$O101,$Q101,$S101,$U101,$W101,$Y101,$AA101,$AC101,$AE101),2)-$B101/2&lt;=AC101,IF(ROUND(AVERAGE($C101,$E101,$G101,$I101,$K101,$M101,$O101,$Q101,$S101,$U101,$W101,$Y101,$AA101,$AC101,$AE101),2)+$B101/2&gt;AC101,($G$5/$B$5),0),0))))</f>
        <v/>
      </c>
      <c r="AE101" s="141" t="str">
        <f>IF($AE$8="Habilitado",IF($A101="","",ROUND(VLOOKUP($A101,'Presupuesto Consolidado'!#REF!,6,FALSE),2)),"")</f>
        <v/>
      </c>
      <c r="AF101" s="142" t="str">
        <f t="shared" ref="AF101" si="1037">IF($A101="","",IF(AE101="","",IF($K$4="Media aritmética",(AE101&lt;=$B101)*($G$5/$B$5)+(AE101&gt;$B101)*0,IF(ROUND(AVERAGE($C101,$E101,$G101,$I101,$K101,$M101,$O101,$Q101,$S101,$U101,$W101,$Y101,$AA101,$AC101,$AE101),2)-$B101/2&lt;=AE101,IF(ROUND(AVERAGE($C101,$E101,$G101,$I101,$K101,$M101,$O101,$Q101,$S101,$U101,$W101,$Y101,$AA101,$AC101,$AE101),2)+$B101/2&gt;AE101,($G$5/$B$5),0),0))))</f>
        <v/>
      </c>
    </row>
    <row r="102" spans="1:32" s="135" customFormat="1" ht="21" customHeight="1">
      <c r="A102" s="132" t="str">
        <f>+'Presupuesto Consolidado'!A114</f>
        <v>12.3.10</v>
      </c>
      <c r="B102" s="140">
        <f t="shared" ref="B102" si="1038">IF(A102="","",IF($K$4="Media aritmética",ROUND(AVERAGE(C102,E102,G102,I102,K102,M102,O102,Q102,S102,U102,W102,Y102,AA102,AC102,AE102),2),ROUND(_xlfn.STDEV.P(C102,E102,G102,I102,K102,M102,O102,Q102,S102,U102,W102,Y102,AA102,AC102,AE102),2)))</f>
        <v>4140000</v>
      </c>
      <c r="C102" s="141">
        <f>IF($C$8="Habilitado",IF($A102="","",ROUND(VLOOKUP($A102,'Presupuesto Consolidado'!$A$9:$F$600,6,FALSE),2)),"")</f>
        <v>4140000</v>
      </c>
      <c r="D102" s="142">
        <f t="shared" ref="D102" si="1039">IF($A102="","",IF(C102="","",IF($K$4="Media aritmética",(C102&lt;=$B102)*($G$5/$B$5)+(C102&gt;$B102)*0,IF(ROUND(AVERAGE($C102,$E102,$G102,$I102,$K102,$M102,$O102,$Q102,$S102,$U102,$W102,$Y102,$AA102,$AC102,$AE102),2)-$B102/2&lt;=C102,IF(ROUND(AVERAGE($C102,$E102,$G102,$I102,$K102,$M102,$O102,$Q102,$S102,$U102,$W102,$Y102,$AA102,$AC102,$AE102),2)+$B102/2&gt;C102,($G$5/$B$5),0),0))))</f>
        <v>0.45714285714285713</v>
      </c>
      <c r="E102" s="141" t="str">
        <f>IF($E$8="Habilitado",IF($A102="","",ROUND(VLOOKUP($A102,'Presupuesto Consolidado'!$I$9:$N$600,6,FALSE),2)),"")</f>
        <v/>
      </c>
      <c r="F102" s="142" t="str">
        <f t="shared" ref="F102" si="1040">IF($A102="","",IF(E102="","",IF($K$4="Media aritmética",(E102&lt;=$B102)*($G$5/$B$5)+(E102&gt;$B102)*0,IF(ROUND(AVERAGE($C102,$E102,$G102,$I102,$K102,$M102,$O102,$Q102,$S102,$U102,$W102,$Y102,$AA102,$AC102,$AE102),2)-$B102/2&lt;=E102,IF(ROUND(AVERAGE($C102,$E102,$G102,$I102,$K102,$M102,$O102,$Q102,$S102,$U102,$W102,$Y102,$AA102,$AC102,$AE102),2)+$B102/2&gt;E102,($G$5/$B$5),0),0))))</f>
        <v/>
      </c>
      <c r="G102" s="141" t="str">
        <f>IF($G$8="Habilitado",IF($A102="","",ROUND(VLOOKUP($A102,'Presupuesto Consolidado'!$Q$9:$V$600,6,FALSE),2)),"")</f>
        <v/>
      </c>
      <c r="H102" s="142" t="str">
        <f t="shared" ref="H102" si="1041">IF($A102="","",IF(G102="","",IF($K$4="Media aritmética",(G102&lt;=$B102)*($G$5/$B$5)+(G102&gt;$B102)*0,IF(ROUND(AVERAGE($C102,$E102,$G102,$I102,$K102,$M102,$O102,$Q102,$S102,$U102,$W102,$Y102,$AA102,$AC102,$AE102),2)-$B102/2&lt;=G102,IF(ROUND(AVERAGE($C102,$E102,$G102,$I102,$K102,$M102,$O102,$Q102,$S102,$U102,$W102,$Y102,$AA102,$AC102,$AE102),2)+$B102/2&gt;G102,($G$5/$B$5),0),0))))</f>
        <v/>
      </c>
      <c r="I102" s="141" t="str">
        <f>IF($I$8="Habilitado",IF($A102="","",ROUND(VLOOKUP($A102,'Presupuesto Consolidado'!$Y$9:$AD$600,6,FALSE),2)),"")</f>
        <v/>
      </c>
      <c r="J102" s="142" t="str">
        <f t="shared" ref="J102" si="1042">IF($A102="","",IF(I102="","",IF($K$4="Media aritmética",(I102&lt;=$B102)*($G$5/$B$5)+(I102&gt;$B102)*0,IF(ROUND(AVERAGE($C102,$E102,$G102,$I102,$K102,$M102,$O102,$Q102,$S102,$U102,$W102,$Y102,$AA102,$AC102,$AE102),2)-$B102/2&lt;=I102,IF(ROUND(AVERAGE($C102,$E102,$G102,$I102,$K102,$M102,$O102,$Q102,$S102,$U102,$W102,$Y102,$AA102,$AC102,$AE102),2)+$B102/2&gt;I102,($G$5/$B$5),0),0))))</f>
        <v/>
      </c>
      <c r="K102" s="141" t="str">
        <f>IF($K$8="Habilitado",IF($A102="","",ROUND(VLOOKUP($A102,'Presupuesto Consolidado'!#REF!,6,FALSE),2)),"")</f>
        <v/>
      </c>
      <c r="L102" s="142" t="str">
        <f t="shared" ref="L102" si="1043">IF($A102="","",IF(K102="","",IF($K$4="Media aritmética",(K102&lt;=$B102)*($G$5/$B$5)+(K102&gt;$B102)*0,IF(ROUND(AVERAGE($C102,$E102,$G102,$I102,$K102,$M102,$O102,$Q102,$S102,$U102,$W102,$Y102,$AA102,$AC102,$AE102),2)-$B102/2&lt;=K102,IF(ROUND(AVERAGE($C102,$E102,$G102,$I102,$K102,$M102,$O102,$Q102,$S102,$U102,$W102,$Y102,$AA102,$AC102,$AE102),2)+$B102/2&gt;K102,($G$5/$B$5),0),0))))</f>
        <v/>
      </c>
      <c r="M102" s="141" t="str">
        <f>IF($M$8="Habilitado",IF($A102="","",ROUND(VLOOKUP($A102,'Presupuesto Consolidado'!#REF!,6,FALSE),2)),"")</f>
        <v/>
      </c>
      <c r="N102" s="142" t="str">
        <f t="shared" ref="N102" si="1044">IF($A102="","",IF(M102="","",IF($K$4="Media aritmética",(M102&lt;=$B102)*($G$5/$B$5)+(M102&gt;$B102)*0,IF(ROUND(AVERAGE($C102,$E102,$G102,$I102,$K102,$M102,$O102,$Q102,$S102,$U102,$W102,$Y102,$AA102,$AC102,$AE102),2)-$B102/2&lt;=M102,IF(ROUND(AVERAGE($C102,$E102,$G102,$I102,$K102,$M102,$O102,$Q102,$S102,$U102,$W102,$Y102,$AA102,$AC102,$AE102),2)+$B102/2&gt;M102,($G$5/$B$5),0),0))))</f>
        <v/>
      </c>
      <c r="O102" s="141" t="str">
        <f>IF($O$8="Habilitado",IF($A102="","",ROUND(VLOOKUP($A102,'Presupuesto Consolidado'!#REF!,6,FALSE),2)),"")</f>
        <v/>
      </c>
      <c r="P102" s="142" t="str">
        <f t="shared" ref="P102" si="1045">IF($A102="","",IF(O102="","",IF($K$4="Media aritmética",(O102&lt;=$B102)*($G$5/$B$5)+(O102&gt;$B102)*0,IF(ROUND(AVERAGE($C102,$E102,$G102,$I102,$K102,$M102,$O102,$Q102,$S102,$U102,$W102,$Y102,$AA102,$AC102,$AE102),2)-$B102/2&lt;=O102,IF(ROUND(AVERAGE($C102,$E102,$G102,$I102,$K102,$M102,$O102,$Q102,$S102,$U102,$W102,$Y102,$AA102,$AC102,$AE102),2)+$B102/2&gt;O102,($G$5/$B$5),0),0))))</f>
        <v/>
      </c>
      <c r="Q102" s="141" t="str">
        <f>IF($Q$8="Habilitado",IF($A102="","",ROUND(VLOOKUP($A102,'Presupuesto Consolidado'!#REF!,6,FALSE),2)),"")</f>
        <v/>
      </c>
      <c r="R102" s="142" t="str">
        <f t="shared" ref="R102" si="1046">IF($A102="","",IF(Q102="","",IF($K$4="Media aritmética",(Q102&lt;=$B102)*($G$5/$B$5)+(Q102&gt;$B102)*0,IF(ROUND(AVERAGE($C102,$E102,$G102,$I102,$K102,$M102,$O102,$Q102,$S102,$U102,$W102,$Y102,$AA102,$AC102,$AE102),2)-$B102/2&lt;=Q102,IF(ROUND(AVERAGE($C102,$E102,$G102,$I102,$K102,$M102,$O102,$Q102,$S102,$U102,$W102,$Y102,$AA102,$AC102,$AE102),2)+$B102/2&gt;Q102,($G$5/$B$5),0),0))))</f>
        <v/>
      </c>
      <c r="S102" s="141" t="str">
        <f>IF($S$8="Habilitado",IF($A102="","",ROUND(VLOOKUP($A102,'Presupuesto Consolidado'!#REF!,6,FALSE),2)),"")</f>
        <v/>
      </c>
      <c r="T102" s="142" t="str">
        <f t="shared" ref="T102" si="1047">IF($A102="","",IF(S102="","",IF($K$4="Media aritmética",(S102&lt;=$B102)*($G$5/$B$5)+(S102&gt;$B102)*0,IF(ROUND(AVERAGE($C102,$E102,$G102,$I102,$K102,$M102,$O102,$Q102,$S102,$U102,$W102,$Y102,$AA102,$AC102,$AE102),2)-$B102/2&lt;=S102,IF(ROUND(AVERAGE($C102,$E102,$G102,$I102,$K102,$M102,$O102,$Q102,$S102,$U102,$W102,$Y102,$AA102,$AC102,$AE102),2)+$B102/2&gt;S102,($G$5/$B$5),0),0))))</f>
        <v/>
      </c>
      <c r="U102" s="141" t="str">
        <f>IF($U$8="Habilitado",IF($A102="","",ROUND(VLOOKUP($A102,'Presupuesto Consolidado'!#REF!,6,FALSE),2)),"")</f>
        <v/>
      </c>
      <c r="V102" s="142" t="str">
        <f t="shared" ref="V102" si="1048">IF($A102="","",IF(U102="","",IF($K$4="Media aritmética",(U102&lt;=$B102)*($G$5/$B$5)+(U102&gt;$B102)*0,IF(ROUND(AVERAGE($C102,$E102,$G102,$I102,$K102,$M102,$O102,$Q102,$S102,$U102,$W102,$Y102,$AA102,$AC102,$AE102),2)-$B102/2&lt;=U102,IF(ROUND(AVERAGE($C102,$E102,$G102,$I102,$K102,$M102,$O102,$Q102,$S102,$U102,$W102,$Y102,$AA102,$AC102,$AE102),2)+$B102/2&gt;U102,($G$5/$B$5),0),0))))</f>
        <v/>
      </c>
      <c r="W102" s="141" t="str">
        <f>IF($W$8="Habilitado",IF($A102="","",ROUND(VLOOKUP($A102,'Presupuesto Consolidado'!#REF!,6,FALSE),2)),"")</f>
        <v/>
      </c>
      <c r="X102" s="142" t="str">
        <f t="shared" ref="X102" si="1049">IF($A102="","",IF(W102="","",IF($K$4="Media aritmética",(W102&lt;=$B102)*($G$5/$B$5)+(W102&gt;$B102)*0,IF(ROUND(AVERAGE($C102,$E102,$G102,$I102,$K102,$M102,$O102,$Q102,$S102,$U102,$W102,$Y102,$AA102,$AC102,$AE102),2)-$B102/2&lt;=W102,IF(ROUND(AVERAGE($C102,$E102,$G102,$I102,$K102,$M102,$O102,$Q102,$S102,$U102,$W102,$Y102,$AA102,$AC102,$AE102),2)+$B102/2&gt;W102,($G$5/$B$5),0),0))))</f>
        <v/>
      </c>
      <c r="Y102" s="141" t="str">
        <f>IF($Y$8="Habilitado",IF($A102="","",ROUND(VLOOKUP($A102,'Presupuesto Consolidado'!#REF!,6,FALSE),2)),"")</f>
        <v/>
      </c>
      <c r="Z102" s="142" t="str">
        <f t="shared" ref="Z102" si="1050">IF($A102="","",IF(Y102="","",IF($K$4="Media aritmética",(Y102&lt;=$B102)*($G$5/$B$5)+(Y102&gt;$B102)*0,IF(ROUND(AVERAGE($C102,$E102,$G102,$I102,$K102,$M102,$O102,$Q102,$S102,$U102,$W102,$Y102,$AA102,$AC102,$AE102),2)-$B102/2&lt;=Y102,IF(ROUND(AVERAGE($C102,$E102,$G102,$I102,$K102,$M102,$O102,$Q102,$S102,$U102,$W102,$Y102,$AA102,$AC102,$AE102),2)+$B102/2&gt;Y102,($G$5/$B$5),0),0))))</f>
        <v/>
      </c>
      <c r="AA102" s="141" t="str">
        <f>IF($AA$8="Habilitado",IF($A102="","",ROUND(VLOOKUP($A102,'Presupuesto Consolidado'!#REF!,6,FALSE),2)),"")</f>
        <v/>
      </c>
      <c r="AB102" s="142" t="str">
        <f t="shared" ref="AB102" si="1051">IF($A102="","",IF(AA102="","",IF($K$4="Media aritmética",(AA102&lt;=$B102)*($G$5/$B$5)+(AA102&gt;$B102)*0,IF(ROUND(AVERAGE($C102,$E102,$G102,$I102,$K102,$M102,$O102,$Q102,$S102,$U102,$W102,$Y102,$AA102,$AC102,$AE102),2)-$B102/2&lt;=AA102,IF(ROUND(AVERAGE($C102,$E102,$G102,$I102,$K102,$M102,$O102,$Q102,$S102,$U102,$W102,$Y102,$AA102,$AC102,$AE102),2)+$B102/2&gt;AA102,($G$5/$B$5),0),0))))</f>
        <v/>
      </c>
      <c r="AC102" s="141" t="str">
        <f>IF($AC$8="Habilitado",IF($A102="","",ROUND(VLOOKUP($A102,'Presupuesto Consolidado'!#REF!,6,FALSE),2)),"")</f>
        <v/>
      </c>
      <c r="AD102" s="142" t="str">
        <f t="shared" ref="AD102" si="1052">IF($A102="","",IF(AC102="","",IF($K$4="Media aritmética",(AC102&lt;=$B102)*($G$5/$B$5)+(AC102&gt;$B102)*0,IF(ROUND(AVERAGE($C102,$E102,$G102,$I102,$K102,$M102,$O102,$Q102,$S102,$U102,$W102,$Y102,$AA102,$AC102,$AE102),2)-$B102/2&lt;=AC102,IF(ROUND(AVERAGE($C102,$E102,$G102,$I102,$K102,$M102,$O102,$Q102,$S102,$U102,$W102,$Y102,$AA102,$AC102,$AE102),2)+$B102/2&gt;AC102,($G$5/$B$5),0),0))))</f>
        <v/>
      </c>
      <c r="AE102" s="141" t="str">
        <f>IF($AE$8="Habilitado",IF($A102="","",ROUND(VLOOKUP($A102,'Presupuesto Consolidado'!#REF!,6,FALSE),2)),"")</f>
        <v/>
      </c>
      <c r="AF102" s="142" t="str">
        <f t="shared" ref="AF102" si="1053">IF($A102="","",IF(AE102="","",IF($K$4="Media aritmética",(AE102&lt;=$B102)*($G$5/$B$5)+(AE102&gt;$B102)*0,IF(ROUND(AVERAGE($C102,$E102,$G102,$I102,$K102,$M102,$O102,$Q102,$S102,$U102,$W102,$Y102,$AA102,$AC102,$AE102),2)-$B102/2&lt;=AE102,IF(ROUND(AVERAGE($C102,$E102,$G102,$I102,$K102,$M102,$O102,$Q102,$S102,$U102,$W102,$Y102,$AA102,$AC102,$AE102),2)+$B102/2&gt;AE102,($G$5/$B$5),0),0))))</f>
        <v/>
      </c>
    </row>
    <row r="103" spans="1:32" s="135" customFormat="1" ht="21" customHeight="1">
      <c r="A103" s="132" t="str">
        <f>+'Presupuesto Consolidado'!A115</f>
        <v>12.3.11</v>
      </c>
      <c r="B103" s="140">
        <f t="shared" ref="B103" si="1054">IF(A103="","",IF($K$4="Media aritmética",ROUND(AVERAGE(C103,E103,G103,I103,K103,M103,O103,Q103,S103,U103,W103,Y103,AA103,AC103,AE103),2),ROUND(_xlfn.STDEV.P(C103,E103,G103,I103,K103,M103,O103,Q103,S103,U103,W103,Y103,AA103,AC103,AE103),2)))</f>
        <v>3651480</v>
      </c>
      <c r="C103" s="141">
        <f>IF($C$8="Habilitado",IF($A103="","",ROUND(VLOOKUP($A103,'Presupuesto Consolidado'!$A$9:$F$600,6,FALSE),2)),"")</f>
        <v>3651480</v>
      </c>
      <c r="D103" s="142">
        <f t="shared" ref="D103" si="1055">IF($A103="","",IF(C103="","",IF($K$4="Media aritmética",(C103&lt;=$B103)*($G$5/$B$5)+(C103&gt;$B103)*0,IF(ROUND(AVERAGE($C103,$E103,$G103,$I103,$K103,$M103,$O103,$Q103,$S103,$U103,$W103,$Y103,$AA103,$AC103,$AE103),2)-$B103/2&lt;=C103,IF(ROUND(AVERAGE($C103,$E103,$G103,$I103,$K103,$M103,$O103,$Q103,$S103,$U103,$W103,$Y103,$AA103,$AC103,$AE103),2)+$B103/2&gt;C103,($G$5/$B$5),0),0))))</f>
        <v>0.45714285714285713</v>
      </c>
      <c r="E103" s="141" t="str">
        <f>IF($E$8="Habilitado",IF($A103="","",ROUND(VLOOKUP($A103,'Presupuesto Consolidado'!$I$9:$N$600,6,FALSE),2)),"")</f>
        <v/>
      </c>
      <c r="F103" s="142" t="str">
        <f t="shared" ref="F103" si="1056">IF($A103="","",IF(E103="","",IF($K$4="Media aritmética",(E103&lt;=$B103)*($G$5/$B$5)+(E103&gt;$B103)*0,IF(ROUND(AVERAGE($C103,$E103,$G103,$I103,$K103,$M103,$O103,$Q103,$S103,$U103,$W103,$Y103,$AA103,$AC103,$AE103),2)-$B103/2&lt;=E103,IF(ROUND(AVERAGE($C103,$E103,$G103,$I103,$K103,$M103,$O103,$Q103,$S103,$U103,$W103,$Y103,$AA103,$AC103,$AE103),2)+$B103/2&gt;E103,($G$5/$B$5),0),0))))</f>
        <v/>
      </c>
      <c r="G103" s="141" t="str">
        <f>IF($G$8="Habilitado",IF($A103="","",ROUND(VLOOKUP($A103,'Presupuesto Consolidado'!$Q$9:$V$600,6,FALSE),2)),"")</f>
        <v/>
      </c>
      <c r="H103" s="142" t="str">
        <f t="shared" ref="H103" si="1057">IF($A103="","",IF(G103="","",IF($K$4="Media aritmética",(G103&lt;=$B103)*($G$5/$B$5)+(G103&gt;$B103)*0,IF(ROUND(AVERAGE($C103,$E103,$G103,$I103,$K103,$M103,$O103,$Q103,$S103,$U103,$W103,$Y103,$AA103,$AC103,$AE103),2)-$B103/2&lt;=G103,IF(ROUND(AVERAGE($C103,$E103,$G103,$I103,$K103,$M103,$O103,$Q103,$S103,$U103,$W103,$Y103,$AA103,$AC103,$AE103),2)+$B103/2&gt;G103,($G$5/$B$5),0),0))))</f>
        <v/>
      </c>
      <c r="I103" s="141" t="str">
        <f>IF($I$8="Habilitado",IF($A103="","",ROUND(VLOOKUP($A103,'Presupuesto Consolidado'!$Y$9:$AD$600,6,FALSE),2)),"")</f>
        <v/>
      </c>
      <c r="J103" s="142" t="str">
        <f t="shared" ref="J103" si="1058">IF($A103="","",IF(I103="","",IF($K$4="Media aritmética",(I103&lt;=$B103)*($G$5/$B$5)+(I103&gt;$B103)*0,IF(ROUND(AVERAGE($C103,$E103,$G103,$I103,$K103,$M103,$O103,$Q103,$S103,$U103,$W103,$Y103,$AA103,$AC103,$AE103),2)-$B103/2&lt;=I103,IF(ROUND(AVERAGE($C103,$E103,$G103,$I103,$K103,$M103,$O103,$Q103,$S103,$U103,$W103,$Y103,$AA103,$AC103,$AE103),2)+$B103/2&gt;I103,($G$5/$B$5),0),0))))</f>
        <v/>
      </c>
      <c r="K103" s="141" t="str">
        <f>IF($K$8="Habilitado",IF($A103="","",ROUND(VLOOKUP($A103,'Presupuesto Consolidado'!#REF!,6,FALSE),2)),"")</f>
        <v/>
      </c>
      <c r="L103" s="142" t="str">
        <f t="shared" ref="L103" si="1059">IF($A103="","",IF(K103="","",IF($K$4="Media aritmética",(K103&lt;=$B103)*($G$5/$B$5)+(K103&gt;$B103)*0,IF(ROUND(AVERAGE($C103,$E103,$G103,$I103,$K103,$M103,$O103,$Q103,$S103,$U103,$W103,$Y103,$AA103,$AC103,$AE103),2)-$B103/2&lt;=K103,IF(ROUND(AVERAGE($C103,$E103,$G103,$I103,$K103,$M103,$O103,$Q103,$S103,$U103,$W103,$Y103,$AA103,$AC103,$AE103),2)+$B103/2&gt;K103,($G$5/$B$5),0),0))))</f>
        <v/>
      </c>
      <c r="M103" s="141" t="str">
        <f>IF($M$8="Habilitado",IF($A103="","",ROUND(VLOOKUP($A103,'Presupuesto Consolidado'!#REF!,6,FALSE),2)),"")</f>
        <v/>
      </c>
      <c r="N103" s="142" t="str">
        <f t="shared" ref="N103" si="1060">IF($A103="","",IF(M103="","",IF($K$4="Media aritmética",(M103&lt;=$B103)*($G$5/$B$5)+(M103&gt;$B103)*0,IF(ROUND(AVERAGE($C103,$E103,$G103,$I103,$K103,$M103,$O103,$Q103,$S103,$U103,$W103,$Y103,$AA103,$AC103,$AE103),2)-$B103/2&lt;=M103,IF(ROUND(AVERAGE($C103,$E103,$G103,$I103,$K103,$M103,$O103,$Q103,$S103,$U103,$W103,$Y103,$AA103,$AC103,$AE103),2)+$B103/2&gt;M103,($G$5/$B$5),0),0))))</f>
        <v/>
      </c>
      <c r="O103" s="141" t="str">
        <f>IF($O$8="Habilitado",IF($A103="","",ROUND(VLOOKUP($A103,'Presupuesto Consolidado'!#REF!,6,FALSE),2)),"")</f>
        <v/>
      </c>
      <c r="P103" s="142" t="str">
        <f t="shared" ref="P103" si="1061">IF($A103="","",IF(O103="","",IF($K$4="Media aritmética",(O103&lt;=$B103)*($G$5/$B$5)+(O103&gt;$B103)*0,IF(ROUND(AVERAGE($C103,$E103,$G103,$I103,$K103,$M103,$O103,$Q103,$S103,$U103,$W103,$Y103,$AA103,$AC103,$AE103),2)-$B103/2&lt;=O103,IF(ROUND(AVERAGE($C103,$E103,$G103,$I103,$K103,$M103,$O103,$Q103,$S103,$U103,$W103,$Y103,$AA103,$AC103,$AE103),2)+$B103/2&gt;O103,($G$5/$B$5),0),0))))</f>
        <v/>
      </c>
      <c r="Q103" s="141" t="str">
        <f>IF($Q$8="Habilitado",IF($A103="","",ROUND(VLOOKUP($A103,'Presupuesto Consolidado'!#REF!,6,FALSE),2)),"")</f>
        <v/>
      </c>
      <c r="R103" s="142" t="str">
        <f t="shared" ref="R103" si="1062">IF($A103="","",IF(Q103="","",IF($K$4="Media aritmética",(Q103&lt;=$B103)*($G$5/$B$5)+(Q103&gt;$B103)*0,IF(ROUND(AVERAGE($C103,$E103,$G103,$I103,$K103,$M103,$O103,$Q103,$S103,$U103,$W103,$Y103,$AA103,$AC103,$AE103),2)-$B103/2&lt;=Q103,IF(ROUND(AVERAGE($C103,$E103,$G103,$I103,$K103,$M103,$O103,$Q103,$S103,$U103,$W103,$Y103,$AA103,$AC103,$AE103),2)+$B103/2&gt;Q103,($G$5/$B$5),0),0))))</f>
        <v/>
      </c>
      <c r="S103" s="141" t="str">
        <f>IF($S$8="Habilitado",IF($A103="","",ROUND(VLOOKUP($A103,'Presupuesto Consolidado'!#REF!,6,FALSE),2)),"")</f>
        <v/>
      </c>
      <c r="T103" s="142" t="str">
        <f t="shared" ref="T103" si="1063">IF($A103="","",IF(S103="","",IF($K$4="Media aritmética",(S103&lt;=$B103)*($G$5/$B$5)+(S103&gt;$B103)*0,IF(ROUND(AVERAGE($C103,$E103,$G103,$I103,$K103,$M103,$O103,$Q103,$S103,$U103,$W103,$Y103,$AA103,$AC103,$AE103),2)-$B103/2&lt;=S103,IF(ROUND(AVERAGE($C103,$E103,$G103,$I103,$K103,$M103,$O103,$Q103,$S103,$U103,$W103,$Y103,$AA103,$AC103,$AE103),2)+$B103/2&gt;S103,($G$5/$B$5),0),0))))</f>
        <v/>
      </c>
      <c r="U103" s="141" t="str">
        <f>IF($U$8="Habilitado",IF($A103="","",ROUND(VLOOKUP($A103,'Presupuesto Consolidado'!#REF!,6,FALSE),2)),"")</f>
        <v/>
      </c>
      <c r="V103" s="142" t="str">
        <f t="shared" ref="V103" si="1064">IF($A103="","",IF(U103="","",IF($K$4="Media aritmética",(U103&lt;=$B103)*($G$5/$B$5)+(U103&gt;$B103)*0,IF(ROUND(AVERAGE($C103,$E103,$G103,$I103,$K103,$M103,$O103,$Q103,$S103,$U103,$W103,$Y103,$AA103,$AC103,$AE103),2)-$B103/2&lt;=U103,IF(ROUND(AVERAGE($C103,$E103,$G103,$I103,$K103,$M103,$O103,$Q103,$S103,$U103,$W103,$Y103,$AA103,$AC103,$AE103),2)+$B103/2&gt;U103,($G$5/$B$5),0),0))))</f>
        <v/>
      </c>
      <c r="W103" s="141" t="str">
        <f>IF($W$8="Habilitado",IF($A103="","",ROUND(VLOOKUP($A103,'Presupuesto Consolidado'!#REF!,6,FALSE),2)),"")</f>
        <v/>
      </c>
      <c r="X103" s="142" t="str">
        <f t="shared" ref="X103" si="1065">IF($A103="","",IF(W103="","",IF($K$4="Media aritmética",(W103&lt;=$B103)*($G$5/$B$5)+(W103&gt;$B103)*0,IF(ROUND(AVERAGE($C103,$E103,$G103,$I103,$K103,$M103,$O103,$Q103,$S103,$U103,$W103,$Y103,$AA103,$AC103,$AE103),2)-$B103/2&lt;=W103,IF(ROUND(AVERAGE($C103,$E103,$G103,$I103,$K103,$M103,$O103,$Q103,$S103,$U103,$W103,$Y103,$AA103,$AC103,$AE103),2)+$B103/2&gt;W103,($G$5/$B$5),0),0))))</f>
        <v/>
      </c>
      <c r="Y103" s="141" t="str">
        <f>IF($Y$8="Habilitado",IF($A103="","",ROUND(VLOOKUP($A103,'Presupuesto Consolidado'!#REF!,6,FALSE),2)),"")</f>
        <v/>
      </c>
      <c r="Z103" s="142" t="str">
        <f t="shared" ref="Z103" si="1066">IF($A103="","",IF(Y103="","",IF($K$4="Media aritmética",(Y103&lt;=$B103)*($G$5/$B$5)+(Y103&gt;$B103)*0,IF(ROUND(AVERAGE($C103,$E103,$G103,$I103,$K103,$M103,$O103,$Q103,$S103,$U103,$W103,$Y103,$AA103,$AC103,$AE103),2)-$B103/2&lt;=Y103,IF(ROUND(AVERAGE($C103,$E103,$G103,$I103,$K103,$M103,$O103,$Q103,$S103,$U103,$W103,$Y103,$AA103,$AC103,$AE103),2)+$B103/2&gt;Y103,($G$5/$B$5),0),0))))</f>
        <v/>
      </c>
      <c r="AA103" s="141" t="str">
        <f>IF($AA$8="Habilitado",IF($A103="","",ROUND(VLOOKUP($A103,'Presupuesto Consolidado'!#REF!,6,FALSE),2)),"")</f>
        <v/>
      </c>
      <c r="AB103" s="142" t="str">
        <f t="shared" ref="AB103" si="1067">IF($A103="","",IF(AA103="","",IF($K$4="Media aritmética",(AA103&lt;=$B103)*($G$5/$B$5)+(AA103&gt;$B103)*0,IF(ROUND(AVERAGE($C103,$E103,$G103,$I103,$K103,$M103,$O103,$Q103,$S103,$U103,$W103,$Y103,$AA103,$AC103,$AE103),2)-$B103/2&lt;=AA103,IF(ROUND(AVERAGE($C103,$E103,$G103,$I103,$K103,$M103,$O103,$Q103,$S103,$U103,$W103,$Y103,$AA103,$AC103,$AE103),2)+$B103/2&gt;AA103,($G$5/$B$5),0),0))))</f>
        <v/>
      </c>
      <c r="AC103" s="141" t="str">
        <f>IF($AC$8="Habilitado",IF($A103="","",ROUND(VLOOKUP($A103,'Presupuesto Consolidado'!#REF!,6,FALSE),2)),"")</f>
        <v/>
      </c>
      <c r="AD103" s="142" t="str">
        <f t="shared" ref="AD103" si="1068">IF($A103="","",IF(AC103="","",IF($K$4="Media aritmética",(AC103&lt;=$B103)*($G$5/$B$5)+(AC103&gt;$B103)*0,IF(ROUND(AVERAGE($C103,$E103,$G103,$I103,$K103,$M103,$O103,$Q103,$S103,$U103,$W103,$Y103,$AA103,$AC103,$AE103),2)-$B103/2&lt;=AC103,IF(ROUND(AVERAGE($C103,$E103,$G103,$I103,$K103,$M103,$O103,$Q103,$S103,$U103,$W103,$Y103,$AA103,$AC103,$AE103),2)+$B103/2&gt;AC103,($G$5/$B$5),0),0))))</f>
        <v/>
      </c>
      <c r="AE103" s="141" t="str">
        <f>IF($AE$8="Habilitado",IF($A103="","",ROUND(VLOOKUP($A103,'Presupuesto Consolidado'!#REF!,6,FALSE),2)),"")</f>
        <v/>
      </c>
      <c r="AF103" s="142" t="str">
        <f t="shared" ref="AF103" si="1069">IF($A103="","",IF(AE103="","",IF($K$4="Media aritmética",(AE103&lt;=$B103)*($G$5/$B$5)+(AE103&gt;$B103)*0,IF(ROUND(AVERAGE($C103,$E103,$G103,$I103,$K103,$M103,$O103,$Q103,$S103,$U103,$W103,$Y103,$AA103,$AC103,$AE103),2)-$B103/2&lt;=AE103,IF(ROUND(AVERAGE($C103,$E103,$G103,$I103,$K103,$M103,$O103,$Q103,$S103,$U103,$W103,$Y103,$AA103,$AC103,$AE103),2)+$B103/2&gt;AE103,($G$5/$B$5),0),0))))</f>
        <v/>
      </c>
    </row>
    <row r="104" spans="1:32" s="135" customFormat="1" ht="21" customHeight="1">
      <c r="A104" s="132" t="str">
        <f>+'Presupuesto Consolidado'!A116</f>
        <v>12.3.12</v>
      </c>
      <c r="B104" s="140">
        <f t="shared" ref="B104" si="1070">IF(A104="","",IF($K$4="Media aritmética",ROUND(AVERAGE(C104,E104,G104,I104,K104,M104,O104,Q104,S104,U104,W104,Y104,AA104,AC104,AE104),2),ROUND(_xlfn.STDEV.P(C104,E104,G104,I104,K104,M104,O104,Q104,S104,U104,W104,Y104,AA104,AC104,AE104),2)))</f>
        <v>621000</v>
      </c>
      <c r="C104" s="141">
        <f>IF($C$8="Habilitado",IF($A104="","",ROUND(VLOOKUP($A104,'Presupuesto Consolidado'!$A$9:$F$600,6,FALSE),2)),"")</f>
        <v>621000</v>
      </c>
      <c r="D104" s="142">
        <f t="shared" ref="D104" si="1071">IF($A104="","",IF(C104="","",IF($K$4="Media aritmética",(C104&lt;=$B104)*($G$5/$B$5)+(C104&gt;$B104)*0,IF(ROUND(AVERAGE($C104,$E104,$G104,$I104,$K104,$M104,$O104,$Q104,$S104,$U104,$W104,$Y104,$AA104,$AC104,$AE104),2)-$B104/2&lt;=C104,IF(ROUND(AVERAGE($C104,$E104,$G104,$I104,$K104,$M104,$O104,$Q104,$S104,$U104,$W104,$Y104,$AA104,$AC104,$AE104),2)+$B104/2&gt;C104,($G$5/$B$5),0),0))))</f>
        <v>0.45714285714285713</v>
      </c>
      <c r="E104" s="141" t="str">
        <f>IF($E$8="Habilitado",IF($A104="","",ROUND(VLOOKUP($A104,'Presupuesto Consolidado'!$I$9:$N$600,6,FALSE),2)),"")</f>
        <v/>
      </c>
      <c r="F104" s="142" t="str">
        <f t="shared" ref="F104" si="1072">IF($A104="","",IF(E104="","",IF($K$4="Media aritmética",(E104&lt;=$B104)*($G$5/$B$5)+(E104&gt;$B104)*0,IF(ROUND(AVERAGE($C104,$E104,$G104,$I104,$K104,$M104,$O104,$Q104,$S104,$U104,$W104,$Y104,$AA104,$AC104,$AE104),2)-$B104/2&lt;=E104,IF(ROUND(AVERAGE($C104,$E104,$G104,$I104,$K104,$M104,$O104,$Q104,$S104,$U104,$W104,$Y104,$AA104,$AC104,$AE104),2)+$B104/2&gt;E104,($G$5/$B$5),0),0))))</f>
        <v/>
      </c>
      <c r="G104" s="141" t="str">
        <f>IF($G$8="Habilitado",IF($A104="","",ROUND(VLOOKUP($A104,'Presupuesto Consolidado'!$Q$9:$V$600,6,FALSE),2)),"")</f>
        <v/>
      </c>
      <c r="H104" s="142" t="str">
        <f t="shared" ref="H104" si="1073">IF($A104="","",IF(G104="","",IF($K$4="Media aritmética",(G104&lt;=$B104)*($G$5/$B$5)+(G104&gt;$B104)*0,IF(ROUND(AVERAGE($C104,$E104,$G104,$I104,$K104,$M104,$O104,$Q104,$S104,$U104,$W104,$Y104,$AA104,$AC104,$AE104),2)-$B104/2&lt;=G104,IF(ROUND(AVERAGE($C104,$E104,$G104,$I104,$K104,$M104,$O104,$Q104,$S104,$U104,$W104,$Y104,$AA104,$AC104,$AE104),2)+$B104/2&gt;G104,($G$5/$B$5),0),0))))</f>
        <v/>
      </c>
      <c r="I104" s="141" t="str">
        <f>IF($I$8="Habilitado",IF($A104="","",ROUND(VLOOKUP($A104,'Presupuesto Consolidado'!$Y$9:$AD$600,6,FALSE),2)),"")</f>
        <v/>
      </c>
      <c r="J104" s="142" t="str">
        <f t="shared" ref="J104" si="1074">IF($A104="","",IF(I104="","",IF($K$4="Media aritmética",(I104&lt;=$B104)*($G$5/$B$5)+(I104&gt;$B104)*0,IF(ROUND(AVERAGE($C104,$E104,$G104,$I104,$K104,$M104,$O104,$Q104,$S104,$U104,$W104,$Y104,$AA104,$AC104,$AE104),2)-$B104/2&lt;=I104,IF(ROUND(AVERAGE($C104,$E104,$G104,$I104,$K104,$M104,$O104,$Q104,$S104,$U104,$W104,$Y104,$AA104,$AC104,$AE104),2)+$B104/2&gt;I104,($G$5/$B$5),0),0))))</f>
        <v/>
      </c>
      <c r="K104" s="141" t="str">
        <f>IF($K$8="Habilitado",IF($A104="","",ROUND(VLOOKUP($A104,'Presupuesto Consolidado'!#REF!,6,FALSE),2)),"")</f>
        <v/>
      </c>
      <c r="L104" s="142" t="str">
        <f t="shared" ref="L104" si="1075">IF($A104="","",IF(K104="","",IF($K$4="Media aritmética",(K104&lt;=$B104)*($G$5/$B$5)+(K104&gt;$B104)*0,IF(ROUND(AVERAGE($C104,$E104,$G104,$I104,$K104,$M104,$O104,$Q104,$S104,$U104,$W104,$Y104,$AA104,$AC104,$AE104),2)-$B104/2&lt;=K104,IF(ROUND(AVERAGE($C104,$E104,$G104,$I104,$K104,$M104,$O104,$Q104,$S104,$U104,$W104,$Y104,$AA104,$AC104,$AE104),2)+$B104/2&gt;K104,($G$5/$B$5),0),0))))</f>
        <v/>
      </c>
      <c r="M104" s="141" t="str">
        <f>IF($M$8="Habilitado",IF($A104="","",ROUND(VLOOKUP($A104,'Presupuesto Consolidado'!#REF!,6,FALSE),2)),"")</f>
        <v/>
      </c>
      <c r="N104" s="142" t="str">
        <f t="shared" ref="N104" si="1076">IF($A104="","",IF(M104="","",IF($K$4="Media aritmética",(M104&lt;=$B104)*($G$5/$B$5)+(M104&gt;$B104)*0,IF(ROUND(AVERAGE($C104,$E104,$G104,$I104,$K104,$M104,$O104,$Q104,$S104,$U104,$W104,$Y104,$AA104,$AC104,$AE104),2)-$B104/2&lt;=M104,IF(ROUND(AVERAGE($C104,$E104,$G104,$I104,$K104,$M104,$O104,$Q104,$S104,$U104,$W104,$Y104,$AA104,$AC104,$AE104),2)+$B104/2&gt;M104,($G$5/$B$5),0),0))))</f>
        <v/>
      </c>
      <c r="O104" s="141" t="str">
        <f>IF($O$8="Habilitado",IF($A104="","",ROUND(VLOOKUP($A104,'Presupuesto Consolidado'!#REF!,6,FALSE),2)),"")</f>
        <v/>
      </c>
      <c r="P104" s="142" t="str">
        <f t="shared" ref="P104" si="1077">IF($A104="","",IF(O104="","",IF($K$4="Media aritmética",(O104&lt;=$B104)*($G$5/$B$5)+(O104&gt;$B104)*0,IF(ROUND(AVERAGE($C104,$E104,$G104,$I104,$K104,$M104,$O104,$Q104,$S104,$U104,$W104,$Y104,$AA104,$AC104,$AE104),2)-$B104/2&lt;=O104,IF(ROUND(AVERAGE($C104,$E104,$G104,$I104,$K104,$M104,$O104,$Q104,$S104,$U104,$W104,$Y104,$AA104,$AC104,$AE104),2)+$B104/2&gt;O104,($G$5/$B$5),0),0))))</f>
        <v/>
      </c>
      <c r="Q104" s="141" t="str">
        <f>IF($Q$8="Habilitado",IF($A104="","",ROUND(VLOOKUP($A104,'Presupuesto Consolidado'!#REF!,6,FALSE),2)),"")</f>
        <v/>
      </c>
      <c r="R104" s="142" t="str">
        <f t="shared" ref="R104" si="1078">IF($A104="","",IF(Q104="","",IF($K$4="Media aritmética",(Q104&lt;=$B104)*($G$5/$B$5)+(Q104&gt;$B104)*0,IF(ROUND(AVERAGE($C104,$E104,$G104,$I104,$K104,$M104,$O104,$Q104,$S104,$U104,$W104,$Y104,$AA104,$AC104,$AE104),2)-$B104/2&lt;=Q104,IF(ROUND(AVERAGE($C104,$E104,$G104,$I104,$K104,$M104,$O104,$Q104,$S104,$U104,$W104,$Y104,$AA104,$AC104,$AE104),2)+$B104/2&gt;Q104,($G$5/$B$5),0),0))))</f>
        <v/>
      </c>
      <c r="S104" s="141" t="str">
        <f>IF($S$8="Habilitado",IF($A104="","",ROUND(VLOOKUP($A104,'Presupuesto Consolidado'!#REF!,6,FALSE),2)),"")</f>
        <v/>
      </c>
      <c r="T104" s="142" t="str">
        <f t="shared" ref="T104" si="1079">IF($A104="","",IF(S104="","",IF($K$4="Media aritmética",(S104&lt;=$B104)*($G$5/$B$5)+(S104&gt;$B104)*0,IF(ROUND(AVERAGE($C104,$E104,$G104,$I104,$K104,$M104,$O104,$Q104,$S104,$U104,$W104,$Y104,$AA104,$AC104,$AE104),2)-$B104/2&lt;=S104,IF(ROUND(AVERAGE($C104,$E104,$G104,$I104,$K104,$M104,$O104,$Q104,$S104,$U104,$W104,$Y104,$AA104,$AC104,$AE104),2)+$B104/2&gt;S104,($G$5/$B$5),0),0))))</f>
        <v/>
      </c>
      <c r="U104" s="141" t="str">
        <f>IF($U$8="Habilitado",IF($A104="","",ROUND(VLOOKUP($A104,'Presupuesto Consolidado'!#REF!,6,FALSE),2)),"")</f>
        <v/>
      </c>
      <c r="V104" s="142" t="str">
        <f t="shared" ref="V104" si="1080">IF($A104="","",IF(U104="","",IF($K$4="Media aritmética",(U104&lt;=$B104)*($G$5/$B$5)+(U104&gt;$B104)*0,IF(ROUND(AVERAGE($C104,$E104,$G104,$I104,$K104,$M104,$O104,$Q104,$S104,$U104,$W104,$Y104,$AA104,$AC104,$AE104),2)-$B104/2&lt;=U104,IF(ROUND(AVERAGE($C104,$E104,$G104,$I104,$K104,$M104,$O104,$Q104,$S104,$U104,$W104,$Y104,$AA104,$AC104,$AE104),2)+$B104/2&gt;U104,($G$5/$B$5),0),0))))</f>
        <v/>
      </c>
      <c r="W104" s="141" t="str">
        <f>IF($W$8="Habilitado",IF($A104="","",ROUND(VLOOKUP($A104,'Presupuesto Consolidado'!#REF!,6,FALSE),2)),"")</f>
        <v/>
      </c>
      <c r="X104" s="142" t="str">
        <f t="shared" ref="X104" si="1081">IF($A104="","",IF(W104="","",IF($K$4="Media aritmética",(W104&lt;=$B104)*($G$5/$B$5)+(W104&gt;$B104)*0,IF(ROUND(AVERAGE($C104,$E104,$G104,$I104,$K104,$M104,$O104,$Q104,$S104,$U104,$W104,$Y104,$AA104,$AC104,$AE104),2)-$B104/2&lt;=W104,IF(ROUND(AVERAGE($C104,$E104,$G104,$I104,$K104,$M104,$O104,$Q104,$S104,$U104,$W104,$Y104,$AA104,$AC104,$AE104),2)+$B104/2&gt;W104,($G$5/$B$5),0),0))))</f>
        <v/>
      </c>
      <c r="Y104" s="141" t="str">
        <f>IF($Y$8="Habilitado",IF($A104="","",ROUND(VLOOKUP($A104,'Presupuesto Consolidado'!#REF!,6,FALSE),2)),"")</f>
        <v/>
      </c>
      <c r="Z104" s="142" t="str">
        <f t="shared" ref="Z104" si="1082">IF($A104="","",IF(Y104="","",IF($K$4="Media aritmética",(Y104&lt;=$B104)*($G$5/$B$5)+(Y104&gt;$B104)*0,IF(ROUND(AVERAGE($C104,$E104,$G104,$I104,$K104,$M104,$O104,$Q104,$S104,$U104,$W104,$Y104,$AA104,$AC104,$AE104),2)-$B104/2&lt;=Y104,IF(ROUND(AVERAGE($C104,$E104,$G104,$I104,$K104,$M104,$O104,$Q104,$S104,$U104,$W104,$Y104,$AA104,$AC104,$AE104),2)+$B104/2&gt;Y104,($G$5/$B$5),0),0))))</f>
        <v/>
      </c>
      <c r="AA104" s="141" t="str">
        <f>IF($AA$8="Habilitado",IF($A104="","",ROUND(VLOOKUP($A104,'Presupuesto Consolidado'!#REF!,6,FALSE),2)),"")</f>
        <v/>
      </c>
      <c r="AB104" s="142" t="str">
        <f t="shared" ref="AB104" si="1083">IF($A104="","",IF(AA104="","",IF($K$4="Media aritmética",(AA104&lt;=$B104)*($G$5/$B$5)+(AA104&gt;$B104)*0,IF(ROUND(AVERAGE($C104,$E104,$G104,$I104,$K104,$M104,$O104,$Q104,$S104,$U104,$W104,$Y104,$AA104,$AC104,$AE104),2)-$B104/2&lt;=AA104,IF(ROUND(AVERAGE($C104,$E104,$G104,$I104,$K104,$M104,$O104,$Q104,$S104,$U104,$W104,$Y104,$AA104,$AC104,$AE104),2)+$B104/2&gt;AA104,($G$5/$B$5),0),0))))</f>
        <v/>
      </c>
      <c r="AC104" s="141" t="str">
        <f>IF($AC$8="Habilitado",IF($A104="","",ROUND(VLOOKUP($A104,'Presupuesto Consolidado'!#REF!,6,FALSE),2)),"")</f>
        <v/>
      </c>
      <c r="AD104" s="142" t="str">
        <f t="shared" ref="AD104" si="1084">IF($A104="","",IF(AC104="","",IF($K$4="Media aritmética",(AC104&lt;=$B104)*($G$5/$B$5)+(AC104&gt;$B104)*0,IF(ROUND(AVERAGE($C104,$E104,$G104,$I104,$K104,$M104,$O104,$Q104,$S104,$U104,$W104,$Y104,$AA104,$AC104,$AE104),2)-$B104/2&lt;=AC104,IF(ROUND(AVERAGE($C104,$E104,$G104,$I104,$K104,$M104,$O104,$Q104,$S104,$U104,$W104,$Y104,$AA104,$AC104,$AE104),2)+$B104/2&gt;AC104,($G$5/$B$5),0),0))))</f>
        <v/>
      </c>
      <c r="AE104" s="141" t="str">
        <f>IF($AE$8="Habilitado",IF($A104="","",ROUND(VLOOKUP($A104,'Presupuesto Consolidado'!#REF!,6,FALSE),2)),"")</f>
        <v/>
      </c>
      <c r="AF104" s="142" t="str">
        <f t="shared" ref="AF104" si="1085">IF($A104="","",IF(AE104="","",IF($K$4="Media aritmética",(AE104&lt;=$B104)*($G$5/$B$5)+(AE104&gt;$B104)*0,IF(ROUND(AVERAGE($C104,$E104,$G104,$I104,$K104,$M104,$O104,$Q104,$S104,$U104,$W104,$Y104,$AA104,$AC104,$AE104),2)-$B104/2&lt;=AE104,IF(ROUND(AVERAGE($C104,$E104,$G104,$I104,$K104,$M104,$O104,$Q104,$S104,$U104,$W104,$Y104,$AA104,$AC104,$AE104),2)+$B104/2&gt;AE104,($G$5/$B$5),0),0))))</f>
        <v/>
      </c>
    </row>
    <row r="105" spans="1:32" s="135" customFormat="1" ht="21" customHeight="1">
      <c r="A105" s="132" t="str">
        <f>+'Presupuesto Consolidado'!A117</f>
        <v>12.3.13</v>
      </c>
      <c r="B105" s="140">
        <f t="shared" ref="B105" si="1086">IF(A105="","",IF($K$4="Media aritmética",ROUND(AVERAGE(C105,E105,G105,I105,K105,M105,O105,Q105,S105,U105,W105,Y105,AA105,AC105,AE105),2),ROUND(_xlfn.STDEV.P(C105,E105,G105,I105,K105,M105,O105,Q105,S105,U105,W105,Y105,AA105,AC105,AE105),2)))</f>
        <v>1324800</v>
      </c>
      <c r="C105" s="141">
        <f>IF($C$8="Habilitado",IF($A105="","",ROUND(VLOOKUP($A105,'Presupuesto Consolidado'!$A$9:$F$600,6,FALSE),2)),"")</f>
        <v>1324800</v>
      </c>
      <c r="D105" s="142">
        <f t="shared" ref="D105" si="1087">IF($A105="","",IF(C105="","",IF($K$4="Media aritmética",(C105&lt;=$B105)*($G$5/$B$5)+(C105&gt;$B105)*0,IF(ROUND(AVERAGE($C105,$E105,$G105,$I105,$K105,$M105,$O105,$Q105,$S105,$U105,$W105,$Y105,$AA105,$AC105,$AE105),2)-$B105/2&lt;=C105,IF(ROUND(AVERAGE($C105,$E105,$G105,$I105,$K105,$M105,$O105,$Q105,$S105,$U105,$W105,$Y105,$AA105,$AC105,$AE105),2)+$B105/2&gt;C105,($G$5/$B$5),0),0))))</f>
        <v>0.45714285714285713</v>
      </c>
      <c r="E105" s="141" t="str">
        <f>IF($E$8="Habilitado",IF($A105="","",ROUND(VLOOKUP($A105,'Presupuesto Consolidado'!$I$9:$N$600,6,FALSE),2)),"")</f>
        <v/>
      </c>
      <c r="F105" s="142" t="str">
        <f t="shared" ref="F105" si="1088">IF($A105="","",IF(E105="","",IF($K$4="Media aritmética",(E105&lt;=$B105)*($G$5/$B$5)+(E105&gt;$B105)*0,IF(ROUND(AVERAGE($C105,$E105,$G105,$I105,$K105,$M105,$O105,$Q105,$S105,$U105,$W105,$Y105,$AA105,$AC105,$AE105),2)-$B105/2&lt;=E105,IF(ROUND(AVERAGE($C105,$E105,$G105,$I105,$K105,$M105,$O105,$Q105,$S105,$U105,$W105,$Y105,$AA105,$AC105,$AE105),2)+$B105/2&gt;E105,($G$5/$B$5),0),0))))</f>
        <v/>
      </c>
      <c r="G105" s="141" t="str">
        <f>IF($G$8="Habilitado",IF($A105="","",ROUND(VLOOKUP($A105,'Presupuesto Consolidado'!$Q$9:$V$600,6,FALSE),2)),"")</f>
        <v/>
      </c>
      <c r="H105" s="142" t="str">
        <f t="shared" ref="H105" si="1089">IF($A105="","",IF(G105="","",IF($K$4="Media aritmética",(G105&lt;=$B105)*($G$5/$B$5)+(G105&gt;$B105)*0,IF(ROUND(AVERAGE($C105,$E105,$G105,$I105,$K105,$M105,$O105,$Q105,$S105,$U105,$W105,$Y105,$AA105,$AC105,$AE105),2)-$B105/2&lt;=G105,IF(ROUND(AVERAGE($C105,$E105,$G105,$I105,$K105,$M105,$O105,$Q105,$S105,$U105,$W105,$Y105,$AA105,$AC105,$AE105),2)+$B105/2&gt;G105,($G$5/$B$5),0),0))))</f>
        <v/>
      </c>
      <c r="I105" s="141" t="str">
        <f>IF($I$8="Habilitado",IF($A105="","",ROUND(VLOOKUP($A105,'Presupuesto Consolidado'!$Y$9:$AD$600,6,FALSE),2)),"")</f>
        <v/>
      </c>
      <c r="J105" s="142" t="str">
        <f t="shared" ref="J105" si="1090">IF($A105="","",IF(I105="","",IF($K$4="Media aritmética",(I105&lt;=$B105)*($G$5/$B$5)+(I105&gt;$B105)*0,IF(ROUND(AVERAGE($C105,$E105,$G105,$I105,$K105,$M105,$O105,$Q105,$S105,$U105,$W105,$Y105,$AA105,$AC105,$AE105),2)-$B105/2&lt;=I105,IF(ROUND(AVERAGE($C105,$E105,$G105,$I105,$K105,$M105,$O105,$Q105,$S105,$U105,$W105,$Y105,$AA105,$AC105,$AE105),2)+$B105/2&gt;I105,($G$5/$B$5),0),0))))</f>
        <v/>
      </c>
      <c r="K105" s="141" t="str">
        <f>IF($K$8="Habilitado",IF($A105="","",ROUND(VLOOKUP($A105,'Presupuesto Consolidado'!#REF!,6,FALSE),2)),"")</f>
        <v/>
      </c>
      <c r="L105" s="142" t="str">
        <f t="shared" ref="L105" si="1091">IF($A105="","",IF(K105="","",IF($K$4="Media aritmética",(K105&lt;=$B105)*($G$5/$B$5)+(K105&gt;$B105)*0,IF(ROUND(AVERAGE($C105,$E105,$G105,$I105,$K105,$M105,$O105,$Q105,$S105,$U105,$W105,$Y105,$AA105,$AC105,$AE105),2)-$B105/2&lt;=K105,IF(ROUND(AVERAGE($C105,$E105,$G105,$I105,$K105,$M105,$O105,$Q105,$S105,$U105,$W105,$Y105,$AA105,$AC105,$AE105),2)+$B105/2&gt;K105,($G$5/$B$5),0),0))))</f>
        <v/>
      </c>
      <c r="M105" s="141" t="str">
        <f>IF($M$8="Habilitado",IF($A105="","",ROUND(VLOOKUP($A105,'Presupuesto Consolidado'!#REF!,6,FALSE),2)),"")</f>
        <v/>
      </c>
      <c r="N105" s="142" t="str">
        <f t="shared" ref="N105" si="1092">IF($A105="","",IF(M105="","",IF($K$4="Media aritmética",(M105&lt;=$B105)*($G$5/$B$5)+(M105&gt;$B105)*0,IF(ROUND(AVERAGE($C105,$E105,$G105,$I105,$K105,$M105,$O105,$Q105,$S105,$U105,$W105,$Y105,$AA105,$AC105,$AE105),2)-$B105/2&lt;=M105,IF(ROUND(AVERAGE($C105,$E105,$G105,$I105,$K105,$M105,$O105,$Q105,$S105,$U105,$W105,$Y105,$AA105,$AC105,$AE105),2)+$B105/2&gt;M105,($G$5/$B$5),0),0))))</f>
        <v/>
      </c>
      <c r="O105" s="141" t="str">
        <f>IF($O$8="Habilitado",IF($A105="","",ROUND(VLOOKUP($A105,'Presupuesto Consolidado'!#REF!,6,FALSE),2)),"")</f>
        <v/>
      </c>
      <c r="P105" s="142" t="str">
        <f t="shared" ref="P105" si="1093">IF($A105="","",IF(O105="","",IF($K$4="Media aritmética",(O105&lt;=$B105)*($G$5/$B$5)+(O105&gt;$B105)*0,IF(ROUND(AVERAGE($C105,$E105,$G105,$I105,$K105,$M105,$O105,$Q105,$S105,$U105,$W105,$Y105,$AA105,$AC105,$AE105),2)-$B105/2&lt;=O105,IF(ROUND(AVERAGE($C105,$E105,$G105,$I105,$K105,$M105,$O105,$Q105,$S105,$U105,$W105,$Y105,$AA105,$AC105,$AE105),2)+$B105/2&gt;O105,($G$5/$B$5),0),0))))</f>
        <v/>
      </c>
      <c r="Q105" s="141" t="str">
        <f>IF($Q$8="Habilitado",IF($A105="","",ROUND(VLOOKUP($A105,'Presupuesto Consolidado'!#REF!,6,FALSE),2)),"")</f>
        <v/>
      </c>
      <c r="R105" s="142" t="str">
        <f t="shared" ref="R105" si="1094">IF($A105="","",IF(Q105="","",IF($K$4="Media aritmética",(Q105&lt;=$B105)*($G$5/$B$5)+(Q105&gt;$B105)*0,IF(ROUND(AVERAGE($C105,$E105,$G105,$I105,$K105,$M105,$O105,$Q105,$S105,$U105,$W105,$Y105,$AA105,$AC105,$AE105),2)-$B105/2&lt;=Q105,IF(ROUND(AVERAGE($C105,$E105,$G105,$I105,$K105,$M105,$O105,$Q105,$S105,$U105,$W105,$Y105,$AA105,$AC105,$AE105),2)+$B105/2&gt;Q105,($G$5/$B$5),0),0))))</f>
        <v/>
      </c>
      <c r="S105" s="141" t="str">
        <f>IF($S$8="Habilitado",IF($A105="","",ROUND(VLOOKUP($A105,'Presupuesto Consolidado'!#REF!,6,FALSE),2)),"")</f>
        <v/>
      </c>
      <c r="T105" s="142" t="str">
        <f t="shared" ref="T105" si="1095">IF($A105="","",IF(S105="","",IF($K$4="Media aritmética",(S105&lt;=$B105)*($G$5/$B$5)+(S105&gt;$B105)*0,IF(ROUND(AVERAGE($C105,$E105,$G105,$I105,$K105,$M105,$O105,$Q105,$S105,$U105,$W105,$Y105,$AA105,$AC105,$AE105),2)-$B105/2&lt;=S105,IF(ROUND(AVERAGE($C105,$E105,$G105,$I105,$K105,$M105,$O105,$Q105,$S105,$U105,$W105,$Y105,$AA105,$AC105,$AE105),2)+$B105/2&gt;S105,($G$5/$B$5),0),0))))</f>
        <v/>
      </c>
      <c r="U105" s="141" t="str">
        <f>IF($U$8="Habilitado",IF($A105="","",ROUND(VLOOKUP($A105,'Presupuesto Consolidado'!#REF!,6,FALSE),2)),"")</f>
        <v/>
      </c>
      <c r="V105" s="142" t="str">
        <f t="shared" ref="V105" si="1096">IF($A105="","",IF(U105="","",IF($K$4="Media aritmética",(U105&lt;=$B105)*($G$5/$B$5)+(U105&gt;$B105)*0,IF(ROUND(AVERAGE($C105,$E105,$G105,$I105,$K105,$M105,$O105,$Q105,$S105,$U105,$W105,$Y105,$AA105,$AC105,$AE105),2)-$B105/2&lt;=U105,IF(ROUND(AVERAGE($C105,$E105,$G105,$I105,$K105,$M105,$O105,$Q105,$S105,$U105,$W105,$Y105,$AA105,$AC105,$AE105),2)+$B105/2&gt;U105,($G$5/$B$5),0),0))))</f>
        <v/>
      </c>
      <c r="W105" s="141" t="str">
        <f>IF($W$8="Habilitado",IF($A105="","",ROUND(VLOOKUP($A105,'Presupuesto Consolidado'!#REF!,6,FALSE),2)),"")</f>
        <v/>
      </c>
      <c r="X105" s="142" t="str">
        <f t="shared" ref="X105" si="1097">IF($A105="","",IF(W105="","",IF($K$4="Media aritmética",(W105&lt;=$B105)*($G$5/$B$5)+(W105&gt;$B105)*0,IF(ROUND(AVERAGE($C105,$E105,$G105,$I105,$K105,$M105,$O105,$Q105,$S105,$U105,$W105,$Y105,$AA105,$AC105,$AE105),2)-$B105/2&lt;=W105,IF(ROUND(AVERAGE($C105,$E105,$G105,$I105,$K105,$M105,$O105,$Q105,$S105,$U105,$W105,$Y105,$AA105,$AC105,$AE105),2)+$B105/2&gt;W105,($G$5/$B$5),0),0))))</f>
        <v/>
      </c>
      <c r="Y105" s="141" t="str">
        <f>IF($Y$8="Habilitado",IF($A105="","",ROUND(VLOOKUP($A105,'Presupuesto Consolidado'!#REF!,6,FALSE),2)),"")</f>
        <v/>
      </c>
      <c r="Z105" s="142" t="str">
        <f t="shared" ref="Z105" si="1098">IF($A105="","",IF(Y105="","",IF($K$4="Media aritmética",(Y105&lt;=$B105)*($G$5/$B$5)+(Y105&gt;$B105)*0,IF(ROUND(AVERAGE($C105,$E105,$G105,$I105,$K105,$M105,$O105,$Q105,$S105,$U105,$W105,$Y105,$AA105,$AC105,$AE105),2)-$B105/2&lt;=Y105,IF(ROUND(AVERAGE($C105,$E105,$G105,$I105,$K105,$M105,$O105,$Q105,$S105,$U105,$W105,$Y105,$AA105,$AC105,$AE105),2)+$B105/2&gt;Y105,($G$5/$B$5),0),0))))</f>
        <v/>
      </c>
      <c r="AA105" s="141" t="str">
        <f>IF($AA$8="Habilitado",IF($A105="","",ROUND(VLOOKUP($A105,'Presupuesto Consolidado'!#REF!,6,FALSE),2)),"")</f>
        <v/>
      </c>
      <c r="AB105" s="142" t="str">
        <f t="shared" ref="AB105" si="1099">IF($A105="","",IF(AA105="","",IF($K$4="Media aritmética",(AA105&lt;=$B105)*($G$5/$B$5)+(AA105&gt;$B105)*0,IF(ROUND(AVERAGE($C105,$E105,$G105,$I105,$K105,$M105,$O105,$Q105,$S105,$U105,$W105,$Y105,$AA105,$AC105,$AE105),2)-$B105/2&lt;=AA105,IF(ROUND(AVERAGE($C105,$E105,$G105,$I105,$K105,$M105,$O105,$Q105,$S105,$U105,$W105,$Y105,$AA105,$AC105,$AE105),2)+$B105/2&gt;AA105,($G$5/$B$5),0),0))))</f>
        <v/>
      </c>
      <c r="AC105" s="141" t="str">
        <f>IF($AC$8="Habilitado",IF($A105="","",ROUND(VLOOKUP($A105,'Presupuesto Consolidado'!#REF!,6,FALSE),2)),"")</f>
        <v/>
      </c>
      <c r="AD105" s="142" t="str">
        <f t="shared" ref="AD105" si="1100">IF($A105="","",IF(AC105="","",IF($K$4="Media aritmética",(AC105&lt;=$B105)*($G$5/$B$5)+(AC105&gt;$B105)*0,IF(ROUND(AVERAGE($C105,$E105,$G105,$I105,$K105,$M105,$O105,$Q105,$S105,$U105,$W105,$Y105,$AA105,$AC105,$AE105),2)-$B105/2&lt;=AC105,IF(ROUND(AVERAGE($C105,$E105,$G105,$I105,$K105,$M105,$O105,$Q105,$S105,$U105,$W105,$Y105,$AA105,$AC105,$AE105),2)+$B105/2&gt;AC105,($G$5/$B$5),0),0))))</f>
        <v/>
      </c>
      <c r="AE105" s="141" t="str">
        <f>IF($AE$8="Habilitado",IF($A105="","",ROUND(VLOOKUP($A105,'Presupuesto Consolidado'!#REF!,6,FALSE),2)),"")</f>
        <v/>
      </c>
      <c r="AF105" s="142" t="str">
        <f t="shared" ref="AF105" si="1101">IF($A105="","",IF(AE105="","",IF($K$4="Media aritmética",(AE105&lt;=$B105)*($G$5/$B$5)+(AE105&gt;$B105)*0,IF(ROUND(AVERAGE($C105,$E105,$G105,$I105,$K105,$M105,$O105,$Q105,$S105,$U105,$W105,$Y105,$AA105,$AC105,$AE105),2)-$B105/2&lt;=AE105,IF(ROUND(AVERAGE($C105,$E105,$G105,$I105,$K105,$M105,$O105,$Q105,$S105,$U105,$W105,$Y105,$AA105,$AC105,$AE105),2)+$B105/2&gt;AE105,($G$5/$B$5),0),0))))</f>
        <v/>
      </c>
    </row>
    <row r="106" spans="1:32" s="135" customFormat="1" ht="21" customHeight="1">
      <c r="A106" s="132" t="str">
        <f>+'Presupuesto Consolidado'!A118</f>
        <v>12.3.14</v>
      </c>
      <c r="B106" s="140">
        <f t="shared" ref="B106" si="1102">IF(A106="","",IF($K$4="Media aritmética",ROUND(AVERAGE(C106,E106,G106,I106,K106,M106,O106,Q106,S106,U106,W106,Y106,AA106,AC106,AE106),2),ROUND(_xlfn.STDEV.P(C106,E106,G106,I106,K106,M106,O106,Q106,S106,U106,W106,Y106,AA106,AC106,AE106),2)))</f>
        <v>4131720</v>
      </c>
      <c r="C106" s="141">
        <f>IF($C$8="Habilitado",IF($A106="","",ROUND(VLOOKUP($A106,'Presupuesto Consolidado'!$A$9:$F$600,6,FALSE),2)),"")</f>
        <v>4131720</v>
      </c>
      <c r="D106" s="142">
        <f t="shared" ref="D106" si="1103">IF($A106="","",IF(C106="","",IF($K$4="Media aritmética",(C106&lt;=$B106)*($G$5/$B$5)+(C106&gt;$B106)*0,IF(ROUND(AVERAGE($C106,$E106,$G106,$I106,$K106,$M106,$O106,$Q106,$S106,$U106,$W106,$Y106,$AA106,$AC106,$AE106),2)-$B106/2&lt;=C106,IF(ROUND(AVERAGE($C106,$E106,$G106,$I106,$K106,$M106,$O106,$Q106,$S106,$U106,$W106,$Y106,$AA106,$AC106,$AE106),2)+$B106/2&gt;C106,($G$5/$B$5),0),0))))</f>
        <v>0.45714285714285713</v>
      </c>
      <c r="E106" s="141" t="str">
        <f>IF($E$8="Habilitado",IF($A106="","",ROUND(VLOOKUP($A106,'Presupuesto Consolidado'!$I$9:$N$600,6,FALSE),2)),"")</f>
        <v/>
      </c>
      <c r="F106" s="142" t="str">
        <f t="shared" ref="F106" si="1104">IF($A106="","",IF(E106="","",IF($K$4="Media aritmética",(E106&lt;=$B106)*($G$5/$B$5)+(E106&gt;$B106)*0,IF(ROUND(AVERAGE($C106,$E106,$G106,$I106,$K106,$M106,$O106,$Q106,$S106,$U106,$W106,$Y106,$AA106,$AC106,$AE106),2)-$B106/2&lt;=E106,IF(ROUND(AVERAGE($C106,$E106,$G106,$I106,$K106,$M106,$O106,$Q106,$S106,$U106,$W106,$Y106,$AA106,$AC106,$AE106),2)+$B106/2&gt;E106,($G$5/$B$5),0),0))))</f>
        <v/>
      </c>
      <c r="G106" s="141" t="str">
        <f>IF($G$8="Habilitado",IF($A106="","",ROUND(VLOOKUP($A106,'Presupuesto Consolidado'!$Q$9:$V$600,6,FALSE),2)),"")</f>
        <v/>
      </c>
      <c r="H106" s="142" t="str">
        <f t="shared" ref="H106" si="1105">IF($A106="","",IF(G106="","",IF($K$4="Media aritmética",(G106&lt;=$B106)*($G$5/$B$5)+(G106&gt;$B106)*0,IF(ROUND(AVERAGE($C106,$E106,$G106,$I106,$K106,$M106,$O106,$Q106,$S106,$U106,$W106,$Y106,$AA106,$AC106,$AE106),2)-$B106/2&lt;=G106,IF(ROUND(AVERAGE($C106,$E106,$G106,$I106,$K106,$M106,$O106,$Q106,$S106,$U106,$W106,$Y106,$AA106,$AC106,$AE106),2)+$B106/2&gt;G106,($G$5/$B$5),0),0))))</f>
        <v/>
      </c>
      <c r="I106" s="141" t="str">
        <f>IF($I$8="Habilitado",IF($A106="","",ROUND(VLOOKUP($A106,'Presupuesto Consolidado'!$Y$9:$AD$600,6,FALSE),2)),"")</f>
        <v/>
      </c>
      <c r="J106" s="142" t="str">
        <f t="shared" ref="J106" si="1106">IF($A106="","",IF(I106="","",IF($K$4="Media aritmética",(I106&lt;=$B106)*($G$5/$B$5)+(I106&gt;$B106)*0,IF(ROUND(AVERAGE($C106,$E106,$G106,$I106,$K106,$M106,$O106,$Q106,$S106,$U106,$W106,$Y106,$AA106,$AC106,$AE106),2)-$B106/2&lt;=I106,IF(ROUND(AVERAGE($C106,$E106,$G106,$I106,$K106,$M106,$O106,$Q106,$S106,$U106,$W106,$Y106,$AA106,$AC106,$AE106),2)+$B106/2&gt;I106,($G$5/$B$5),0),0))))</f>
        <v/>
      </c>
      <c r="K106" s="141" t="str">
        <f>IF($K$8="Habilitado",IF($A106="","",ROUND(VLOOKUP($A106,'Presupuesto Consolidado'!#REF!,6,FALSE),2)),"")</f>
        <v/>
      </c>
      <c r="L106" s="142" t="str">
        <f t="shared" ref="L106" si="1107">IF($A106="","",IF(K106="","",IF($K$4="Media aritmética",(K106&lt;=$B106)*($G$5/$B$5)+(K106&gt;$B106)*0,IF(ROUND(AVERAGE($C106,$E106,$G106,$I106,$K106,$M106,$O106,$Q106,$S106,$U106,$W106,$Y106,$AA106,$AC106,$AE106),2)-$B106/2&lt;=K106,IF(ROUND(AVERAGE($C106,$E106,$G106,$I106,$K106,$M106,$O106,$Q106,$S106,$U106,$W106,$Y106,$AA106,$AC106,$AE106),2)+$B106/2&gt;K106,($G$5/$B$5),0),0))))</f>
        <v/>
      </c>
      <c r="M106" s="141" t="str">
        <f>IF($M$8="Habilitado",IF($A106="","",ROUND(VLOOKUP($A106,'Presupuesto Consolidado'!#REF!,6,FALSE),2)),"")</f>
        <v/>
      </c>
      <c r="N106" s="142" t="str">
        <f t="shared" ref="N106" si="1108">IF($A106="","",IF(M106="","",IF($K$4="Media aritmética",(M106&lt;=$B106)*($G$5/$B$5)+(M106&gt;$B106)*0,IF(ROUND(AVERAGE($C106,$E106,$G106,$I106,$K106,$M106,$O106,$Q106,$S106,$U106,$W106,$Y106,$AA106,$AC106,$AE106),2)-$B106/2&lt;=M106,IF(ROUND(AVERAGE($C106,$E106,$G106,$I106,$K106,$M106,$O106,$Q106,$S106,$U106,$W106,$Y106,$AA106,$AC106,$AE106),2)+$B106/2&gt;M106,($G$5/$B$5),0),0))))</f>
        <v/>
      </c>
      <c r="O106" s="141" t="str">
        <f>IF($O$8="Habilitado",IF($A106="","",ROUND(VLOOKUP($A106,'Presupuesto Consolidado'!#REF!,6,FALSE),2)),"")</f>
        <v/>
      </c>
      <c r="P106" s="142" t="str">
        <f t="shared" ref="P106" si="1109">IF($A106="","",IF(O106="","",IF($K$4="Media aritmética",(O106&lt;=$B106)*($G$5/$B$5)+(O106&gt;$B106)*0,IF(ROUND(AVERAGE($C106,$E106,$G106,$I106,$K106,$M106,$O106,$Q106,$S106,$U106,$W106,$Y106,$AA106,$AC106,$AE106),2)-$B106/2&lt;=O106,IF(ROUND(AVERAGE($C106,$E106,$G106,$I106,$K106,$M106,$O106,$Q106,$S106,$U106,$W106,$Y106,$AA106,$AC106,$AE106),2)+$B106/2&gt;O106,($G$5/$B$5),0),0))))</f>
        <v/>
      </c>
      <c r="Q106" s="141" t="str">
        <f>IF($Q$8="Habilitado",IF($A106="","",ROUND(VLOOKUP($A106,'Presupuesto Consolidado'!#REF!,6,FALSE),2)),"")</f>
        <v/>
      </c>
      <c r="R106" s="142" t="str">
        <f t="shared" ref="R106" si="1110">IF($A106="","",IF(Q106="","",IF($K$4="Media aritmética",(Q106&lt;=$B106)*($G$5/$B$5)+(Q106&gt;$B106)*0,IF(ROUND(AVERAGE($C106,$E106,$G106,$I106,$K106,$M106,$O106,$Q106,$S106,$U106,$W106,$Y106,$AA106,$AC106,$AE106),2)-$B106/2&lt;=Q106,IF(ROUND(AVERAGE($C106,$E106,$G106,$I106,$K106,$M106,$O106,$Q106,$S106,$U106,$W106,$Y106,$AA106,$AC106,$AE106),2)+$B106/2&gt;Q106,($G$5/$B$5),0),0))))</f>
        <v/>
      </c>
      <c r="S106" s="141" t="str">
        <f>IF($S$8="Habilitado",IF($A106="","",ROUND(VLOOKUP($A106,'Presupuesto Consolidado'!#REF!,6,FALSE),2)),"")</f>
        <v/>
      </c>
      <c r="T106" s="142" t="str">
        <f t="shared" ref="T106" si="1111">IF($A106="","",IF(S106="","",IF($K$4="Media aritmética",(S106&lt;=$B106)*($G$5/$B$5)+(S106&gt;$B106)*0,IF(ROUND(AVERAGE($C106,$E106,$G106,$I106,$K106,$M106,$O106,$Q106,$S106,$U106,$W106,$Y106,$AA106,$AC106,$AE106),2)-$B106/2&lt;=S106,IF(ROUND(AVERAGE($C106,$E106,$G106,$I106,$K106,$M106,$O106,$Q106,$S106,$U106,$W106,$Y106,$AA106,$AC106,$AE106),2)+$B106/2&gt;S106,($G$5/$B$5),0),0))))</f>
        <v/>
      </c>
      <c r="U106" s="141" t="str">
        <f>IF($U$8="Habilitado",IF($A106="","",ROUND(VLOOKUP($A106,'Presupuesto Consolidado'!#REF!,6,FALSE),2)),"")</f>
        <v/>
      </c>
      <c r="V106" s="142" t="str">
        <f t="shared" ref="V106" si="1112">IF($A106="","",IF(U106="","",IF($K$4="Media aritmética",(U106&lt;=$B106)*($G$5/$B$5)+(U106&gt;$B106)*0,IF(ROUND(AVERAGE($C106,$E106,$G106,$I106,$K106,$M106,$O106,$Q106,$S106,$U106,$W106,$Y106,$AA106,$AC106,$AE106),2)-$B106/2&lt;=U106,IF(ROUND(AVERAGE($C106,$E106,$G106,$I106,$K106,$M106,$O106,$Q106,$S106,$U106,$W106,$Y106,$AA106,$AC106,$AE106),2)+$B106/2&gt;U106,($G$5/$B$5),0),0))))</f>
        <v/>
      </c>
      <c r="W106" s="141" t="str">
        <f>IF($W$8="Habilitado",IF($A106="","",ROUND(VLOOKUP($A106,'Presupuesto Consolidado'!#REF!,6,FALSE),2)),"")</f>
        <v/>
      </c>
      <c r="X106" s="142" t="str">
        <f t="shared" ref="X106" si="1113">IF($A106="","",IF(W106="","",IF($K$4="Media aritmética",(W106&lt;=$B106)*($G$5/$B$5)+(W106&gt;$B106)*0,IF(ROUND(AVERAGE($C106,$E106,$G106,$I106,$K106,$M106,$O106,$Q106,$S106,$U106,$W106,$Y106,$AA106,$AC106,$AE106),2)-$B106/2&lt;=W106,IF(ROUND(AVERAGE($C106,$E106,$G106,$I106,$K106,$M106,$O106,$Q106,$S106,$U106,$W106,$Y106,$AA106,$AC106,$AE106),2)+$B106/2&gt;W106,($G$5/$B$5),0),0))))</f>
        <v/>
      </c>
      <c r="Y106" s="141" t="str">
        <f>IF($Y$8="Habilitado",IF($A106="","",ROUND(VLOOKUP($A106,'Presupuesto Consolidado'!#REF!,6,FALSE),2)),"")</f>
        <v/>
      </c>
      <c r="Z106" s="142" t="str">
        <f t="shared" ref="Z106" si="1114">IF($A106="","",IF(Y106="","",IF($K$4="Media aritmética",(Y106&lt;=$B106)*($G$5/$B$5)+(Y106&gt;$B106)*0,IF(ROUND(AVERAGE($C106,$E106,$G106,$I106,$K106,$M106,$O106,$Q106,$S106,$U106,$W106,$Y106,$AA106,$AC106,$AE106),2)-$B106/2&lt;=Y106,IF(ROUND(AVERAGE($C106,$E106,$G106,$I106,$K106,$M106,$O106,$Q106,$S106,$U106,$W106,$Y106,$AA106,$AC106,$AE106),2)+$B106/2&gt;Y106,($G$5/$B$5),0),0))))</f>
        <v/>
      </c>
      <c r="AA106" s="141" t="str">
        <f>IF($AA$8="Habilitado",IF($A106="","",ROUND(VLOOKUP($A106,'Presupuesto Consolidado'!#REF!,6,FALSE),2)),"")</f>
        <v/>
      </c>
      <c r="AB106" s="142" t="str">
        <f t="shared" ref="AB106" si="1115">IF($A106="","",IF(AA106="","",IF($K$4="Media aritmética",(AA106&lt;=$B106)*($G$5/$B$5)+(AA106&gt;$B106)*0,IF(ROUND(AVERAGE($C106,$E106,$G106,$I106,$K106,$M106,$O106,$Q106,$S106,$U106,$W106,$Y106,$AA106,$AC106,$AE106),2)-$B106/2&lt;=AA106,IF(ROUND(AVERAGE($C106,$E106,$G106,$I106,$K106,$M106,$O106,$Q106,$S106,$U106,$W106,$Y106,$AA106,$AC106,$AE106),2)+$B106/2&gt;AA106,($G$5/$B$5),0),0))))</f>
        <v/>
      </c>
      <c r="AC106" s="141" t="str">
        <f>IF($AC$8="Habilitado",IF($A106="","",ROUND(VLOOKUP($A106,'Presupuesto Consolidado'!#REF!,6,FALSE),2)),"")</f>
        <v/>
      </c>
      <c r="AD106" s="142" t="str">
        <f t="shared" ref="AD106" si="1116">IF($A106="","",IF(AC106="","",IF($K$4="Media aritmética",(AC106&lt;=$B106)*($G$5/$B$5)+(AC106&gt;$B106)*0,IF(ROUND(AVERAGE($C106,$E106,$G106,$I106,$K106,$M106,$O106,$Q106,$S106,$U106,$W106,$Y106,$AA106,$AC106,$AE106),2)-$B106/2&lt;=AC106,IF(ROUND(AVERAGE($C106,$E106,$G106,$I106,$K106,$M106,$O106,$Q106,$S106,$U106,$W106,$Y106,$AA106,$AC106,$AE106),2)+$B106/2&gt;AC106,($G$5/$B$5),0),0))))</f>
        <v/>
      </c>
      <c r="AE106" s="141" t="str">
        <f>IF($AE$8="Habilitado",IF($A106="","",ROUND(VLOOKUP($A106,'Presupuesto Consolidado'!#REF!,6,FALSE),2)),"")</f>
        <v/>
      </c>
      <c r="AF106" s="142" t="str">
        <f t="shared" ref="AF106" si="1117">IF($A106="","",IF(AE106="","",IF($K$4="Media aritmética",(AE106&lt;=$B106)*($G$5/$B$5)+(AE106&gt;$B106)*0,IF(ROUND(AVERAGE($C106,$E106,$G106,$I106,$K106,$M106,$O106,$Q106,$S106,$U106,$W106,$Y106,$AA106,$AC106,$AE106),2)-$B106/2&lt;=AE106,IF(ROUND(AVERAGE($C106,$E106,$G106,$I106,$K106,$M106,$O106,$Q106,$S106,$U106,$W106,$Y106,$AA106,$AC106,$AE106),2)+$B106/2&gt;AE106,($G$5/$B$5),0),0))))</f>
        <v/>
      </c>
    </row>
    <row r="107" spans="1:32" s="135" customFormat="1" ht="21" customHeight="1">
      <c r="A107" s="132" t="str">
        <f>+'Presupuesto Consolidado'!A119</f>
        <v>12.3.15</v>
      </c>
      <c r="B107" s="140">
        <f t="shared" ref="B107" si="1118">IF(A107="","",IF($K$4="Media aritmética",ROUND(AVERAGE(C107,E107,G107,I107,K107,M107,O107,Q107,S107,U107,W107,Y107,AA107,AC107,AE107),2),ROUND(_xlfn.STDEV.P(C107,E107,G107,I107,K107,M107,O107,Q107,S107,U107,W107,Y107,AA107,AC107,AE107),2)))</f>
        <v>1076400</v>
      </c>
      <c r="C107" s="141">
        <f>IF($C$8="Habilitado",IF($A107="","",ROUND(VLOOKUP($A107,'Presupuesto Consolidado'!$A$9:$F$600,6,FALSE),2)),"")</f>
        <v>1076400</v>
      </c>
      <c r="D107" s="142">
        <f t="shared" ref="D107" si="1119">IF($A107="","",IF(C107="","",IF($K$4="Media aritmética",(C107&lt;=$B107)*($G$5/$B$5)+(C107&gt;$B107)*0,IF(ROUND(AVERAGE($C107,$E107,$G107,$I107,$K107,$M107,$O107,$Q107,$S107,$U107,$W107,$Y107,$AA107,$AC107,$AE107),2)-$B107/2&lt;=C107,IF(ROUND(AVERAGE($C107,$E107,$G107,$I107,$K107,$M107,$O107,$Q107,$S107,$U107,$W107,$Y107,$AA107,$AC107,$AE107),2)+$B107/2&gt;C107,($G$5/$B$5),0),0))))</f>
        <v>0.45714285714285713</v>
      </c>
      <c r="E107" s="141" t="str">
        <f>IF($E$8="Habilitado",IF($A107="","",ROUND(VLOOKUP($A107,'Presupuesto Consolidado'!$I$9:$N$600,6,FALSE),2)),"")</f>
        <v/>
      </c>
      <c r="F107" s="142" t="str">
        <f t="shared" ref="F107" si="1120">IF($A107="","",IF(E107="","",IF($K$4="Media aritmética",(E107&lt;=$B107)*($G$5/$B$5)+(E107&gt;$B107)*0,IF(ROUND(AVERAGE($C107,$E107,$G107,$I107,$K107,$M107,$O107,$Q107,$S107,$U107,$W107,$Y107,$AA107,$AC107,$AE107),2)-$B107/2&lt;=E107,IF(ROUND(AVERAGE($C107,$E107,$G107,$I107,$K107,$M107,$O107,$Q107,$S107,$U107,$W107,$Y107,$AA107,$AC107,$AE107),2)+$B107/2&gt;E107,($G$5/$B$5),0),0))))</f>
        <v/>
      </c>
      <c r="G107" s="141" t="str">
        <f>IF($G$8="Habilitado",IF($A107="","",ROUND(VLOOKUP($A107,'Presupuesto Consolidado'!$Q$9:$V$600,6,FALSE),2)),"")</f>
        <v/>
      </c>
      <c r="H107" s="142" t="str">
        <f t="shared" ref="H107" si="1121">IF($A107="","",IF(G107="","",IF($K$4="Media aritmética",(G107&lt;=$B107)*($G$5/$B$5)+(G107&gt;$B107)*0,IF(ROUND(AVERAGE($C107,$E107,$G107,$I107,$K107,$M107,$O107,$Q107,$S107,$U107,$W107,$Y107,$AA107,$AC107,$AE107),2)-$B107/2&lt;=G107,IF(ROUND(AVERAGE($C107,$E107,$G107,$I107,$K107,$M107,$O107,$Q107,$S107,$U107,$W107,$Y107,$AA107,$AC107,$AE107),2)+$B107/2&gt;G107,($G$5/$B$5),0),0))))</f>
        <v/>
      </c>
      <c r="I107" s="141" t="str">
        <f>IF($I$8="Habilitado",IF($A107="","",ROUND(VLOOKUP($A107,'Presupuesto Consolidado'!$Y$9:$AD$600,6,FALSE),2)),"")</f>
        <v/>
      </c>
      <c r="J107" s="142" t="str">
        <f t="shared" ref="J107" si="1122">IF($A107="","",IF(I107="","",IF($K$4="Media aritmética",(I107&lt;=$B107)*($G$5/$B$5)+(I107&gt;$B107)*0,IF(ROUND(AVERAGE($C107,$E107,$G107,$I107,$K107,$M107,$O107,$Q107,$S107,$U107,$W107,$Y107,$AA107,$AC107,$AE107),2)-$B107/2&lt;=I107,IF(ROUND(AVERAGE($C107,$E107,$G107,$I107,$K107,$M107,$O107,$Q107,$S107,$U107,$W107,$Y107,$AA107,$AC107,$AE107),2)+$B107/2&gt;I107,($G$5/$B$5),0),0))))</f>
        <v/>
      </c>
      <c r="K107" s="141" t="str">
        <f>IF($K$8="Habilitado",IF($A107="","",ROUND(VLOOKUP($A107,'Presupuesto Consolidado'!#REF!,6,FALSE),2)),"")</f>
        <v/>
      </c>
      <c r="L107" s="142" t="str">
        <f t="shared" ref="L107" si="1123">IF($A107="","",IF(K107="","",IF($K$4="Media aritmética",(K107&lt;=$B107)*($G$5/$B$5)+(K107&gt;$B107)*0,IF(ROUND(AVERAGE($C107,$E107,$G107,$I107,$K107,$M107,$O107,$Q107,$S107,$U107,$W107,$Y107,$AA107,$AC107,$AE107),2)-$B107/2&lt;=K107,IF(ROUND(AVERAGE($C107,$E107,$G107,$I107,$K107,$M107,$O107,$Q107,$S107,$U107,$W107,$Y107,$AA107,$AC107,$AE107),2)+$B107/2&gt;K107,($G$5/$B$5),0),0))))</f>
        <v/>
      </c>
      <c r="M107" s="141" t="str">
        <f>IF($M$8="Habilitado",IF($A107="","",ROUND(VLOOKUP($A107,'Presupuesto Consolidado'!#REF!,6,FALSE),2)),"")</f>
        <v/>
      </c>
      <c r="N107" s="142" t="str">
        <f t="shared" ref="N107" si="1124">IF($A107="","",IF(M107="","",IF($K$4="Media aritmética",(M107&lt;=$B107)*($G$5/$B$5)+(M107&gt;$B107)*0,IF(ROUND(AVERAGE($C107,$E107,$G107,$I107,$K107,$M107,$O107,$Q107,$S107,$U107,$W107,$Y107,$AA107,$AC107,$AE107),2)-$B107/2&lt;=M107,IF(ROUND(AVERAGE($C107,$E107,$G107,$I107,$K107,$M107,$O107,$Q107,$S107,$U107,$W107,$Y107,$AA107,$AC107,$AE107),2)+$B107/2&gt;M107,($G$5/$B$5),0),0))))</f>
        <v/>
      </c>
      <c r="O107" s="141" t="str">
        <f>IF($O$8="Habilitado",IF($A107="","",ROUND(VLOOKUP($A107,'Presupuesto Consolidado'!#REF!,6,FALSE),2)),"")</f>
        <v/>
      </c>
      <c r="P107" s="142" t="str">
        <f t="shared" ref="P107" si="1125">IF($A107="","",IF(O107="","",IF($K$4="Media aritmética",(O107&lt;=$B107)*($G$5/$B$5)+(O107&gt;$B107)*0,IF(ROUND(AVERAGE($C107,$E107,$G107,$I107,$K107,$M107,$O107,$Q107,$S107,$U107,$W107,$Y107,$AA107,$AC107,$AE107),2)-$B107/2&lt;=O107,IF(ROUND(AVERAGE($C107,$E107,$G107,$I107,$K107,$M107,$O107,$Q107,$S107,$U107,$W107,$Y107,$AA107,$AC107,$AE107),2)+$B107/2&gt;O107,($G$5/$B$5),0),0))))</f>
        <v/>
      </c>
      <c r="Q107" s="141" t="str">
        <f>IF($Q$8="Habilitado",IF($A107="","",ROUND(VLOOKUP($A107,'Presupuesto Consolidado'!#REF!,6,FALSE),2)),"")</f>
        <v/>
      </c>
      <c r="R107" s="142" t="str">
        <f t="shared" ref="R107" si="1126">IF($A107="","",IF(Q107="","",IF($K$4="Media aritmética",(Q107&lt;=$B107)*($G$5/$B$5)+(Q107&gt;$B107)*0,IF(ROUND(AVERAGE($C107,$E107,$G107,$I107,$K107,$M107,$O107,$Q107,$S107,$U107,$W107,$Y107,$AA107,$AC107,$AE107),2)-$B107/2&lt;=Q107,IF(ROUND(AVERAGE($C107,$E107,$G107,$I107,$K107,$M107,$O107,$Q107,$S107,$U107,$W107,$Y107,$AA107,$AC107,$AE107),2)+$B107/2&gt;Q107,($G$5/$B$5),0),0))))</f>
        <v/>
      </c>
      <c r="S107" s="141" t="str">
        <f>IF($S$8="Habilitado",IF($A107="","",ROUND(VLOOKUP($A107,'Presupuesto Consolidado'!#REF!,6,FALSE),2)),"")</f>
        <v/>
      </c>
      <c r="T107" s="142" t="str">
        <f t="shared" ref="T107" si="1127">IF($A107="","",IF(S107="","",IF($K$4="Media aritmética",(S107&lt;=$B107)*($G$5/$B$5)+(S107&gt;$B107)*0,IF(ROUND(AVERAGE($C107,$E107,$G107,$I107,$K107,$M107,$O107,$Q107,$S107,$U107,$W107,$Y107,$AA107,$AC107,$AE107),2)-$B107/2&lt;=S107,IF(ROUND(AVERAGE($C107,$E107,$G107,$I107,$K107,$M107,$O107,$Q107,$S107,$U107,$W107,$Y107,$AA107,$AC107,$AE107),2)+$B107/2&gt;S107,($G$5/$B$5),0),0))))</f>
        <v/>
      </c>
      <c r="U107" s="141" t="str">
        <f>IF($U$8="Habilitado",IF($A107="","",ROUND(VLOOKUP($A107,'Presupuesto Consolidado'!#REF!,6,FALSE),2)),"")</f>
        <v/>
      </c>
      <c r="V107" s="142" t="str">
        <f t="shared" ref="V107" si="1128">IF($A107="","",IF(U107="","",IF($K$4="Media aritmética",(U107&lt;=$B107)*($G$5/$B$5)+(U107&gt;$B107)*0,IF(ROUND(AVERAGE($C107,$E107,$G107,$I107,$K107,$M107,$O107,$Q107,$S107,$U107,$W107,$Y107,$AA107,$AC107,$AE107),2)-$B107/2&lt;=U107,IF(ROUND(AVERAGE($C107,$E107,$G107,$I107,$K107,$M107,$O107,$Q107,$S107,$U107,$W107,$Y107,$AA107,$AC107,$AE107),2)+$B107/2&gt;U107,($G$5/$B$5),0),0))))</f>
        <v/>
      </c>
      <c r="W107" s="141" t="str">
        <f>IF($W$8="Habilitado",IF($A107="","",ROUND(VLOOKUP($A107,'Presupuesto Consolidado'!#REF!,6,FALSE),2)),"")</f>
        <v/>
      </c>
      <c r="X107" s="142" t="str">
        <f t="shared" ref="X107" si="1129">IF($A107="","",IF(W107="","",IF($K$4="Media aritmética",(W107&lt;=$B107)*($G$5/$B$5)+(W107&gt;$B107)*0,IF(ROUND(AVERAGE($C107,$E107,$G107,$I107,$K107,$M107,$O107,$Q107,$S107,$U107,$W107,$Y107,$AA107,$AC107,$AE107),2)-$B107/2&lt;=W107,IF(ROUND(AVERAGE($C107,$E107,$G107,$I107,$K107,$M107,$O107,$Q107,$S107,$U107,$W107,$Y107,$AA107,$AC107,$AE107),2)+$B107/2&gt;W107,($G$5/$B$5),0),0))))</f>
        <v/>
      </c>
      <c r="Y107" s="141" t="str">
        <f>IF($Y$8="Habilitado",IF($A107="","",ROUND(VLOOKUP($A107,'Presupuesto Consolidado'!#REF!,6,FALSE),2)),"")</f>
        <v/>
      </c>
      <c r="Z107" s="142" t="str">
        <f t="shared" ref="Z107" si="1130">IF($A107="","",IF(Y107="","",IF($K$4="Media aritmética",(Y107&lt;=$B107)*($G$5/$B$5)+(Y107&gt;$B107)*0,IF(ROUND(AVERAGE($C107,$E107,$G107,$I107,$K107,$M107,$O107,$Q107,$S107,$U107,$W107,$Y107,$AA107,$AC107,$AE107),2)-$B107/2&lt;=Y107,IF(ROUND(AVERAGE($C107,$E107,$G107,$I107,$K107,$M107,$O107,$Q107,$S107,$U107,$W107,$Y107,$AA107,$AC107,$AE107),2)+$B107/2&gt;Y107,($G$5/$B$5),0),0))))</f>
        <v/>
      </c>
      <c r="AA107" s="141" t="str">
        <f>IF($AA$8="Habilitado",IF($A107="","",ROUND(VLOOKUP($A107,'Presupuesto Consolidado'!#REF!,6,FALSE),2)),"")</f>
        <v/>
      </c>
      <c r="AB107" s="142" t="str">
        <f t="shared" ref="AB107" si="1131">IF($A107="","",IF(AA107="","",IF($K$4="Media aritmética",(AA107&lt;=$B107)*($G$5/$B$5)+(AA107&gt;$B107)*0,IF(ROUND(AVERAGE($C107,$E107,$G107,$I107,$K107,$M107,$O107,$Q107,$S107,$U107,$W107,$Y107,$AA107,$AC107,$AE107),2)-$B107/2&lt;=AA107,IF(ROUND(AVERAGE($C107,$E107,$G107,$I107,$K107,$M107,$O107,$Q107,$S107,$U107,$W107,$Y107,$AA107,$AC107,$AE107),2)+$B107/2&gt;AA107,($G$5/$B$5),0),0))))</f>
        <v/>
      </c>
      <c r="AC107" s="141" t="str">
        <f>IF($AC$8="Habilitado",IF($A107="","",ROUND(VLOOKUP($A107,'Presupuesto Consolidado'!#REF!,6,FALSE),2)),"")</f>
        <v/>
      </c>
      <c r="AD107" s="142" t="str">
        <f t="shared" ref="AD107" si="1132">IF($A107="","",IF(AC107="","",IF($K$4="Media aritmética",(AC107&lt;=$B107)*($G$5/$B$5)+(AC107&gt;$B107)*0,IF(ROUND(AVERAGE($C107,$E107,$G107,$I107,$K107,$M107,$O107,$Q107,$S107,$U107,$W107,$Y107,$AA107,$AC107,$AE107),2)-$B107/2&lt;=AC107,IF(ROUND(AVERAGE($C107,$E107,$G107,$I107,$K107,$M107,$O107,$Q107,$S107,$U107,$W107,$Y107,$AA107,$AC107,$AE107),2)+$B107/2&gt;AC107,($G$5/$B$5),0),0))))</f>
        <v/>
      </c>
      <c r="AE107" s="141" t="str">
        <f>IF($AE$8="Habilitado",IF($A107="","",ROUND(VLOOKUP($A107,'Presupuesto Consolidado'!#REF!,6,FALSE),2)),"")</f>
        <v/>
      </c>
      <c r="AF107" s="142" t="str">
        <f t="shared" ref="AF107" si="1133">IF($A107="","",IF(AE107="","",IF($K$4="Media aritmética",(AE107&lt;=$B107)*($G$5/$B$5)+(AE107&gt;$B107)*0,IF(ROUND(AVERAGE($C107,$E107,$G107,$I107,$K107,$M107,$O107,$Q107,$S107,$U107,$W107,$Y107,$AA107,$AC107,$AE107),2)-$B107/2&lt;=AE107,IF(ROUND(AVERAGE($C107,$E107,$G107,$I107,$K107,$M107,$O107,$Q107,$S107,$U107,$W107,$Y107,$AA107,$AC107,$AE107),2)+$B107/2&gt;AE107,($G$5/$B$5),0),0))))</f>
        <v/>
      </c>
    </row>
    <row r="108" spans="1:32" s="135" customFormat="1" ht="21" customHeight="1">
      <c r="A108" s="132" t="str">
        <f>+'Presupuesto Consolidado'!A120</f>
        <v>12.3.16</v>
      </c>
      <c r="B108" s="140">
        <f t="shared" ref="B108" si="1134">IF(A108="","",IF($K$4="Media aritmética",ROUND(AVERAGE(C108,E108,G108,I108,K108,M108,O108,Q108,S108,U108,W108,Y108,AA108,AC108,AE108),2),ROUND(_xlfn.STDEV.P(C108,E108,G108,I108,K108,M108,O108,Q108,S108,U108,W108,Y108,AA108,AC108,AE108),2)))</f>
        <v>124200</v>
      </c>
      <c r="C108" s="141">
        <f>IF($C$8="Habilitado",IF($A108="","",ROUND(VLOOKUP($A108,'Presupuesto Consolidado'!$A$9:$F$600,6,FALSE),2)),"")</f>
        <v>124200</v>
      </c>
      <c r="D108" s="142">
        <f t="shared" ref="D108" si="1135">IF($A108="","",IF(C108="","",IF($K$4="Media aritmética",(C108&lt;=$B108)*($G$5/$B$5)+(C108&gt;$B108)*0,IF(ROUND(AVERAGE($C108,$E108,$G108,$I108,$K108,$M108,$O108,$Q108,$S108,$U108,$W108,$Y108,$AA108,$AC108,$AE108),2)-$B108/2&lt;=C108,IF(ROUND(AVERAGE($C108,$E108,$G108,$I108,$K108,$M108,$O108,$Q108,$S108,$U108,$W108,$Y108,$AA108,$AC108,$AE108),2)+$B108/2&gt;C108,($G$5/$B$5),0),0))))</f>
        <v>0.45714285714285713</v>
      </c>
      <c r="E108" s="141" t="str">
        <f>IF($E$8="Habilitado",IF($A108="","",ROUND(VLOOKUP($A108,'Presupuesto Consolidado'!$I$9:$N$600,6,FALSE),2)),"")</f>
        <v/>
      </c>
      <c r="F108" s="142" t="str">
        <f t="shared" ref="F108" si="1136">IF($A108="","",IF(E108="","",IF($K$4="Media aritmética",(E108&lt;=$B108)*($G$5/$B$5)+(E108&gt;$B108)*0,IF(ROUND(AVERAGE($C108,$E108,$G108,$I108,$K108,$M108,$O108,$Q108,$S108,$U108,$W108,$Y108,$AA108,$AC108,$AE108),2)-$B108/2&lt;=E108,IF(ROUND(AVERAGE($C108,$E108,$G108,$I108,$K108,$M108,$O108,$Q108,$S108,$U108,$W108,$Y108,$AA108,$AC108,$AE108),2)+$B108/2&gt;E108,($G$5/$B$5),0),0))))</f>
        <v/>
      </c>
      <c r="G108" s="141" t="str">
        <f>IF($G$8="Habilitado",IF($A108="","",ROUND(VLOOKUP($A108,'Presupuesto Consolidado'!$Q$9:$V$600,6,FALSE),2)),"")</f>
        <v/>
      </c>
      <c r="H108" s="142" t="str">
        <f t="shared" ref="H108" si="1137">IF($A108="","",IF(G108="","",IF($K$4="Media aritmética",(G108&lt;=$B108)*($G$5/$B$5)+(G108&gt;$B108)*0,IF(ROUND(AVERAGE($C108,$E108,$G108,$I108,$K108,$M108,$O108,$Q108,$S108,$U108,$W108,$Y108,$AA108,$AC108,$AE108),2)-$B108/2&lt;=G108,IF(ROUND(AVERAGE($C108,$E108,$G108,$I108,$K108,$M108,$O108,$Q108,$S108,$U108,$W108,$Y108,$AA108,$AC108,$AE108),2)+$B108/2&gt;G108,($G$5/$B$5),0),0))))</f>
        <v/>
      </c>
      <c r="I108" s="141" t="str">
        <f>IF($I$8="Habilitado",IF($A108="","",ROUND(VLOOKUP($A108,'Presupuesto Consolidado'!$Y$9:$AD$600,6,FALSE),2)),"")</f>
        <v/>
      </c>
      <c r="J108" s="142" t="str">
        <f t="shared" ref="J108" si="1138">IF($A108="","",IF(I108="","",IF($K$4="Media aritmética",(I108&lt;=$B108)*($G$5/$B$5)+(I108&gt;$B108)*0,IF(ROUND(AVERAGE($C108,$E108,$G108,$I108,$K108,$M108,$O108,$Q108,$S108,$U108,$W108,$Y108,$AA108,$AC108,$AE108),2)-$B108/2&lt;=I108,IF(ROUND(AVERAGE($C108,$E108,$G108,$I108,$K108,$M108,$O108,$Q108,$S108,$U108,$W108,$Y108,$AA108,$AC108,$AE108),2)+$B108/2&gt;I108,($G$5/$B$5),0),0))))</f>
        <v/>
      </c>
      <c r="K108" s="141" t="str">
        <f>IF($K$8="Habilitado",IF($A108="","",ROUND(VLOOKUP($A108,'Presupuesto Consolidado'!#REF!,6,FALSE),2)),"")</f>
        <v/>
      </c>
      <c r="L108" s="142" t="str">
        <f t="shared" ref="L108" si="1139">IF($A108="","",IF(K108="","",IF($K$4="Media aritmética",(K108&lt;=$B108)*($G$5/$B$5)+(K108&gt;$B108)*0,IF(ROUND(AVERAGE($C108,$E108,$G108,$I108,$K108,$M108,$O108,$Q108,$S108,$U108,$W108,$Y108,$AA108,$AC108,$AE108),2)-$B108/2&lt;=K108,IF(ROUND(AVERAGE($C108,$E108,$G108,$I108,$K108,$M108,$O108,$Q108,$S108,$U108,$W108,$Y108,$AA108,$AC108,$AE108),2)+$B108/2&gt;K108,($G$5/$B$5),0),0))))</f>
        <v/>
      </c>
      <c r="M108" s="141" t="str">
        <f>IF($M$8="Habilitado",IF($A108="","",ROUND(VLOOKUP($A108,'Presupuesto Consolidado'!#REF!,6,FALSE),2)),"")</f>
        <v/>
      </c>
      <c r="N108" s="142" t="str">
        <f t="shared" ref="N108" si="1140">IF($A108="","",IF(M108="","",IF($K$4="Media aritmética",(M108&lt;=$B108)*($G$5/$B$5)+(M108&gt;$B108)*0,IF(ROUND(AVERAGE($C108,$E108,$G108,$I108,$K108,$M108,$O108,$Q108,$S108,$U108,$W108,$Y108,$AA108,$AC108,$AE108),2)-$B108/2&lt;=M108,IF(ROUND(AVERAGE($C108,$E108,$G108,$I108,$K108,$M108,$O108,$Q108,$S108,$U108,$W108,$Y108,$AA108,$AC108,$AE108),2)+$B108/2&gt;M108,($G$5/$B$5),0),0))))</f>
        <v/>
      </c>
      <c r="O108" s="141" t="str">
        <f>IF($O$8="Habilitado",IF($A108="","",ROUND(VLOOKUP($A108,'Presupuesto Consolidado'!#REF!,6,FALSE),2)),"")</f>
        <v/>
      </c>
      <c r="P108" s="142" t="str">
        <f t="shared" ref="P108" si="1141">IF($A108="","",IF(O108="","",IF($K$4="Media aritmética",(O108&lt;=$B108)*($G$5/$B$5)+(O108&gt;$B108)*0,IF(ROUND(AVERAGE($C108,$E108,$G108,$I108,$K108,$M108,$O108,$Q108,$S108,$U108,$W108,$Y108,$AA108,$AC108,$AE108),2)-$B108/2&lt;=O108,IF(ROUND(AVERAGE($C108,$E108,$G108,$I108,$K108,$M108,$O108,$Q108,$S108,$U108,$W108,$Y108,$AA108,$AC108,$AE108),2)+$B108/2&gt;O108,($G$5/$B$5),0),0))))</f>
        <v/>
      </c>
      <c r="Q108" s="141" t="str">
        <f>IF($Q$8="Habilitado",IF($A108="","",ROUND(VLOOKUP($A108,'Presupuesto Consolidado'!#REF!,6,FALSE),2)),"")</f>
        <v/>
      </c>
      <c r="R108" s="142" t="str">
        <f t="shared" ref="R108" si="1142">IF($A108="","",IF(Q108="","",IF($K$4="Media aritmética",(Q108&lt;=$B108)*($G$5/$B$5)+(Q108&gt;$B108)*0,IF(ROUND(AVERAGE($C108,$E108,$G108,$I108,$K108,$M108,$O108,$Q108,$S108,$U108,$W108,$Y108,$AA108,$AC108,$AE108),2)-$B108/2&lt;=Q108,IF(ROUND(AVERAGE($C108,$E108,$G108,$I108,$K108,$M108,$O108,$Q108,$S108,$U108,$W108,$Y108,$AA108,$AC108,$AE108),2)+$B108/2&gt;Q108,($G$5/$B$5),0),0))))</f>
        <v/>
      </c>
      <c r="S108" s="141" t="str">
        <f>IF($S$8="Habilitado",IF($A108="","",ROUND(VLOOKUP($A108,'Presupuesto Consolidado'!#REF!,6,FALSE),2)),"")</f>
        <v/>
      </c>
      <c r="T108" s="142" t="str">
        <f t="shared" ref="T108" si="1143">IF($A108="","",IF(S108="","",IF($K$4="Media aritmética",(S108&lt;=$B108)*($G$5/$B$5)+(S108&gt;$B108)*0,IF(ROUND(AVERAGE($C108,$E108,$G108,$I108,$K108,$M108,$O108,$Q108,$S108,$U108,$W108,$Y108,$AA108,$AC108,$AE108),2)-$B108/2&lt;=S108,IF(ROUND(AVERAGE($C108,$E108,$G108,$I108,$K108,$M108,$O108,$Q108,$S108,$U108,$W108,$Y108,$AA108,$AC108,$AE108),2)+$B108/2&gt;S108,($G$5/$B$5),0),0))))</f>
        <v/>
      </c>
      <c r="U108" s="141" t="str">
        <f>IF($U$8="Habilitado",IF($A108="","",ROUND(VLOOKUP($A108,'Presupuesto Consolidado'!#REF!,6,FALSE),2)),"")</f>
        <v/>
      </c>
      <c r="V108" s="142" t="str">
        <f t="shared" ref="V108" si="1144">IF($A108="","",IF(U108="","",IF($K$4="Media aritmética",(U108&lt;=$B108)*($G$5/$B$5)+(U108&gt;$B108)*0,IF(ROUND(AVERAGE($C108,$E108,$G108,$I108,$K108,$M108,$O108,$Q108,$S108,$U108,$W108,$Y108,$AA108,$AC108,$AE108),2)-$B108/2&lt;=U108,IF(ROUND(AVERAGE($C108,$E108,$G108,$I108,$K108,$M108,$O108,$Q108,$S108,$U108,$W108,$Y108,$AA108,$AC108,$AE108),2)+$B108/2&gt;U108,($G$5/$B$5),0),0))))</f>
        <v/>
      </c>
      <c r="W108" s="141" t="str">
        <f>IF($W$8="Habilitado",IF($A108="","",ROUND(VLOOKUP($A108,'Presupuesto Consolidado'!#REF!,6,FALSE),2)),"")</f>
        <v/>
      </c>
      <c r="X108" s="142" t="str">
        <f t="shared" ref="X108" si="1145">IF($A108="","",IF(W108="","",IF($K$4="Media aritmética",(W108&lt;=$B108)*($G$5/$B$5)+(W108&gt;$B108)*0,IF(ROUND(AVERAGE($C108,$E108,$G108,$I108,$K108,$M108,$O108,$Q108,$S108,$U108,$W108,$Y108,$AA108,$AC108,$AE108),2)-$B108/2&lt;=W108,IF(ROUND(AVERAGE($C108,$E108,$G108,$I108,$K108,$M108,$O108,$Q108,$S108,$U108,$W108,$Y108,$AA108,$AC108,$AE108),2)+$B108/2&gt;W108,($G$5/$B$5),0),0))))</f>
        <v/>
      </c>
      <c r="Y108" s="141" t="str">
        <f>IF($Y$8="Habilitado",IF($A108="","",ROUND(VLOOKUP($A108,'Presupuesto Consolidado'!#REF!,6,FALSE),2)),"")</f>
        <v/>
      </c>
      <c r="Z108" s="142" t="str">
        <f t="shared" ref="Z108" si="1146">IF($A108="","",IF(Y108="","",IF($K$4="Media aritmética",(Y108&lt;=$B108)*($G$5/$B$5)+(Y108&gt;$B108)*0,IF(ROUND(AVERAGE($C108,$E108,$G108,$I108,$K108,$M108,$O108,$Q108,$S108,$U108,$W108,$Y108,$AA108,$AC108,$AE108),2)-$B108/2&lt;=Y108,IF(ROUND(AVERAGE($C108,$E108,$G108,$I108,$K108,$M108,$O108,$Q108,$S108,$U108,$W108,$Y108,$AA108,$AC108,$AE108),2)+$B108/2&gt;Y108,($G$5/$B$5),0),0))))</f>
        <v/>
      </c>
      <c r="AA108" s="141" t="str">
        <f>IF($AA$8="Habilitado",IF($A108="","",ROUND(VLOOKUP($A108,'Presupuesto Consolidado'!#REF!,6,FALSE),2)),"")</f>
        <v/>
      </c>
      <c r="AB108" s="142" t="str">
        <f t="shared" ref="AB108" si="1147">IF($A108="","",IF(AA108="","",IF($K$4="Media aritmética",(AA108&lt;=$B108)*($G$5/$B$5)+(AA108&gt;$B108)*0,IF(ROUND(AVERAGE($C108,$E108,$G108,$I108,$K108,$M108,$O108,$Q108,$S108,$U108,$W108,$Y108,$AA108,$AC108,$AE108),2)-$B108/2&lt;=AA108,IF(ROUND(AVERAGE($C108,$E108,$G108,$I108,$K108,$M108,$O108,$Q108,$S108,$U108,$W108,$Y108,$AA108,$AC108,$AE108),2)+$B108/2&gt;AA108,($G$5/$B$5),0),0))))</f>
        <v/>
      </c>
      <c r="AC108" s="141" t="str">
        <f>IF($AC$8="Habilitado",IF($A108="","",ROUND(VLOOKUP($A108,'Presupuesto Consolidado'!#REF!,6,FALSE),2)),"")</f>
        <v/>
      </c>
      <c r="AD108" s="142" t="str">
        <f t="shared" ref="AD108" si="1148">IF($A108="","",IF(AC108="","",IF($K$4="Media aritmética",(AC108&lt;=$B108)*($G$5/$B$5)+(AC108&gt;$B108)*0,IF(ROUND(AVERAGE($C108,$E108,$G108,$I108,$K108,$M108,$O108,$Q108,$S108,$U108,$W108,$Y108,$AA108,$AC108,$AE108),2)-$B108/2&lt;=AC108,IF(ROUND(AVERAGE($C108,$E108,$G108,$I108,$K108,$M108,$O108,$Q108,$S108,$U108,$W108,$Y108,$AA108,$AC108,$AE108),2)+$B108/2&gt;AC108,($G$5/$B$5),0),0))))</f>
        <v/>
      </c>
      <c r="AE108" s="141" t="str">
        <f>IF($AE$8="Habilitado",IF($A108="","",ROUND(VLOOKUP($A108,'Presupuesto Consolidado'!#REF!,6,FALSE),2)),"")</f>
        <v/>
      </c>
      <c r="AF108" s="142" t="str">
        <f t="shared" ref="AF108" si="1149">IF($A108="","",IF(AE108="","",IF($K$4="Media aritmética",(AE108&lt;=$B108)*($G$5/$B$5)+(AE108&gt;$B108)*0,IF(ROUND(AVERAGE($C108,$E108,$G108,$I108,$K108,$M108,$O108,$Q108,$S108,$U108,$W108,$Y108,$AA108,$AC108,$AE108),2)-$B108/2&lt;=AE108,IF(ROUND(AVERAGE($C108,$E108,$G108,$I108,$K108,$M108,$O108,$Q108,$S108,$U108,$W108,$Y108,$AA108,$AC108,$AE108),2)+$B108/2&gt;AE108,($G$5/$B$5),0),0))))</f>
        <v/>
      </c>
    </row>
    <row r="109" spans="1:32" s="135" customFormat="1" ht="21" customHeight="1">
      <c r="A109" s="132" t="str">
        <f>+'Presupuesto Consolidado'!A121</f>
        <v>12.3.17</v>
      </c>
      <c r="B109" s="140">
        <f t="shared" ref="B109" si="1150">IF(A109="","",IF($K$4="Media aritmética",ROUND(AVERAGE(C109,E109,G109,I109,K109,M109,O109,Q109,S109,U109,W109,Y109,AA109,AC109,AE109),2),ROUND(_xlfn.STDEV.P(C109,E109,G109,I109,K109,M109,O109,Q109,S109,U109,W109,Y109,AA109,AC109,AE109),2)))</f>
        <v>776250</v>
      </c>
      <c r="C109" s="141">
        <f>IF($C$8="Habilitado",IF($A109="","",ROUND(VLOOKUP($A109,'Presupuesto Consolidado'!$A$9:$F$600,6,FALSE),2)),"")</f>
        <v>776250</v>
      </c>
      <c r="D109" s="142">
        <f t="shared" ref="D109" si="1151">IF($A109="","",IF(C109="","",IF($K$4="Media aritmética",(C109&lt;=$B109)*($G$5/$B$5)+(C109&gt;$B109)*0,IF(ROUND(AVERAGE($C109,$E109,$G109,$I109,$K109,$M109,$O109,$Q109,$S109,$U109,$W109,$Y109,$AA109,$AC109,$AE109),2)-$B109/2&lt;=C109,IF(ROUND(AVERAGE($C109,$E109,$G109,$I109,$K109,$M109,$O109,$Q109,$S109,$U109,$W109,$Y109,$AA109,$AC109,$AE109),2)+$B109/2&gt;C109,($G$5/$B$5),0),0))))</f>
        <v>0.45714285714285713</v>
      </c>
      <c r="E109" s="141" t="str">
        <f>IF($E$8="Habilitado",IF($A109="","",ROUND(VLOOKUP($A109,'Presupuesto Consolidado'!$I$9:$N$600,6,FALSE),2)),"")</f>
        <v/>
      </c>
      <c r="F109" s="142" t="str">
        <f t="shared" ref="F109" si="1152">IF($A109="","",IF(E109="","",IF($K$4="Media aritmética",(E109&lt;=$B109)*($G$5/$B$5)+(E109&gt;$B109)*0,IF(ROUND(AVERAGE($C109,$E109,$G109,$I109,$K109,$M109,$O109,$Q109,$S109,$U109,$W109,$Y109,$AA109,$AC109,$AE109),2)-$B109/2&lt;=E109,IF(ROUND(AVERAGE($C109,$E109,$G109,$I109,$K109,$M109,$O109,$Q109,$S109,$U109,$W109,$Y109,$AA109,$AC109,$AE109),2)+$B109/2&gt;E109,($G$5/$B$5),0),0))))</f>
        <v/>
      </c>
      <c r="G109" s="141" t="str">
        <f>IF($G$8="Habilitado",IF($A109="","",ROUND(VLOOKUP($A109,'Presupuesto Consolidado'!$Q$9:$V$600,6,FALSE),2)),"")</f>
        <v/>
      </c>
      <c r="H109" s="142" t="str">
        <f t="shared" ref="H109" si="1153">IF($A109="","",IF(G109="","",IF($K$4="Media aritmética",(G109&lt;=$B109)*($G$5/$B$5)+(G109&gt;$B109)*0,IF(ROUND(AVERAGE($C109,$E109,$G109,$I109,$K109,$M109,$O109,$Q109,$S109,$U109,$W109,$Y109,$AA109,$AC109,$AE109),2)-$B109/2&lt;=G109,IF(ROUND(AVERAGE($C109,$E109,$G109,$I109,$K109,$M109,$O109,$Q109,$S109,$U109,$W109,$Y109,$AA109,$AC109,$AE109),2)+$B109/2&gt;G109,($G$5/$B$5),0),0))))</f>
        <v/>
      </c>
      <c r="I109" s="141" t="str">
        <f>IF($I$8="Habilitado",IF($A109="","",ROUND(VLOOKUP($A109,'Presupuesto Consolidado'!$Y$9:$AD$600,6,FALSE),2)),"")</f>
        <v/>
      </c>
      <c r="J109" s="142" t="str">
        <f t="shared" ref="J109" si="1154">IF($A109="","",IF(I109="","",IF($K$4="Media aritmética",(I109&lt;=$B109)*($G$5/$B$5)+(I109&gt;$B109)*0,IF(ROUND(AVERAGE($C109,$E109,$G109,$I109,$K109,$M109,$O109,$Q109,$S109,$U109,$W109,$Y109,$AA109,$AC109,$AE109),2)-$B109/2&lt;=I109,IF(ROUND(AVERAGE($C109,$E109,$G109,$I109,$K109,$M109,$O109,$Q109,$S109,$U109,$W109,$Y109,$AA109,$AC109,$AE109),2)+$B109/2&gt;I109,($G$5/$B$5),0),0))))</f>
        <v/>
      </c>
      <c r="K109" s="141" t="str">
        <f>IF($K$8="Habilitado",IF($A109="","",ROUND(VLOOKUP($A109,'Presupuesto Consolidado'!#REF!,6,FALSE),2)),"")</f>
        <v/>
      </c>
      <c r="L109" s="142" t="str">
        <f t="shared" ref="L109" si="1155">IF($A109="","",IF(K109="","",IF($K$4="Media aritmética",(K109&lt;=$B109)*($G$5/$B$5)+(K109&gt;$B109)*0,IF(ROUND(AVERAGE($C109,$E109,$G109,$I109,$K109,$M109,$O109,$Q109,$S109,$U109,$W109,$Y109,$AA109,$AC109,$AE109),2)-$B109/2&lt;=K109,IF(ROUND(AVERAGE($C109,$E109,$G109,$I109,$K109,$M109,$O109,$Q109,$S109,$U109,$W109,$Y109,$AA109,$AC109,$AE109),2)+$B109/2&gt;K109,($G$5/$B$5),0),0))))</f>
        <v/>
      </c>
      <c r="M109" s="141" t="str">
        <f>IF($M$8="Habilitado",IF($A109="","",ROUND(VLOOKUP($A109,'Presupuesto Consolidado'!#REF!,6,FALSE),2)),"")</f>
        <v/>
      </c>
      <c r="N109" s="142" t="str">
        <f t="shared" ref="N109" si="1156">IF($A109="","",IF(M109="","",IF($K$4="Media aritmética",(M109&lt;=$B109)*($G$5/$B$5)+(M109&gt;$B109)*0,IF(ROUND(AVERAGE($C109,$E109,$G109,$I109,$K109,$M109,$O109,$Q109,$S109,$U109,$W109,$Y109,$AA109,$AC109,$AE109),2)-$B109/2&lt;=M109,IF(ROUND(AVERAGE($C109,$E109,$G109,$I109,$K109,$M109,$O109,$Q109,$S109,$U109,$W109,$Y109,$AA109,$AC109,$AE109),2)+$B109/2&gt;M109,($G$5/$B$5),0),0))))</f>
        <v/>
      </c>
      <c r="O109" s="141" t="str">
        <f>IF($O$8="Habilitado",IF($A109="","",ROUND(VLOOKUP($A109,'Presupuesto Consolidado'!#REF!,6,FALSE),2)),"")</f>
        <v/>
      </c>
      <c r="P109" s="142" t="str">
        <f t="shared" ref="P109" si="1157">IF($A109="","",IF(O109="","",IF($K$4="Media aritmética",(O109&lt;=$B109)*($G$5/$B$5)+(O109&gt;$B109)*0,IF(ROUND(AVERAGE($C109,$E109,$G109,$I109,$K109,$M109,$O109,$Q109,$S109,$U109,$W109,$Y109,$AA109,$AC109,$AE109),2)-$B109/2&lt;=O109,IF(ROUND(AVERAGE($C109,$E109,$G109,$I109,$K109,$M109,$O109,$Q109,$S109,$U109,$W109,$Y109,$AA109,$AC109,$AE109),2)+$B109/2&gt;O109,($G$5/$B$5),0),0))))</f>
        <v/>
      </c>
      <c r="Q109" s="141" t="str">
        <f>IF($Q$8="Habilitado",IF($A109="","",ROUND(VLOOKUP($A109,'Presupuesto Consolidado'!#REF!,6,FALSE),2)),"")</f>
        <v/>
      </c>
      <c r="R109" s="142" t="str">
        <f t="shared" ref="R109" si="1158">IF($A109="","",IF(Q109="","",IF($K$4="Media aritmética",(Q109&lt;=$B109)*($G$5/$B$5)+(Q109&gt;$B109)*0,IF(ROUND(AVERAGE($C109,$E109,$G109,$I109,$K109,$M109,$O109,$Q109,$S109,$U109,$W109,$Y109,$AA109,$AC109,$AE109),2)-$B109/2&lt;=Q109,IF(ROUND(AVERAGE($C109,$E109,$G109,$I109,$K109,$M109,$O109,$Q109,$S109,$U109,$W109,$Y109,$AA109,$AC109,$AE109),2)+$B109/2&gt;Q109,($G$5/$B$5),0),0))))</f>
        <v/>
      </c>
      <c r="S109" s="141" t="str">
        <f>IF($S$8="Habilitado",IF($A109="","",ROUND(VLOOKUP($A109,'Presupuesto Consolidado'!#REF!,6,FALSE),2)),"")</f>
        <v/>
      </c>
      <c r="T109" s="142" t="str">
        <f t="shared" ref="T109" si="1159">IF($A109="","",IF(S109="","",IF($K$4="Media aritmética",(S109&lt;=$B109)*($G$5/$B$5)+(S109&gt;$B109)*0,IF(ROUND(AVERAGE($C109,$E109,$G109,$I109,$K109,$M109,$O109,$Q109,$S109,$U109,$W109,$Y109,$AA109,$AC109,$AE109),2)-$B109/2&lt;=S109,IF(ROUND(AVERAGE($C109,$E109,$G109,$I109,$K109,$M109,$O109,$Q109,$S109,$U109,$W109,$Y109,$AA109,$AC109,$AE109),2)+$B109/2&gt;S109,($G$5/$B$5),0),0))))</f>
        <v/>
      </c>
      <c r="U109" s="141" t="str">
        <f>IF($U$8="Habilitado",IF($A109="","",ROUND(VLOOKUP($A109,'Presupuesto Consolidado'!#REF!,6,FALSE),2)),"")</f>
        <v/>
      </c>
      <c r="V109" s="142" t="str">
        <f t="shared" ref="V109" si="1160">IF($A109="","",IF(U109="","",IF($K$4="Media aritmética",(U109&lt;=$B109)*($G$5/$B$5)+(U109&gt;$B109)*0,IF(ROUND(AVERAGE($C109,$E109,$G109,$I109,$K109,$M109,$O109,$Q109,$S109,$U109,$W109,$Y109,$AA109,$AC109,$AE109),2)-$B109/2&lt;=U109,IF(ROUND(AVERAGE($C109,$E109,$G109,$I109,$K109,$M109,$O109,$Q109,$S109,$U109,$W109,$Y109,$AA109,$AC109,$AE109),2)+$B109/2&gt;U109,($G$5/$B$5),0),0))))</f>
        <v/>
      </c>
      <c r="W109" s="141" t="str">
        <f>IF($W$8="Habilitado",IF($A109="","",ROUND(VLOOKUP($A109,'Presupuesto Consolidado'!#REF!,6,FALSE),2)),"")</f>
        <v/>
      </c>
      <c r="X109" s="142" t="str">
        <f t="shared" ref="X109" si="1161">IF($A109="","",IF(W109="","",IF($K$4="Media aritmética",(W109&lt;=$B109)*($G$5/$B$5)+(W109&gt;$B109)*0,IF(ROUND(AVERAGE($C109,$E109,$G109,$I109,$K109,$M109,$O109,$Q109,$S109,$U109,$W109,$Y109,$AA109,$AC109,$AE109),2)-$B109/2&lt;=W109,IF(ROUND(AVERAGE($C109,$E109,$G109,$I109,$K109,$M109,$O109,$Q109,$S109,$U109,$W109,$Y109,$AA109,$AC109,$AE109),2)+$B109/2&gt;W109,($G$5/$B$5),0),0))))</f>
        <v/>
      </c>
      <c r="Y109" s="141" t="str">
        <f>IF($Y$8="Habilitado",IF($A109="","",ROUND(VLOOKUP($A109,'Presupuesto Consolidado'!#REF!,6,FALSE),2)),"")</f>
        <v/>
      </c>
      <c r="Z109" s="142" t="str">
        <f t="shared" ref="Z109" si="1162">IF($A109="","",IF(Y109="","",IF($K$4="Media aritmética",(Y109&lt;=$B109)*($G$5/$B$5)+(Y109&gt;$B109)*0,IF(ROUND(AVERAGE($C109,$E109,$G109,$I109,$K109,$M109,$O109,$Q109,$S109,$U109,$W109,$Y109,$AA109,$AC109,$AE109),2)-$B109/2&lt;=Y109,IF(ROUND(AVERAGE($C109,$E109,$G109,$I109,$K109,$M109,$O109,$Q109,$S109,$U109,$W109,$Y109,$AA109,$AC109,$AE109),2)+$B109/2&gt;Y109,($G$5/$B$5),0),0))))</f>
        <v/>
      </c>
      <c r="AA109" s="141" t="str">
        <f>IF($AA$8="Habilitado",IF($A109="","",ROUND(VLOOKUP($A109,'Presupuesto Consolidado'!#REF!,6,FALSE),2)),"")</f>
        <v/>
      </c>
      <c r="AB109" s="142" t="str">
        <f t="shared" ref="AB109" si="1163">IF($A109="","",IF(AA109="","",IF($K$4="Media aritmética",(AA109&lt;=$B109)*($G$5/$B$5)+(AA109&gt;$B109)*0,IF(ROUND(AVERAGE($C109,$E109,$G109,$I109,$K109,$M109,$O109,$Q109,$S109,$U109,$W109,$Y109,$AA109,$AC109,$AE109),2)-$B109/2&lt;=AA109,IF(ROUND(AVERAGE($C109,$E109,$G109,$I109,$K109,$M109,$O109,$Q109,$S109,$U109,$W109,$Y109,$AA109,$AC109,$AE109),2)+$B109/2&gt;AA109,($G$5/$B$5),0),0))))</f>
        <v/>
      </c>
      <c r="AC109" s="141" t="str">
        <f>IF($AC$8="Habilitado",IF($A109="","",ROUND(VLOOKUP($A109,'Presupuesto Consolidado'!#REF!,6,FALSE),2)),"")</f>
        <v/>
      </c>
      <c r="AD109" s="142" t="str">
        <f t="shared" ref="AD109" si="1164">IF($A109="","",IF(AC109="","",IF($K$4="Media aritmética",(AC109&lt;=$B109)*($G$5/$B$5)+(AC109&gt;$B109)*0,IF(ROUND(AVERAGE($C109,$E109,$G109,$I109,$K109,$M109,$O109,$Q109,$S109,$U109,$W109,$Y109,$AA109,$AC109,$AE109),2)-$B109/2&lt;=AC109,IF(ROUND(AVERAGE($C109,$E109,$G109,$I109,$K109,$M109,$O109,$Q109,$S109,$U109,$W109,$Y109,$AA109,$AC109,$AE109),2)+$B109/2&gt;AC109,($G$5/$B$5),0),0))))</f>
        <v/>
      </c>
      <c r="AE109" s="141" t="str">
        <f>IF($AE$8="Habilitado",IF($A109="","",ROUND(VLOOKUP($A109,'Presupuesto Consolidado'!#REF!,6,FALSE),2)),"")</f>
        <v/>
      </c>
      <c r="AF109" s="142" t="str">
        <f t="shared" ref="AF109" si="1165">IF($A109="","",IF(AE109="","",IF($K$4="Media aritmética",(AE109&lt;=$B109)*($G$5/$B$5)+(AE109&gt;$B109)*0,IF(ROUND(AVERAGE($C109,$E109,$G109,$I109,$K109,$M109,$O109,$Q109,$S109,$U109,$W109,$Y109,$AA109,$AC109,$AE109),2)-$B109/2&lt;=AE109,IF(ROUND(AVERAGE($C109,$E109,$G109,$I109,$K109,$M109,$O109,$Q109,$S109,$U109,$W109,$Y109,$AA109,$AC109,$AE109),2)+$B109/2&gt;AE109,($G$5/$B$5),0),0))))</f>
        <v/>
      </c>
    </row>
    <row r="110" spans="1:32" s="135" customFormat="1" ht="21" customHeight="1">
      <c r="A110" s="132" t="str">
        <f>+'Presupuesto Consolidado'!A122</f>
        <v>12.3.18</v>
      </c>
      <c r="B110" s="140">
        <f t="shared" ref="B110" si="1166">IF(A110="","",IF($K$4="Media aritmética",ROUND(AVERAGE(C110,E110,G110,I110,K110,M110,O110,Q110,S110,U110,W110,Y110,AA110,AC110,AE110),2),ROUND(_xlfn.STDEV.P(C110,E110,G110,I110,K110,M110,O110,Q110,S110,U110,W110,Y110,AA110,AC110,AE110),2)))</f>
        <v>1863000</v>
      </c>
      <c r="C110" s="141">
        <f>IF($C$8="Habilitado",IF($A110="","",ROUND(VLOOKUP($A110,'Presupuesto Consolidado'!$A$9:$F$600,6,FALSE),2)),"")</f>
        <v>1863000</v>
      </c>
      <c r="D110" s="142">
        <f t="shared" ref="D110" si="1167">IF($A110="","",IF(C110="","",IF($K$4="Media aritmética",(C110&lt;=$B110)*($G$5/$B$5)+(C110&gt;$B110)*0,IF(ROUND(AVERAGE($C110,$E110,$G110,$I110,$K110,$M110,$O110,$Q110,$S110,$U110,$W110,$Y110,$AA110,$AC110,$AE110),2)-$B110/2&lt;=C110,IF(ROUND(AVERAGE($C110,$E110,$G110,$I110,$K110,$M110,$O110,$Q110,$S110,$U110,$W110,$Y110,$AA110,$AC110,$AE110),2)+$B110/2&gt;C110,($G$5/$B$5),0),0))))</f>
        <v>0.45714285714285713</v>
      </c>
      <c r="E110" s="141" t="str">
        <f>IF($E$8="Habilitado",IF($A110="","",ROUND(VLOOKUP($A110,'Presupuesto Consolidado'!$I$9:$N$600,6,FALSE),2)),"")</f>
        <v/>
      </c>
      <c r="F110" s="142" t="str">
        <f t="shared" ref="F110" si="1168">IF($A110="","",IF(E110="","",IF($K$4="Media aritmética",(E110&lt;=$B110)*($G$5/$B$5)+(E110&gt;$B110)*0,IF(ROUND(AVERAGE($C110,$E110,$G110,$I110,$K110,$M110,$O110,$Q110,$S110,$U110,$W110,$Y110,$AA110,$AC110,$AE110),2)-$B110/2&lt;=E110,IF(ROUND(AVERAGE($C110,$E110,$G110,$I110,$K110,$M110,$O110,$Q110,$S110,$U110,$W110,$Y110,$AA110,$AC110,$AE110),2)+$B110/2&gt;E110,($G$5/$B$5),0),0))))</f>
        <v/>
      </c>
      <c r="G110" s="141" t="str">
        <f>IF($G$8="Habilitado",IF($A110="","",ROUND(VLOOKUP($A110,'Presupuesto Consolidado'!$Q$9:$V$600,6,FALSE),2)),"")</f>
        <v/>
      </c>
      <c r="H110" s="142" t="str">
        <f t="shared" ref="H110" si="1169">IF($A110="","",IF(G110="","",IF($K$4="Media aritmética",(G110&lt;=$B110)*($G$5/$B$5)+(G110&gt;$B110)*0,IF(ROUND(AVERAGE($C110,$E110,$G110,$I110,$K110,$M110,$O110,$Q110,$S110,$U110,$W110,$Y110,$AA110,$AC110,$AE110),2)-$B110/2&lt;=G110,IF(ROUND(AVERAGE($C110,$E110,$G110,$I110,$K110,$M110,$O110,$Q110,$S110,$U110,$W110,$Y110,$AA110,$AC110,$AE110),2)+$B110/2&gt;G110,($G$5/$B$5),0),0))))</f>
        <v/>
      </c>
      <c r="I110" s="141" t="str">
        <f>IF($I$8="Habilitado",IF($A110="","",ROUND(VLOOKUP($A110,'Presupuesto Consolidado'!$Y$9:$AD$600,6,FALSE),2)),"")</f>
        <v/>
      </c>
      <c r="J110" s="142" t="str">
        <f t="shared" ref="J110" si="1170">IF($A110="","",IF(I110="","",IF($K$4="Media aritmética",(I110&lt;=$B110)*($G$5/$B$5)+(I110&gt;$B110)*0,IF(ROUND(AVERAGE($C110,$E110,$G110,$I110,$K110,$M110,$O110,$Q110,$S110,$U110,$W110,$Y110,$AA110,$AC110,$AE110),2)-$B110/2&lt;=I110,IF(ROUND(AVERAGE($C110,$E110,$G110,$I110,$K110,$M110,$O110,$Q110,$S110,$U110,$W110,$Y110,$AA110,$AC110,$AE110),2)+$B110/2&gt;I110,($G$5/$B$5),0),0))))</f>
        <v/>
      </c>
      <c r="K110" s="141" t="str">
        <f>IF($K$8="Habilitado",IF($A110="","",ROUND(VLOOKUP($A110,'Presupuesto Consolidado'!#REF!,6,FALSE),2)),"")</f>
        <v/>
      </c>
      <c r="L110" s="142" t="str">
        <f t="shared" ref="L110" si="1171">IF($A110="","",IF(K110="","",IF($K$4="Media aritmética",(K110&lt;=$B110)*($G$5/$B$5)+(K110&gt;$B110)*0,IF(ROUND(AVERAGE($C110,$E110,$G110,$I110,$K110,$M110,$O110,$Q110,$S110,$U110,$W110,$Y110,$AA110,$AC110,$AE110),2)-$B110/2&lt;=K110,IF(ROUND(AVERAGE($C110,$E110,$G110,$I110,$K110,$M110,$O110,$Q110,$S110,$U110,$W110,$Y110,$AA110,$AC110,$AE110),2)+$B110/2&gt;K110,($G$5/$B$5),0),0))))</f>
        <v/>
      </c>
      <c r="M110" s="141" t="str">
        <f>IF($M$8="Habilitado",IF($A110="","",ROUND(VLOOKUP($A110,'Presupuesto Consolidado'!#REF!,6,FALSE),2)),"")</f>
        <v/>
      </c>
      <c r="N110" s="142" t="str">
        <f t="shared" ref="N110" si="1172">IF($A110="","",IF(M110="","",IF($K$4="Media aritmética",(M110&lt;=$B110)*($G$5/$B$5)+(M110&gt;$B110)*0,IF(ROUND(AVERAGE($C110,$E110,$G110,$I110,$K110,$M110,$O110,$Q110,$S110,$U110,$W110,$Y110,$AA110,$AC110,$AE110),2)-$B110/2&lt;=M110,IF(ROUND(AVERAGE($C110,$E110,$G110,$I110,$K110,$M110,$O110,$Q110,$S110,$U110,$W110,$Y110,$AA110,$AC110,$AE110),2)+$B110/2&gt;M110,($G$5/$B$5),0),0))))</f>
        <v/>
      </c>
      <c r="O110" s="141" t="str">
        <f>IF($O$8="Habilitado",IF($A110="","",ROUND(VLOOKUP($A110,'Presupuesto Consolidado'!#REF!,6,FALSE),2)),"")</f>
        <v/>
      </c>
      <c r="P110" s="142" t="str">
        <f t="shared" ref="P110" si="1173">IF($A110="","",IF(O110="","",IF($K$4="Media aritmética",(O110&lt;=$B110)*($G$5/$B$5)+(O110&gt;$B110)*0,IF(ROUND(AVERAGE($C110,$E110,$G110,$I110,$K110,$M110,$O110,$Q110,$S110,$U110,$W110,$Y110,$AA110,$AC110,$AE110),2)-$B110/2&lt;=O110,IF(ROUND(AVERAGE($C110,$E110,$G110,$I110,$K110,$M110,$O110,$Q110,$S110,$U110,$W110,$Y110,$AA110,$AC110,$AE110),2)+$B110/2&gt;O110,($G$5/$B$5),0),0))))</f>
        <v/>
      </c>
      <c r="Q110" s="141" t="str">
        <f>IF($Q$8="Habilitado",IF($A110="","",ROUND(VLOOKUP($A110,'Presupuesto Consolidado'!#REF!,6,FALSE),2)),"")</f>
        <v/>
      </c>
      <c r="R110" s="142" t="str">
        <f t="shared" ref="R110" si="1174">IF($A110="","",IF(Q110="","",IF($K$4="Media aritmética",(Q110&lt;=$B110)*($G$5/$B$5)+(Q110&gt;$B110)*0,IF(ROUND(AVERAGE($C110,$E110,$G110,$I110,$K110,$M110,$O110,$Q110,$S110,$U110,$W110,$Y110,$AA110,$AC110,$AE110),2)-$B110/2&lt;=Q110,IF(ROUND(AVERAGE($C110,$E110,$G110,$I110,$K110,$M110,$O110,$Q110,$S110,$U110,$W110,$Y110,$AA110,$AC110,$AE110),2)+$B110/2&gt;Q110,($G$5/$B$5),0),0))))</f>
        <v/>
      </c>
      <c r="S110" s="141" t="str">
        <f>IF($S$8="Habilitado",IF($A110="","",ROUND(VLOOKUP($A110,'Presupuesto Consolidado'!#REF!,6,FALSE),2)),"")</f>
        <v/>
      </c>
      <c r="T110" s="142" t="str">
        <f t="shared" ref="T110" si="1175">IF($A110="","",IF(S110="","",IF($K$4="Media aritmética",(S110&lt;=$B110)*($G$5/$B$5)+(S110&gt;$B110)*0,IF(ROUND(AVERAGE($C110,$E110,$G110,$I110,$K110,$M110,$O110,$Q110,$S110,$U110,$W110,$Y110,$AA110,$AC110,$AE110),2)-$B110/2&lt;=S110,IF(ROUND(AVERAGE($C110,$E110,$G110,$I110,$K110,$M110,$O110,$Q110,$S110,$U110,$W110,$Y110,$AA110,$AC110,$AE110),2)+$B110/2&gt;S110,($G$5/$B$5),0),0))))</f>
        <v/>
      </c>
      <c r="U110" s="141" t="str">
        <f>IF($U$8="Habilitado",IF($A110="","",ROUND(VLOOKUP($A110,'Presupuesto Consolidado'!#REF!,6,FALSE),2)),"")</f>
        <v/>
      </c>
      <c r="V110" s="142" t="str">
        <f t="shared" ref="V110" si="1176">IF($A110="","",IF(U110="","",IF($K$4="Media aritmética",(U110&lt;=$B110)*($G$5/$B$5)+(U110&gt;$B110)*0,IF(ROUND(AVERAGE($C110,$E110,$G110,$I110,$K110,$M110,$O110,$Q110,$S110,$U110,$W110,$Y110,$AA110,$AC110,$AE110),2)-$B110/2&lt;=U110,IF(ROUND(AVERAGE($C110,$E110,$G110,$I110,$K110,$M110,$O110,$Q110,$S110,$U110,$W110,$Y110,$AA110,$AC110,$AE110),2)+$B110/2&gt;U110,($G$5/$B$5),0),0))))</f>
        <v/>
      </c>
      <c r="W110" s="141" t="str">
        <f>IF($W$8="Habilitado",IF($A110="","",ROUND(VLOOKUP($A110,'Presupuesto Consolidado'!#REF!,6,FALSE),2)),"")</f>
        <v/>
      </c>
      <c r="X110" s="142" t="str">
        <f t="shared" ref="X110" si="1177">IF($A110="","",IF(W110="","",IF($K$4="Media aritmética",(W110&lt;=$B110)*($G$5/$B$5)+(W110&gt;$B110)*0,IF(ROUND(AVERAGE($C110,$E110,$G110,$I110,$K110,$M110,$O110,$Q110,$S110,$U110,$W110,$Y110,$AA110,$AC110,$AE110),2)-$B110/2&lt;=W110,IF(ROUND(AVERAGE($C110,$E110,$G110,$I110,$K110,$M110,$O110,$Q110,$S110,$U110,$W110,$Y110,$AA110,$AC110,$AE110),2)+$B110/2&gt;W110,($G$5/$B$5),0),0))))</f>
        <v/>
      </c>
      <c r="Y110" s="141" t="str">
        <f>IF($Y$8="Habilitado",IF($A110="","",ROUND(VLOOKUP($A110,'Presupuesto Consolidado'!#REF!,6,FALSE),2)),"")</f>
        <v/>
      </c>
      <c r="Z110" s="142" t="str">
        <f t="shared" ref="Z110" si="1178">IF($A110="","",IF(Y110="","",IF($K$4="Media aritmética",(Y110&lt;=$B110)*($G$5/$B$5)+(Y110&gt;$B110)*0,IF(ROUND(AVERAGE($C110,$E110,$G110,$I110,$K110,$M110,$O110,$Q110,$S110,$U110,$W110,$Y110,$AA110,$AC110,$AE110),2)-$B110/2&lt;=Y110,IF(ROUND(AVERAGE($C110,$E110,$G110,$I110,$K110,$M110,$O110,$Q110,$S110,$U110,$W110,$Y110,$AA110,$AC110,$AE110),2)+$B110/2&gt;Y110,($G$5/$B$5),0),0))))</f>
        <v/>
      </c>
      <c r="AA110" s="141" t="str">
        <f>IF($AA$8="Habilitado",IF($A110="","",ROUND(VLOOKUP($A110,'Presupuesto Consolidado'!#REF!,6,FALSE),2)),"")</f>
        <v/>
      </c>
      <c r="AB110" s="142" t="str">
        <f t="shared" ref="AB110" si="1179">IF($A110="","",IF(AA110="","",IF($K$4="Media aritmética",(AA110&lt;=$B110)*($G$5/$B$5)+(AA110&gt;$B110)*0,IF(ROUND(AVERAGE($C110,$E110,$G110,$I110,$K110,$M110,$O110,$Q110,$S110,$U110,$W110,$Y110,$AA110,$AC110,$AE110),2)-$B110/2&lt;=AA110,IF(ROUND(AVERAGE($C110,$E110,$G110,$I110,$K110,$M110,$O110,$Q110,$S110,$U110,$W110,$Y110,$AA110,$AC110,$AE110),2)+$B110/2&gt;AA110,($G$5/$B$5),0),0))))</f>
        <v/>
      </c>
      <c r="AC110" s="141" t="str">
        <f>IF($AC$8="Habilitado",IF($A110="","",ROUND(VLOOKUP($A110,'Presupuesto Consolidado'!#REF!,6,FALSE),2)),"")</f>
        <v/>
      </c>
      <c r="AD110" s="142" t="str">
        <f t="shared" ref="AD110" si="1180">IF($A110="","",IF(AC110="","",IF($K$4="Media aritmética",(AC110&lt;=$B110)*($G$5/$B$5)+(AC110&gt;$B110)*0,IF(ROUND(AVERAGE($C110,$E110,$G110,$I110,$K110,$M110,$O110,$Q110,$S110,$U110,$W110,$Y110,$AA110,$AC110,$AE110),2)-$B110/2&lt;=AC110,IF(ROUND(AVERAGE($C110,$E110,$G110,$I110,$K110,$M110,$O110,$Q110,$S110,$U110,$W110,$Y110,$AA110,$AC110,$AE110),2)+$B110/2&gt;AC110,($G$5/$B$5),0),0))))</f>
        <v/>
      </c>
      <c r="AE110" s="141" t="str">
        <f>IF($AE$8="Habilitado",IF($A110="","",ROUND(VLOOKUP($A110,'Presupuesto Consolidado'!#REF!,6,FALSE),2)),"")</f>
        <v/>
      </c>
      <c r="AF110" s="142" t="str">
        <f t="shared" ref="AF110" si="1181">IF($A110="","",IF(AE110="","",IF($K$4="Media aritmética",(AE110&lt;=$B110)*($G$5/$B$5)+(AE110&gt;$B110)*0,IF(ROUND(AVERAGE($C110,$E110,$G110,$I110,$K110,$M110,$O110,$Q110,$S110,$U110,$W110,$Y110,$AA110,$AC110,$AE110),2)-$B110/2&lt;=AE110,IF(ROUND(AVERAGE($C110,$E110,$G110,$I110,$K110,$M110,$O110,$Q110,$S110,$U110,$W110,$Y110,$AA110,$AC110,$AE110),2)+$B110/2&gt;AE110,($G$5/$B$5),0),0))))</f>
        <v/>
      </c>
    </row>
    <row r="111" spans="1:32" s="135" customFormat="1" ht="21" customHeight="1">
      <c r="A111" s="132" t="str">
        <f>+'Presupuesto Consolidado'!A123</f>
        <v>12.3.19</v>
      </c>
      <c r="B111" s="140">
        <f t="shared" ref="B111" si="1182">IF(A111="","",IF($K$4="Media aritmética",ROUND(AVERAGE(C111,E111,G111,I111,K111,M111,O111,Q111,S111,U111,W111,Y111,AA111,AC111,AE111),2),ROUND(_xlfn.STDEV.P(C111,E111,G111,I111,K111,M111,O111,Q111,S111,U111,W111,Y111,AA111,AC111,AE111),2)))</f>
        <v>434700</v>
      </c>
      <c r="C111" s="141">
        <f>IF($C$8="Habilitado",IF($A111="","",ROUND(VLOOKUP($A111,'Presupuesto Consolidado'!$A$9:$F$600,6,FALSE),2)),"")</f>
        <v>434700</v>
      </c>
      <c r="D111" s="142">
        <f t="shared" ref="D111" si="1183">IF($A111="","",IF(C111="","",IF($K$4="Media aritmética",(C111&lt;=$B111)*($G$5/$B$5)+(C111&gt;$B111)*0,IF(ROUND(AVERAGE($C111,$E111,$G111,$I111,$K111,$M111,$O111,$Q111,$S111,$U111,$W111,$Y111,$AA111,$AC111,$AE111),2)-$B111/2&lt;=C111,IF(ROUND(AVERAGE($C111,$E111,$G111,$I111,$K111,$M111,$O111,$Q111,$S111,$U111,$W111,$Y111,$AA111,$AC111,$AE111),2)+$B111/2&gt;C111,($G$5/$B$5),0),0))))</f>
        <v>0.45714285714285713</v>
      </c>
      <c r="E111" s="141" t="str">
        <f>IF($E$8="Habilitado",IF($A111="","",ROUND(VLOOKUP($A111,'Presupuesto Consolidado'!$I$9:$N$600,6,FALSE),2)),"")</f>
        <v/>
      </c>
      <c r="F111" s="142" t="str">
        <f t="shared" ref="F111" si="1184">IF($A111="","",IF(E111="","",IF($K$4="Media aritmética",(E111&lt;=$B111)*($G$5/$B$5)+(E111&gt;$B111)*0,IF(ROUND(AVERAGE($C111,$E111,$G111,$I111,$K111,$M111,$O111,$Q111,$S111,$U111,$W111,$Y111,$AA111,$AC111,$AE111),2)-$B111/2&lt;=E111,IF(ROUND(AVERAGE($C111,$E111,$G111,$I111,$K111,$M111,$O111,$Q111,$S111,$U111,$W111,$Y111,$AA111,$AC111,$AE111),2)+$B111/2&gt;E111,($G$5/$B$5),0),0))))</f>
        <v/>
      </c>
      <c r="G111" s="141" t="str">
        <f>IF($G$8="Habilitado",IF($A111="","",ROUND(VLOOKUP($A111,'Presupuesto Consolidado'!$Q$9:$V$600,6,FALSE),2)),"")</f>
        <v/>
      </c>
      <c r="H111" s="142" t="str">
        <f t="shared" ref="H111" si="1185">IF($A111="","",IF(G111="","",IF($K$4="Media aritmética",(G111&lt;=$B111)*($G$5/$B$5)+(G111&gt;$B111)*0,IF(ROUND(AVERAGE($C111,$E111,$G111,$I111,$K111,$M111,$O111,$Q111,$S111,$U111,$W111,$Y111,$AA111,$AC111,$AE111),2)-$B111/2&lt;=G111,IF(ROUND(AVERAGE($C111,$E111,$G111,$I111,$K111,$M111,$O111,$Q111,$S111,$U111,$W111,$Y111,$AA111,$AC111,$AE111),2)+$B111/2&gt;G111,($G$5/$B$5),0),0))))</f>
        <v/>
      </c>
      <c r="I111" s="141" t="str">
        <f>IF($I$8="Habilitado",IF($A111="","",ROUND(VLOOKUP($A111,'Presupuesto Consolidado'!$Y$9:$AD$600,6,FALSE),2)),"")</f>
        <v/>
      </c>
      <c r="J111" s="142" t="str">
        <f t="shared" ref="J111" si="1186">IF($A111="","",IF(I111="","",IF($K$4="Media aritmética",(I111&lt;=$B111)*($G$5/$B$5)+(I111&gt;$B111)*0,IF(ROUND(AVERAGE($C111,$E111,$G111,$I111,$K111,$M111,$O111,$Q111,$S111,$U111,$W111,$Y111,$AA111,$AC111,$AE111),2)-$B111/2&lt;=I111,IF(ROUND(AVERAGE($C111,$E111,$G111,$I111,$K111,$M111,$O111,$Q111,$S111,$U111,$W111,$Y111,$AA111,$AC111,$AE111),2)+$B111/2&gt;I111,($G$5/$B$5),0),0))))</f>
        <v/>
      </c>
      <c r="K111" s="141" t="str">
        <f>IF($K$8="Habilitado",IF($A111="","",ROUND(VLOOKUP($A111,'Presupuesto Consolidado'!#REF!,6,FALSE),2)),"")</f>
        <v/>
      </c>
      <c r="L111" s="142" t="str">
        <f t="shared" ref="L111" si="1187">IF($A111="","",IF(K111="","",IF($K$4="Media aritmética",(K111&lt;=$B111)*($G$5/$B$5)+(K111&gt;$B111)*0,IF(ROUND(AVERAGE($C111,$E111,$G111,$I111,$K111,$M111,$O111,$Q111,$S111,$U111,$W111,$Y111,$AA111,$AC111,$AE111),2)-$B111/2&lt;=K111,IF(ROUND(AVERAGE($C111,$E111,$G111,$I111,$K111,$M111,$O111,$Q111,$S111,$U111,$W111,$Y111,$AA111,$AC111,$AE111),2)+$B111/2&gt;K111,($G$5/$B$5),0),0))))</f>
        <v/>
      </c>
      <c r="M111" s="141" t="str">
        <f>IF($M$8="Habilitado",IF($A111="","",ROUND(VLOOKUP($A111,'Presupuesto Consolidado'!#REF!,6,FALSE),2)),"")</f>
        <v/>
      </c>
      <c r="N111" s="142" t="str">
        <f t="shared" ref="N111" si="1188">IF($A111="","",IF(M111="","",IF($K$4="Media aritmética",(M111&lt;=$B111)*($G$5/$B$5)+(M111&gt;$B111)*0,IF(ROUND(AVERAGE($C111,$E111,$G111,$I111,$K111,$M111,$O111,$Q111,$S111,$U111,$W111,$Y111,$AA111,$AC111,$AE111),2)-$B111/2&lt;=M111,IF(ROUND(AVERAGE($C111,$E111,$G111,$I111,$K111,$M111,$O111,$Q111,$S111,$U111,$W111,$Y111,$AA111,$AC111,$AE111),2)+$B111/2&gt;M111,($G$5/$B$5),0),0))))</f>
        <v/>
      </c>
      <c r="O111" s="141" t="str">
        <f>IF($O$8="Habilitado",IF($A111="","",ROUND(VLOOKUP($A111,'Presupuesto Consolidado'!#REF!,6,FALSE),2)),"")</f>
        <v/>
      </c>
      <c r="P111" s="142" t="str">
        <f t="shared" ref="P111" si="1189">IF($A111="","",IF(O111="","",IF($K$4="Media aritmética",(O111&lt;=$B111)*($G$5/$B$5)+(O111&gt;$B111)*0,IF(ROUND(AVERAGE($C111,$E111,$G111,$I111,$K111,$M111,$O111,$Q111,$S111,$U111,$W111,$Y111,$AA111,$AC111,$AE111),2)-$B111/2&lt;=O111,IF(ROUND(AVERAGE($C111,$E111,$G111,$I111,$K111,$M111,$O111,$Q111,$S111,$U111,$W111,$Y111,$AA111,$AC111,$AE111),2)+$B111/2&gt;O111,($G$5/$B$5),0),0))))</f>
        <v/>
      </c>
      <c r="Q111" s="141" t="str">
        <f>IF($Q$8="Habilitado",IF($A111="","",ROUND(VLOOKUP($A111,'Presupuesto Consolidado'!#REF!,6,FALSE),2)),"")</f>
        <v/>
      </c>
      <c r="R111" s="142" t="str">
        <f t="shared" ref="R111" si="1190">IF($A111="","",IF(Q111="","",IF($K$4="Media aritmética",(Q111&lt;=$B111)*($G$5/$B$5)+(Q111&gt;$B111)*0,IF(ROUND(AVERAGE($C111,$E111,$G111,$I111,$K111,$M111,$O111,$Q111,$S111,$U111,$W111,$Y111,$AA111,$AC111,$AE111),2)-$B111/2&lt;=Q111,IF(ROUND(AVERAGE($C111,$E111,$G111,$I111,$K111,$M111,$O111,$Q111,$S111,$U111,$W111,$Y111,$AA111,$AC111,$AE111),2)+$B111/2&gt;Q111,($G$5/$B$5),0),0))))</f>
        <v/>
      </c>
      <c r="S111" s="141" t="str">
        <f>IF($S$8="Habilitado",IF($A111="","",ROUND(VLOOKUP($A111,'Presupuesto Consolidado'!#REF!,6,FALSE),2)),"")</f>
        <v/>
      </c>
      <c r="T111" s="142" t="str">
        <f t="shared" ref="T111" si="1191">IF($A111="","",IF(S111="","",IF($K$4="Media aritmética",(S111&lt;=$B111)*($G$5/$B$5)+(S111&gt;$B111)*0,IF(ROUND(AVERAGE($C111,$E111,$G111,$I111,$K111,$M111,$O111,$Q111,$S111,$U111,$W111,$Y111,$AA111,$AC111,$AE111),2)-$B111/2&lt;=S111,IF(ROUND(AVERAGE($C111,$E111,$G111,$I111,$K111,$M111,$O111,$Q111,$S111,$U111,$W111,$Y111,$AA111,$AC111,$AE111),2)+$B111/2&gt;S111,($G$5/$B$5),0),0))))</f>
        <v/>
      </c>
      <c r="U111" s="141" t="str">
        <f>IF($U$8="Habilitado",IF($A111="","",ROUND(VLOOKUP($A111,'Presupuesto Consolidado'!#REF!,6,FALSE),2)),"")</f>
        <v/>
      </c>
      <c r="V111" s="142" t="str">
        <f t="shared" ref="V111" si="1192">IF($A111="","",IF(U111="","",IF($K$4="Media aritmética",(U111&lt;=$B111)*($G$5/$B$5)+(U111&gt;$B111)*0,IF(ROUND(AVERAGE($C111,$E111,$G111,$I111,$K111,$M111,$O111,$Q111,$S111,$U111,$W111,$Y111,$AA111,$AC111,$AE111),2)-$B111/2&lt;=U111,IF(ROUND(AVERAGE($C111,$E111,$G111,$I111,$K111,$M111,$O111,$Q111,$S111,$U111,$W111,$Y111,$AA111,$AC111,$AE111),2)+$B111/2&gt;U111,($G$5/$B$5),0),0))))</f>
        <v/>
      </c>
      <c r="W111" s="141" t="str">
        <f>IF($W$8="Habilitado",IF($A111="","",ROUND(VLOOKUP($A111,'Presupuesto Consolidado'!#REF!,6,FALSE),2)),"")</f>
        <v/>
      </c>
      <c r="X111" s="142" t="str">
        <f t="shared" ref="X111" si="1193">IF($A111="","",IF(W111="","",IF($K$4="Media aritmética",(W111&lt;=$B111)*($G$5/$B$5)+(W111&gt;$B111)*0,IF(ROUND(AVERAGE($C111,$E111,$G111,$I111,$K111,$M111,$O111,$Q111,$S111,$U111,$W111,$Y111,$AA111,$AC111,$AE111),2)-$B111/2&lt;=W111,IF(ROUND(AVERAGE($C111,$E111,$G111,$I111,$K111,$M111,$O111,$Q111,$S111,$U111,$W111,$Y111,$AA111,$AC111,$AE111),2)+$B111/2&gt;W111,($G$5/$B$5),0),0))))</f>
        <v/>
      </c>
      <c r="Y111" s="141" t="str">
        <f>IF($Y$8="Habilitado",IF($A111="","",ROUND(VLOOKUP($A111,'Presupuesto Consolidado'!#REF!,6,FALSE),2)),"")</f>
        <v/>
      </c>
      <c r="Z111" s="142" t="str">
        <f t="shared" ref="Z111" si="1194">IF($A111="","",IF(Y111="","",IF($K$4="Media aritmética",(Y111&lt;=$B111)*($G$5/$B$5)+(Y111&gt;$B111)*0,IF(ROUND(AVERAGE($C111,$E111,$G111,$I111,$K111,$M111,$O111,$Q111,$S111,$U111,$W111,$Y111,$AA111,$AC111,$AE111),2)-$B111/2&lt;=Y111,IF(ROUND(AVERAGE($C111,$E111,$G111,$I111,$K111,$M111,$O111,$Q111,$S111,$U111,$W111,$Y111,$AA111,$AC111,$AE111),2)+$B111/2&gt;Y111,($G$5/$B$5),0),0))))</f>
        <v/>
      </c>
      <c r="AA111" s="141" t="str">
        <f>IF($AA$8="Habilitado",IF($A111="","",ROUND(VLOOKUP($A111,'Presupuesto Consolidado'!#REF!,6,FALSE),2)),"")</f>
        <v/>
      </c>
      <c r="AB111" s="142" t="str">
        <f t="shared" ref="AB111" si="1195">IF($A111="","",IF(AA111="","",IF($K$4="Media aritmética",(AA111&lt;=$B111)*($G$5/$B$5)+(AA111&gt;$B111)*0,IF(ROUND(AVERAGE($C111,$E111,$G111,$I111,$K111,$M111,$O111,$Q111,$S111,$U111,$W111,$Y111,$AA111,$AC111,$AE111),2)-$B111/2&lt;=AA111,IF(ROUND(AVERAGE($C111,$E111,$G111,$I111,$K111,$M111,$O111,$Q111,$S111,$U111,$W111,$Y111,$AA111,$AC111,$AE111),2)+$B111/2&gt;AA111,($G$5/$B$5),0),0))))</f>
        <v/>
      </c>
      <c r="AC111" s="141" t="str">
        <f>IF($AC$8="Habilitado",IF($A111="","",ROUND(VLOOKUP($A111,'Presupuesto Consolidado'!#REF!,6,FALSE),2)),"")</f>
        <v/>
      </c>
      <c r="AD111" s="142" t="str">
        <f t="shared" ref="AD111" si="1196">IF($A111="","",IF(AC111="","",IF($K$4="Media aritmética",(AC111&lt;=$B111)*($G$5/$B$5)+(AC111&gt;$B111)*0,IF(ROUND(AVERAGE($C111,$E111,$G111,$I111,$K111,$M111,$O111,$Q111,$S111,$U111,$W111,$Y111,$AA111,$AC111,$AE111),2)-$B111/2&lt;=AC111,IF(ROUND(AVERAGE($C111,$E111,$G111,$I111,$K111,$M111,$O111,$Q111,$S111,$U111,$W111,$Y111,$AA111,$AC111,$AE111),2)+$B111/2&gt;AC111,($G$5/$B$5),0),0))))</f>
        <v/>
      </c>
      <c r="AE111" s="141" t="str">
        <f>IF($AE$8="Habilitado",IF($A111="","",ROUND(VLOOKUP($A111,'Presupuesto Consolidado'!#REF!,6,FALSE),2)),"")</f>
        <v/>
      </c>
      <c r="AF111" s="142" t="str">
        <f t="shared" ref="AF111" si="1197">IF($A111="","",IF(AE111="","",IF($K$4="Media aritmética",(AE111&lt;=$B111)*($G$5/$B$5)+(AE111&gt;$B111)*0,IF(ROUND(AVERAGE($C111,$E111,$G111,$I111,$K111,$M111,$O111,$Q111,$S111,$U111,$W111,$Y111,$AA111,$AC111,$AE111),2)-$B111/2&lt;=AE111,IF(ROUND(AVERAGE($C111,$E111,$G111,$I111,$K111,$M111,$O111,$Q111,$S111,$U111,$W111,$Y111,$AA111,$AC111,$AE111),2)+$B111/2&gt;AE111,($G$5/$B$5),0),0))))</f>
        <v/>
      </c>
    </row>
    <row r="112" spans="1:32" s="135" customFormat="1" ht="21" customHeight="1">
      <c r="A112" s="132" t="str">
        <f>+'Presupuesto Consolidado'!A128</f>
        <v>12.3.24</v>
      </c>
      <c r="B112" s="140">
        <f t="shared" ref="B112" si="1198">IF(A112="","",IF($K$4="Media aritmética",ROUND(AVERAGE(C112,E112,G112,I112,K112,M112,O112,Q112,S112,U112,W112,Y112,AA112,AC112,AE112),2),ROUND(_xlfn.STDEV.P(C112,E112,G112,I112,K112,M112,O112,Q112,S112,U112,W112,Y112,AA112,AC112,AE112),2)))</f>
        <v>15525000</v>
      </c>
      <c r="C112" s="141">
        <f>IF($C$8="Habilitado",IF($A112="","",ROUND(VLOOKUP($A112,'Presupuesto Consolidado'!$A$9:$F$600,6,FALSE),2)),"")</f>
        <v>15525000</v>
      </c>
      <c r="D112" s="142">
        <f t="shared" ref="D112" si="1199">IF($A112="","",IF(C112="","",IF($K$4="Media aritmética",(C112&lt;=$B112)*($G$5/$B$5)+(C112&gt;$B112)*0,IF(ROUND(AVERAGE($C112,$E112,$G112,$I112,$K112,$M112,$O112,$Q112,$S112,$U112,$W112,$Y112,$AA112,$AC112,$AE112),2)-$B112/2&lt;=C112,IF(ROUND(AVERAGE($C112,$E112,$G112,$I112,$K112,$M112,$O112,$Q112,$S112,$U112,$W112,$Y112,$AA112,$AC112,$AE112),2)+$B112/2&gt;C112,($G$5/$B$5),0),0))))</f>
        <v>0.45714285714285713</v>
      </c>
      <c r="E112" s="141" t="str">
        <f>IF($E$8="Habilitado",IF($A112="","",ROUND(VLOOKUP($A112,'Presupuesto Consolidado'!$I$9:$N$600,6,FALSE),2)),"")</f>
        <v/>
      </c>
      <c r="F112" s="142" t="str">
        <f t="shared" ref="F112" si="1200">IF($A112="","",IF(E112="","",IF($K$4="Media aritmética",(E112&lt;=$B112)*($G$5/$B$5)+(E112&gt;$B112)*0,IF(ROUND(AVERAGE($C112,$E112,$G112,$I112,$K112,$M112,$O112,$Q112,$S112,$U112,$W112,$Y112,$AA112,$AC112,$AE112),2)-$B112/2&lt;=E112,IF(ROUND(AVERAGE($C112,$E112,$G112,$I112,$K112,$M112,$O112,$Q112,$S112,$U112,$W112,$Y112,$AA112,$AC112,$AE112),2)+$B112/2&gt;E112,($G$5/$B$5),0),0))))</f>
        <v/>
      </c>
      <c r="G112" s="141" t="str">
        <f>IF($G$8="Habilitado",IF($A112="","",ROUND(VLOOKUP($A112,'Presupuesto Consolidado'!$Q$9:$V$600,6,FALSE),2)),"")</f>
        <v/>
      </c>
      <c r="H112" s="142" t="str">
        <f t="shared" ref="H112" si="1201">IF($A112="","",IF(G112="","",IF($K$4="Media aritmética",(G112&lt;=$B112)*($G$5/$B$5)+(G112&gt;$B112)*0,IF(ROUND(AVERAGE($C112,$E112,$G112,$I112,$K112,$M112,$O112,$Q112,$S112,$U112,$W112,$Y112,$AA112,$AC112,$AE112),2)-$B112/2&lt;=G112,IF(ROUND(AVERAGE($C112,$E112,$G112,$I112,$K112,$M112,$O112,$Q112,$S112,$U112,$W112,$Y112,$AA112,$AC112,$AE112),2)+$B112/2&gt;G112,($G$5/$B$5),0),0))))</f>
        <v/>
      </c>
      <c r="I112" s="141" t="str">
        <f>IF($I$8="Habilitado",IF($A112="","",ROUND(VLOOKUP($A112,'Presupuesto Consolidado'!$Y$9:$AD$600,6,FALSE),2)),"")</f>
        <v/>
      </c>
      <c r="J112" s="142" t="str">
        <f t="shared" ref="J112" si="1202">IF($A112="","",IF(I112="","",IF($K$4="Media aritmética",(I112&lt;=$B112)*($G$5/$B$5)+(I112&gt;$B112)*0,IF(ROUND(AVERAGE($C112,$E112,$G112,$I112,$K112,$M112,$O112,$Q112,$S112,$U112,$W112,$Y112,$AA112,$AC112,$AE112),2)-$B112/2&lt;=I112,IF(ROUND(AVERAGE($C112,$E112,$G112,$I112,$K112,$M112,$O112,$Q112,$S112,$U112,$W112,$Y112,$AA112,$AC112,$AE112),2)+$B112/2&gt;I112,($G$5/$B$5),0),0))))</f>
        <v/>
      </c>
      <c r="K112" s="141" t="str">
        <f>IF($K$8="Habilitado",IF($A112="","",ROUND(VLOOKUP($A112,'Presupuesto Consolidado'!#REF!,6,FALSE),2)),"")</f>
        <v/>
      </c>
      <c r="L112" s="142" t="str">
        <f t="shared" ref="L112" si="1203">IF($A112="","",IF(K112="","",IF($K$4="Media aritmética",(K112&lt;=$B112)*($G$5/$B$5)+(K112&gt;$B112)*0,IF(ROUND(AVERAGE($C112,$E112,$G112,$I112,$K112,$M112,$O112,$Q112,$S112,$U112,$W112,$Y112,$AA112,$AC112,$AE112),2)-$B112/2&lt;=K112,IF(ROUND(AVERAGE($C112,$E112,$G112,$I112,$K112,$M112,$O112,$Q112,$S112,$U112,$W112,$Y112,$AA112,$AC112,$AE112),2)+$B112/2&gt;K112,($G$5/$B$5),0),0))))</f>
        <v/>
      </c>
      <c r="M112" s="141" t="str">
        <f>IF($M$8="Habilitado",IF($A112="","",ROUND(VLOOKUP($A112,'Presupuesto Consolidado'!#REF!,6,FALSE),2)),"")</f>
        <v/>
      </c>
      <c r="N112" s="142" t="str">
        <f t="shared" ref="N112" si="1204">IF($A112="","",IF(M112="","",IF($K$4="Media aritmética",(M112&lt;=$B112)*($G$5/$B$5)+(M112&gt;$B112)*0,IF(ROUND(AVERAGE($C112,$E112,$G112,$I112,$K112,$M112,$O112,$Q112,$S112,$U112,$W112,$Y112,$AA112,$AC112,$AE112),2)-$B112/2&lt;=M112,IF(ROUND(AVERAGE($C112,$E112,$G112,$I112,$K112,$M112,$O112,$Q112,$S112,$U112,$W112,$Y112,$AA112,$AC112,$AE112),2)+$B112/2&gt;M112,($G$5/$B$5),0),0))))</f>
        <v/>
      </c>
      <c r="O112" s="141" t="str">
        <f>IF($O$8="Habilitado",IF($A112="","",ROUND(VLOOKUP($A112,'Presupuesto Consolidado'!#REF!,6,FALSE),2)),"")</f>
        <v/>
      </c>
      <c r="P112" s="142" t="str">
        <f t="shared" ref="P112" si="1205">IF($A112="","",IF(O112="","",IF($K$4="Media aritmética",(O112&lt;=$B112)*($G$5/$B$5)+(O112&gt;$B112)*0,IF(ROUND(AVERAGE($C112,$E112,$G112,$I112,$K112,$M112,$O112,$Q112,$S112,$U112,$W112,$Y112,$AA112,$AC112,$AE112),2)-$B112/2&lt;=O112,IF(ROUND(AVERAGE($C112,$E112,$G112,$I112,$K112,$M112,$O112,$Q112,$S112,$U112,$W112,$Y112,$AA112,$AC112,$AE112),2)+$B112/2&gt;O112,($G$5/$B$5),0),0))))</f>
        <v/>
      </c>
      <c r="Q112" s="141" t="str">
        <f>IF($Q$8="Habilitado",IF($A112="","",ROUND(VLOOKUP($A112,'Presupuesto Consolidado'!#REF!,6,FALSE),2)),"")</f>
        <v/>
      </c>
      <c r="R112" s="142" t="str">
        <f t="shared" ref="R112" si="1206">IF($A112="","",IF(Q112="","",IF($K$4="Media aritmética",(Q112&lt;=$B112)*($G$5/$B$5)+(Q112&gt;$B112)*0,IF(ROUND(AVERAGE($C112,$E112,$G112,$I112,$K112,$M112,$O112,$Q112,$S112,$U112,$W112,$Y112,$AA112,$AC112,$AE112),2)-$B112/2&lt;=Q112,IF(ROUND(AVERAGE($C112,$E112,$G112,$I112,$K112,$M112,$O112,$Q112,$S112,$U112,$W112,$Y112,$AA112,$AC112,$AE112),2)+$B112/2&gt;Q112,($G$5/$B$5),0),0))))</f>
        <v/>
      </c>
      <c r="S112" s="141" t="str">
        <f>IF($S$8="Habilitado",IF($A112="","",ROUND(VLOOKUP($A112,'Presupuesto Consolidado'!#REF!,6,FALSE),2)),"")</f>
        <v/>
      </c>
      <c r="T112" s="142" t="str">
        <f t="shared" ref="T112" si="1207">IF($A112="","",IF(S112="","",IF($K$4="Media aritmética",(S112&lt;=$B112)*($G$5/$B$5)+(S112&gt;$B112)*0,IF(ROUND(AVERAGE($C112,$E112,$G112,$I112,$K112,$M112,$O112,$Q112,$S112,$U112,$W112,$Y112,$AA112,$AC112,$AE112),2)-$B112/2&lt;=S112,IF(ROUND(AVERAGE($C112,$E112,$G112,$I112,$K112,$M112,$O112,$Q112,$S112,$U112,$W112,$Y112,$AA112,$AC112,$AE112),2)+$B112/2&gt;S112,($G$5/$B$5),0),0))))</f>
        <v/>
      </c>
      <c r="U112" s="141" t="str">
        <f>IF($U$8="Habilitado",IF($A112="","",ROUND(VLOOKUP($A112,'Presupuesto Consolidado'!#REF!,6,FALSE),2)),"")</f>
        <v/>
      </c>
      <c r="V112" s="142" t="str">
        <f t="shared" ref="V112" si="1208">IF($A112="","",IF(U112="","",IF($K$4="Media aritmética",(U112&lt;=$B112)*($G$5/$B$5)+(U112&gt;$B112)*0,IF(ROUND(AVERAGE($C112,$E112,$G112,$I112,$K112,$M112,$O112,$Q112,$S112,$U112,$W112,$Y112,$AA112,$AC112,$AE112),2)-$B112/2&lt;=U112,IF(ROUND(AVERAGE($C112,$E112,$G112,$I112,$K112,$M112,$O112,$Q112,$S112,$U112,$W112,$Y112,$AA112,$AC112,$AE112),2)+$B112/2&gt;U112,($G$5/$B$5),0),0))))</f>
        <v/>
      </c>
      <c r="W112" s="141" t="str">
        <f>IF($W$8="Habilitado",IF($A112="","",ROUND(VLOOKUP($A112,'Presupuesto Consolidado'!#REF!,6,FALSE),2)),"")</f>
        <v/>
      </c>
      <c r="X112" s="142" t="str">
        <f t="shared" ref="X112" si="1209">IF($A112="","",IF(W112="","",IF($K$4="Media aritmética",(W112&lt;=$B112)*($G$5/$B$5)+(W112&gt;$B112)*0,IF(ROUND(AVERAGE($C112,$E112,$G112,$I112,$K112,$M112,$O112,$Q112,$S112,$U112,$W112,$Y112,$AA112,$AC112,$AE112),2)-$B112/2&lt;=W112,IF(ROUND(AVERAGE($C112,$E112,$G112,$I112,$K112,$M112,$O112,$Q112,$S112,$U112,$W112,$Y112,$AA112,$AC112,$AE112),2)+$B112/2&gt;W112,($G$5/$B$5),0),0))))</f>
        <v/>
      </c>
      <c r="Y112" s="141" t="str">
        <f>IF($Y$8="Habilitado",IF($A112="","",ROUND(VLOOKUP($A112,'Presupuesto Consolidado'!#REF!,6,FALSE),2)),"")</f>
        <v/>
      </c>
      <c r="Z112" s="142" t="str">
        <f t="shared" ref="Z112" si="1210">IF($A112="","",IF(Y112="","",IF($K$4="Media aritmética",(Y112&lt;=$B112)*($G$5/$B$5)+(Y112&gt;$B112)*0,IF(ROUND(AVERAGE($C112,$E112,$G112,$I112,$K112,$M112,$O112,$Q112,$S112,$U112,$W112,$Y112,$AA112,$AC112,$AE112),2)-$B112/2&lt;=Y112,IF(ROUND(AVERAGE($C112,$E112,$G112,$I112,$K112,$M112,$O112,$Q112,$S112,$U112,$W112,$Y112,$AA112,$AC112,$AE112),2)+$B112/2&gt;Y112,($G$5/$B$5),0),0))))</f>
        <v/>
      </c>
      <c r="AA112" s="141" t="str">
        <f>IF($AA$8="Habilitado",IF($A112="","",ROUND(VLOOKUP($A112,'Presupuesto Consolidado'!#REF!,6,FALSE),2)),"")</f>
        <v/>
      </c>
      <c r="AB112" s="142" t="str">
        <f t="shared" ref="AB112" si="1211">IF($A112="","",IF(AA112="","",IF($K$4="Media aritmética",(AA112&lt;=$B112)*($G$5/$B$5)+(AA112&gt;$B112)*0,IF(ROUND(AVERAGE($C112,$E112,$G112,$I112,$K112,$M112,$O112,$Q112,$S112,$U112,$W112,$Y112,$AA112,$AC112,$AE112),2)-$B112/2&lt;=AA112,IF(ROUND(AVERAGE($C112,$E112,$G112,$I112,$K112,$M112,$O112,$Q112,$S112,$U112,$W112,$Y112,$AA112,$AC112,$AE112),2)+$B112/2&gt;AA112,($G$5/$B$5),0),0))))</f>
        <v/>
      </c>
      <c r="AC112" s="141" t="str">
        <f>IF($AC$8="Habilitado",IF($A112="","",ROUND(VLOOKUP($A112,'Presupuesto Consolidado'!#REF!,6,FALSE),2)),"")</f>
        <v/>
      </c>
      <c r="AD112" s="142" t="str">
        <f t="shared" ref="AD112" si="1212">IF($A112="","",IF(AC112="","",IF($K$4="Media aritmética",(AC112&lt;=$B112)*($G$5/$B$5)+(AC112&gt;$B112)*0,IF(ROUND(AVERAGE($C112,$E112,$G112,$I112,$K112,$M112,$O112,$Q112,$S112,$U112,$W112,$Y112,$AA112,$AC112,$AE112),2)-$B112/2&lt;=AC112,IF(ROUND(AVERAGE($C112,$E112,$G112,$I112,$K112,$M112,$O112,$Q112,$S112,$U112,$W112,$Y112,$AA112,$AC112,$AE112),2)+$B112/2&gt;AC112,($G$5/$B$5),0),0))))</f>
        <v/>
      </c>
      <c r="AE112" s="141" t="str">
        <f>IF($AE$8="Habilitado",IF($A112="","",ROUND(VLOOKUP($A112,'Presupuesto Consolidado'!#REF!,6,FALSE),2)),"")</f>
        <v/>
      </c>
      <c r="AF112" s="142" t="str">
        <f t="shared" ref="AF112" si="1213">IF($A112="","",IF(AE112="","",IF($K$4="Media aritmética",(AE112&lt;=$B112)*($G$5/$B$5)+(AE112&gt;$B112)*0,IF(ROUND(AVERAGE($C112,$E112,$G112,$I112,$K112,$M112,$O112,$Q112,$S112,$U112,$W112,$Y112,$AA112,$AC112,$AE112),2)-$B112/2&lt;=AE112,IF(ROUND(AVERAGE($C112,$E112,$G112,$I112,$K112,$M112,$O112,$Q112,$S112,$U112,$W112,$Y112,$AA112,$AC112,$AE112),2)+$B112/2&gt;AE112,($G$5/$B$5),0),0))))</f>
        <v/>
      </c>
    </row>
    <row r="113" spans="1:32" s="135" customFormat="1" ht="21" customHeight="1">
      <c r="A113" s="132" t="str">
        <f>+'Presupuesto Consolidado'!A129</f>
        <v>12.3.25</v>
      </c>
      <c r="B113" s="140">
        <f t="shared" ref="B113" si="1214">IF(A113="","",IF($K$4="Media aritmética",ROUND(AVERAGE(C113,E113,G113,I113,K113,M113,O113,Q113,S113,U113,W113,Y113,AA113,AC113,AE113),2),ROUND(_xlfn.STDEV.P(C113,E113,G113,I113,K113,M113,O113,Q113,S113,U113,W113,Y113,AA113,AC113,AE113),2)))</f>
        <v>6044400</v>
      </c>
      <c r="C113" s="141">
        <f>IF($C$8="Habilitado",IF($A113="","",ROUND(VLOOKUP($A113,'Presupuesto Consolidado'!$A$9:$F$600,6,FALSE),2)),"")</f>
        <v>6044400</v>
      </c>
      <c r="D113" s="142">
        <f t="shared" ref="D113" si="1215">IF($A113="","",IF(C113="","",IF($K$4="Media aritmética",(C113&lt;=$B113)*($G$5/$B$5)+(C113&gt;$B113)*0,IF(ROUND(AVERAGE($C113,$E113,$G113,$I113,$K113,$M113,$O113,$Q113,$S113,$U113,$W113,$Y113,$AA113,$AC113,$AE113),2)-$B113/2&lt;=C113,IF(ROUND(AVERAGE($C113,$E113,$G113,$I113,$K113,$M113,$O113,$Q113,$S113,$U113,$W113,$Y113,$AA113,$AC113,$AE113),2)+$B113/2&gt;C113,($G$5/$B$5),0),0))))</f>
        <v>0.45714285714285713</v>
      </c>
      <c r="E113" s="141" t="str">
        <f>IF($E$8="Habilitado",IF($A113="","",ROUND(VLOOKUP($A113,'Presupuesto Consolidado'!$I$9:$N$600,6,FALSE),2)),"")</f>
        <v/>
      </c>
      <c r="F113" s="142" t="str">
        <f t="shared" ref="F113" si="1216">IF($A113="","",IF(E113="","",IF($K$4="Media aritmética",(E113&lt;=$B113)*($G$5/$B$5)+(E113&gt;$B113)*0,IF(ROUND(AVERAGE($C113,$E113,$G113,$I113,$K113,$M113,$O113,$Q113,$S113,$U113,$W113,$Y113,$AA113,$AC113,$AE113),2)-$B113/2&lt;=E113,IF(ROUND(AVERAGE($C113,$E113,$G113,$I113,$K113,$M113,$O113,$Q113,$S113,$U113,$W113,$Y113,$AA113,$AC113,$AE113),2)+$B113/2&gt;E113,($G$5/$B$5),0),0))))</f>
        <v/>
      </c>
      <c r="G113" s="141" t="str">
        <f>IF($G$8="Habilitado",IF($A113="","",ROUND(VLOOKUP($A113,'Presupuesto Consolidado'!$Q$9:$V$600,6,FALSE),2)),"")</f>
        <v/>
      </c>
      <c r="H113" s="142" t="str">
        <f t="shared" ref="H113" si="1217">IF($A113="","",IF(G113="","",IF($K$4="Media aritmética",(G113&lt;=$B113)*($G$5/$B$5)+(G113&gt;$B113)*0,IF(ROUND(AVERAGE($C113,$E113,$G113,$I113,$K113,$M113,$O113,$Q113,$S113,$U113,$W113,$Y113,$AA113,$AC113,$AE113),2)-$B113/2&lt;=G113,IF(ROUND(AVERAGE($C113,$E113,$G113,$I113,$K113,$M113,$O113,$Q113,$S113,$U113,$W113,$Y113,$AA113,$AC113,$AE113),2)+$B113/2&gt;G113,($G$5/$B$5),0),0))))</f>
        <v/>
      </c>
      <c r="I113" s="141" t="str">
        <f>IF($I$8="Habilitado",IF($A113="","",ROUND(VLOOKUP($A113,'Presupuesto Consolidado'!$Y$9:$AD$600,6,FALSE),2)),"")</f>
        <v/>
      </c>
      <c r="J113" s="142" t="str">
        <f t="shared" ref="J113" si="1218">IF($A113="","",IF(I113="","",IF($K$4="Media aritmética",(I113&lt;=$B113)*($G$5/$B$5)+(I113&gt;$B113)*0,IF(ROUND(AVERAGE($C113,$E113,$G113,$I113,$K113,$M113,$O113,$Q113,$S113,$U113,$W113,$Y113,$AA113,$AC113,$AE113),2)-$B113/2&lt;=I113,IF(ROUND(AVERAGE($C113,$E113,$G113,$I113,$K113,$M113,$O113,$Q113,$S113,$U113,$W113,$Y113,$AA113,$AC113,$AE113),2)+$B113/2&gt;I113,($G$5/$B$5),0),0))))</f>
        <v/>
      </c>
      <c r="K113" s="141" t="str">
        <f>IF($K$8="Habilitado",IF($A113="","",ROUND(VLOOKUP($A113,'Presupuesto Consolidado'!#REF!,6,FALSE),2)),"")</f>
        <v/>
      </c>
      <c r="L113" s="142" t="str">
        <f t="shared" ref="L113" si="1219">IF($A113="","",IF(K113="","",IF($K$4="Media aritmética",(K113&lt;=$B113)*($G$5/$B$5)+(K113&gt;$B113)*0,IF(ROUND(AVERAGE($C113,$E113,$G113,$I113,$K113,$M113,$O113,$Q113,$S113,$U113,$W113,$Y113,$AA113,$AC113,$AE113),2)-$B113/2&lt;=K113,IF(ROUND(AVERAGE($C113,$E113,$G113,$I113,$K113,$M113,$O113,$Q113,$S113,$U113,$W113,$Y113,$AA113,$AC113,$AE113),2)+$B113/2&gt;K113,($G$5/$B$5),0),0))))</f>
        <v/>
      </c>
      <c r="M113" s="141" t="str">
        <f>IF($M$8="Habilitado",IF($A113="","",ROUND(VLOOKUP($A113,'Presupuesto Consolidado'!#REF!,6,FALSE),2)),"")</f>
        <v/>
      </c>
      <c r="N113" s="142" t="str">
        <f t="shared" ref="N113" si="1220">IF($A113="","",IF(M113="","",IF($K$4="Media aritmética",(M113&lt;=$B113)*($G$5/$B$5)+(M113&gt;$B113)*0,IF(ROUND(AVERAGE($C113,$E113,$G113,$I113,$K113,$M113,$O113,$Q113,$S113,$U113,$W113,$Y113,$AA113,$AC113,$AE113),2)-$B113/2&lt;=M113,IF(ROUND(AVERAGE($C113,$E113,$G113,$I113,$K113,$M113,$O113,$Q113,$S113,$U113,$W113,$Y113,$AA113,$AC113,$AE113),2)+$B113/2&gt;M113,($G$5/$B$5),0),0))))</f>
        <v/>
      </c>
      <c r="O113" s="141" t="str">
        <f>IF($O$8="Habilitado",IF($A113="","",ROUND(VLOOKUP($A113,'Presupuesto Consolidado'!#REF!,6,FALSE),2)),"")</f>
        <v/>
      </c>
      <c r="P113" s="142" t="str">
        <f t="shared" ref="P113" si="1221">IF($A113="","",IF(O113="","",IF($K$4="Media aritmética",(O113&lt;=$B113)*($G$5/$B$5)+(O113&gt;$B113)*0,IF(ROUND(AVERAGE($C113,$E113,$G113,$I113,$K113,$M113,$O113,$Q113,$S113,$U113,$W113,$Y113,$AA113,$AC113,$AE113),2)-$B113/2&lt;=O113,IF(ROUND(AVERAGE($C113,$E113,$G113,$I113,$K113,$M113,$O113,$Q113,$S113,$U113,$W113,$Y113,$AA113,$AC113,$AE113),2)+$B113/2&gt;O113,($G$5/$B$5),0),0))))</f>
        <v/>
      </c>
      <c r="Q113" s="141" t="str">
        <f>IF($Q$8="Habilitado",IF($A113="","",ROUND(VLOOKUP($A113,'Presupuesto Consolidado'!#REF!,6,FALSE),2)),"")</f>
        <v/>
      </c>
      <c r="R113" s="142" t="str">
        <f t="shared" ref="R113" si="1222">IF($A113="","",IF(Q113="","",IF($K$4="Media aritmética",(Q113&lt;=$B113)*($G$5/$B$5)+(Q113&gt;$B113)*0,IF(ROUND(AVERAGE($C113,$E113,$G113,$I113,$K113,$M113,$O113,$Q113,$S113,$U113,$W113,$Y113,$AA113,$AC113,$AE113),2)-$B113/2&lt;=Q113,IF(ROUND(AVERAGE($C113,$E113,$G113,$I113,$K113,$M113,$O113,$Q113,$S113,$U113,$W113,$Y113,$AA113,$AC113,$AE113),2)+$B113/2&gt;Q113,($G$5/$B$5),0),0))))</f>
        <v/>
      </c>
      <c r="S113" s="141" t="str">
        <f>IF($S$8="Habilitado",IF($A113="","",ROUND(VLOOKUP($A113,'Presupuesto Consolidado'!#REF!,6,FALSE),2)),"")</f>
        <v/>
      </c>
      <c r="T113" s="142" t="str">
        <f t="shared" ref="T113" si="1223">IF($A113="","",IF(S113="","",IF($K$4="Media aritmética",(S113&lt;=$B113)*($G$5/$B$5)+(S113&gt;$B113)*0,IF(ROUND(AVERAGE($C113,$E113,$G113,$I113,$K113,$M113,$O113,$Q113,$S113,$U113,$W113,$Y113,$AA113,$AC113,$AE113),2)-$B113/2&lt;=S113,IF(ROUND(AVERAGE($C113,$E113,$G113,$I113,$K113,$M113,$O113,$Q113,$S113,$U113,$W113,$Y113,$AA113,$AC113,$AE113),2)+$B113/2&gt;S113,($G$5/$B$5),0),0))))</f>
        <v/>
      </c>
      <c r="U113" s="141" t="str">
        <f>IF($U$8="Habilitado",IF($A113="","",ROUND(VLOOKUP($A113,'Presupuesto Consolidado'!#REF!,6,FALSE),2)),"")</f>
        <v/>
      </c>
      <c r="V113" s="142" t="str">
        <f t="shared" ref="V113" si="1224">IF($A113="","",IF(U113="","",IF($K$4="Media aritmética",(U113&lt;=$B113)*($G$5/$B$5)+(U113&gt;$B113)*0,IF(ROUND(AVERAGE($C113,$E113,$G113,$I113,$K113,$M113,$O113,$Q113,$S113,$U113,$W113,$Y113,$AA113,$AC113,$AE113),2)-$B113/2&lt;=U113,IF(ROUND(AVERAGE($C113,$E113,$G113,$I113,$K113,$M113,$O113,$Q113,$S113,$U113,$W113,$Y113,$AA113,$AC113,$AE113),2)+$B113/2&gt;U113,($G$5/$B$5),0),0))))</f>
        <v/>
      </c>
      <c r="W113" s="141" t="str">
        <f>IF($W$8="Habilitado",IF($A113="","",ROUND(VLOOKUP($A113,'Presupuesto Consolidado'!#REF!,6,FALSE),2)),"")</f>
        <v/>
      </c>
      <c r="X113" s="142" t="str">
        <f t="shared" ref="X113" si="1225">IF($A113="","",IF(W113="","",IF($K$4="Media aritmética",(W113&lt;=$B113)*($G$5/$B$5)+(W113&gt;$B113)*0,IF(ROUND(AVERAGE($C113,$E113,$G113,$I113,$K113,$M113,$O113,$Q113,$S113,$U113,$W113,$Y113,$AA113,$AC113,$AE113),2)-$B113/2&lt;=W113,IF(ROUND(AVERAGE($C113,$E113,$G113,$I113,$K113,$M113,$O113,$Q113,$S113,$U113,$W113,$Y113,$AA113,$AC113,$AE113),2)+$B113/2&gt;W113,($G$5/$B$5),0),0))))</f>
        <v/>
      </c>
      <c r="Y113" s="141" t="str">
        <f>IF($Y$8="Habilitado",IF($A113="","",ROUND(VLOOKUP($A113,'Presupuesto Consolidado'!#REF!,6,FALSE),2)),"")</f>
        <v/>
      </c>
      <c r="Z113" s="142" t="str">
        <f t="shared" ref="Z113" si="1226">IF($A113="","",IF(Y113="","",IF($K$4="Media aritmética",(Y113&lt;=$B113)*($G$5/$B$5)+(Y113&gt;$B113)*0,IF(ROUND(AVERAGE($C113,$E113,$G113,$I113,$K113,$M113,$O113,$Q113,$S113,$U113,$W113,$Y113,$AA113,$AC113,$AE113),2)-$B113/2&lt;=Y113,IF(ROUND(AVERAGE($C113,$E113,$G113,$I113,$K113,$M113,$O113,$Q113,$S113,$U113,$W113,$Y113,$AA113,$AC113,$AE113),2)+$B113/2&gt;Y113,($G$5/$B$5),0),0))))</f>
        <v/>
      </c>
      <c r="AA113" s="141" t="str">
        <f>IF($AA$8="Habilitado",IF($A113="","",ROUND(VLOOKUP($A113,'Presupuesto Consolidado'!#REF!,6,FALSE),2)),"")</f>
        <v/>
      </c>
      <c r="AB113" s="142" t="str">
        <f t="shared" ref="AB113" si="1227">IF($A113="","",IF(AA113="","",IF($K$4="Media aritmética",(AA113&lt;=$B113)*($G$5/$B$5)+(AA113&gt;$B113)*0,IF(ROUND(AVERAGE($C113,$E113,$G113,$I113,$K113,$M113,$O113,$Q113,$S113,$U113,$W113,$Y113,$AA113,$AC113,$AE113),2)-$B113/2&lt;=AA113,IF(ROUND(AVERAGE($C113,$E113,$G113,$I113,$K113,$M113,$O113,$Q113,$S113,$U113,$W113,$Y113,$AA113,$AC113,$AE113),2)+$B113/2&gt;AA113,($G$5/$B$5),0),0))))</f>
        <v/>
      </c>
      <c r="AC113" s="141" t="str">
        <f>IF($AC$8="Habilitado",IF($A113="","",ROUND(VLOOKUP($A113,'Presupuesto Consolidado'!#REF!,6,FALSE),2)),"")</f>
        <v/>
      </c>
      <c r="AD113" s="142" t="str">
        <f t="shared" ref="AD113" si="1228">IF($A113="","",IF(AC113="","",IF($K$4="Media aritmética",(AC113&lt;=$B113)*($G$5/$B$5)+(AC113&gt;$B113)*0,IF(ROUND(AVERAGE($C113,$E113,$G113,$I113,$K113,$M113,$O113,$Q113,$S113,$U113,$W113,$Y113,$AA113,$AC113,$AE113),2)-$B113/2&lt;=AC113,IF(ROUND(AVERAGE($C113,$E113,$G113,$I113,$K113,$M113,$O113,$Q113,$S113,$U113,$W113,$Y113,$AA113,$AC113,$AE113),2)+$B113/2&gt;AC113,($G$5/$B$5),0),0))))</f>
        <v/>
      </c>
      <c r="AE113" s="141" t="str">
        <f>IF($AE$8="Habilitado",IF($A113="","",ROUND(VLOOKUP($A113,'Presupuesto Consolidado'!#REF!,6,FALSE),2)),"")</f>
        <v/>
      </c>
      <c r="AF113" s="142" t="str">
        <f t="shared" ref="AF113" si="1229">IF($A113="","",IF(AE113="","",IF($K$4="Media aritmética",(AE113&lt;=$B113)*($G$5/$B$5)+(AE113&gt;$B113)*0,IF(ROUND(AVERAGE($C113,$E113,$G113,$I113,$K113,$M113,$O113,$Q113,$S113,$U113,$W113,$Y113,$AA113,$AC113,$AE113),2)-$B113/2&lt;=AE113,IF(ROUND(AVERAGE($C113,$E113,$G113,$I113,$K113,$M113,$O113,$Q113,$S113,$U113,$W113,$Y113,$AA113,$AC113,$AE113),2)+$B113/2&gt;AE113,($G$5/$B$5),0),0))))</f>
        <v/>
      </c>
    </row>
    <row r="114" spans="1:32" s="135" customFormat="1" ht="21" customHeight="1">
      <c r="A114" s="132" t="str">
        <f>+'Presupuesto Consolidado'!A130</f>
        <v>12.3.26</v>
      </c>
      <c r="B114" s="140">
        <f t="shared" ref="B114" si="1230">IF(A114="","",IF($K$4="Media aritmética",ROUND(AVERAGE(C114,E114,G114,I114,K114,M114,O114,Q114,S114,U114,W114,Y114,AA114,AC114,AE114),2),ROUND(_xlfn.STDEV.P(C114,E114,G114,I114,K114,M114,O114,Q114,S114,U114,W114,Y114,AA114,AC114,AE114),2)))</f>
        <v>3791205</v>
      </c>
      <c r="C114" s="141">
        <f>IF($C$8="Habilitado",IF($A114="","",ROUND(VLOOKUP($A114,'Presupuesto Consolidado'!$A$9:$F$600,6,FALSE),2)),"")</f>
        <v>3791205</v>
      </c>
      <c r="D114" s="142">
        <f t="shared" ref="D114" si="1231">IF($A114="","",IF(C114="","",IF($K$4="Media aritmética",(C114&lt;=$B114)*($G$5/$B$5)+(C114&gt;$B114)*0,IF(ROUND(AVERAGE($C114,$E114,$G114,$I114,$K114,$M114,$O114,$Q114,$S114,$U114,$W114,$Y114,$AA114,$AC114,$AE114),2)-$B114/2&lt;=C114,IF(ROUND(AVERAGE($C114,$E114,$G114,$I114,$K114,$M114,$O114,$Q114,$S114,$U114,$W114,$Y114,$AA114,$AC114,$AE114),2)+$B114/2&gt;C114,($G$5/$B$5),0),0))))</f>
        <v>0.45714285714285713</v>
      </c>
      <c r="E114" s="141" t="str">
        <f>IF($E$8="Habilitado",IF($A114="","",ROUND(VLOOKUP($A114,'Presupuesto Consolidado'!$I$9:$N$600,6,FALSE),2)),"")</f>
        <v/>
      </c>
      <c r="F114" s="142" t="str">
        <f t="shared" ref="F114" si="1232">IF($A114="","",IF(E114="","",IF($K$4="Media aritmética",(E114&lt;=$B114)*($G$5/$B$5)+(E114&gt;$B114)*0,IF(ROUND(AVERAGE($C114,$E114,$G114,$I114,$K114,$M114,$O114,$Q114,$S114,$U114,$W114,$Y114,$AA114,$AC114,$AE114),2)-$B114/2&lt;=E114,IF(ROUND(AVERAGE($C114,$E114,$G114,$I114,$K114,$M114,$O114,$Q114,$S114,$U114,$W114,$Y114,$AA114,$AC114,$AE114),2)+$B114/2&gt;E114,($G$5/$B$5),0),0))))</f>
        <v/>
      </c>
      <c r="G114" s="141" t="str">
        <f>IF($G$8="Habilitado",IF($A114="","",ROUND(VLOOKUP($A114,'Presupuesto Consolidado'!$Q$9:$V$600,6,FALSE),2)),"")</f>
        <v/>
      </c>
      <c r="H114" s="142" t="str">
        <f t="shared" ref="H114" si="1233">IF($A114="","",IF(G114="","",IF($K$4="Media aritmética",(G114&lt;=$B114)*($G$5/$B$5)+(G114&gt;$B114)*0,IF(ROUND(AVERAGE($C114,$E114,$G114,$I114,$K114,$M114,$O114,$Q114,$S114,$U114,$W114,$Y114,$AA114,$AC114,$AE114),2)-$B114/2&lt;=G114,IF(ROUND(AVERAGE($C114,$E114,$G114,$I114,$K114,$M114,$O114,$Q114,$S114,$U114,$W114,$Y114,$AA114,$AC114,$AE114),2)+$B114/2&gt;G114,($G$5/$B$5),0),0))))</f>
        <v/>
      </c>
      <c r="I114" s="141" t="str">
        <f>IF($I$8="Habilitado",IF($A114="","",ROUND(VLOOKUP($A114,'Presupuesto Consolidado'!$Y$9:$AD$600,6,FALSE),2)),"")</f>
        <v/>
      </c>
      <c r="J114" s="142" t="str">
        <f t="shared" ref="J114" si="1234">IF($A114="","",IF(I114="","",IF($K$4="Media aritmética",(I114&lt;=$B114)*($G$5/$B$5)+(I114&gt;$B114)*0,IF(ROUND(AVERAGE($C114,$E114,$G114,$I114,$K114,$M114,$O114,$Q114,$S114,$U114,$W114,$Y114,$AA114,$AC114,$AE114),2)-$B114/2&lt;=I114,IF(ROUND(AVERAGE($C114,$E114,$G114,$I114,$K114,$M114,$O114,$Q114,$S114,$U114,$W114,$Y114,$AA114,$AC114,$AE114),2)+$B114/2&gt;I114,($G$5/$B$5),0),0))))</f>
        <v/>
      </c>
      <c r="K114" s="141" t="str">
        <f>IF($K$8="Habilitado",IF($A114="","",ROUND(VLOOKUP($A114,'Presupuesto Consolidado'!#REF!,6,FALSE),2)),"")</f>
        <v/>
      </c>
      <c r="L114" s="142" t="str">
        <f t="shared" ref="L114" si="1235">IF($A114="","",IF(K114="","",IF($K$4="Media aritmética",(K114&lt;=$B114)*($G$5/$B$5)+(K114&gt;$B114)*0,IF(ROUND(AVERAGE($C114,$E114,$G114,$I114,$K114,$M114,$O114,$Q114,$S114,$U114,$W114,$Y114,$AA114,$AC114,$AE114),2)-$B114/2&lt;=K114,IF(ROUND(AVERAGE($C114,$E114,$G114,$I114,$K114,$M114,$O114,$Q114,$S114,$U114,$W114,$Y114,$AA114,$AC114,$AE114),2)+$B114/2&gt;K114,($G$5/$B$5),0),0))))</f>
        <v/>
      </c>
      <c r="M114" s="141" t="str">
        <f>IF($M$8="Habilitado",IF($A114="","",ROUND(VLOOKUP($A114,'Presupuesto Consolidado'!#REF!,6,FALSE),2)),"")</f>
        <v/>
      </c>
      <c r="N114" s="142" t="str">
        <f t="shared" ref="N114" si="1236">IF($A114="","",IF(M114="","",IF($K$4="Media aritmética",(M114&lt;=$B114)*($G$5/$B$5)+(M114&gt;$B114)*0,IF(ROUND(AVERAGE($C114,$E114,$G114,$I114,$K114,$M114,$O114,$Q114,$S114,$U114,$W114,$Y114,$AA114,$AC114,$AE114),2)-$B114/2&lt;=M114,IF(ROUND(AVERAGE($C114,$E114,$G114,$I114,$K114,$M114,$O114,$Q114,$S114,$U114,$W114,$Y114,$AA114,$AC114,$AE114),2)+$B114/2&gt;M114,($G$5/$B$5),0),0))))</f>
        <v/>
      </c>
      <c r="O114" s="141" t="str">
        <f>IF($O$8="Habilitado",IF($A114="","",ROUND(VLOOKUP($A114,'Presupuesto Consolidado'!#REF!,6,FALSE),2)),"")</f>
        <v/>
      </c>
      <c r="P114" s="142" t="str">
        <f t="shared" ref="P114" si="1237">IF($A114="","",IF(O114="","",IF($K$4="Media aritmética",(O114&lt;=$B114)*($G$5/$B$5)+(O114&gt;$B114)*0,IF(ROUND(AVERAGE($C114,$E114,$G114,$I114,$K114,$M114,$O114,$Q114,$S114,$U114,$W114,$Y114,$AA114,$AC114,$AE114),2)-$B114/2&lt;=O114,IF(ROUND(AVERAGE($C114,$E114,$G114,$I114,$K114,$M114,$O114,$Q114,$S114,$U114,$W114,$Y114,$AA114,$AC114,$AE114),2)+$B114/2&gt;O114,($G$5/$B$5),0),0))))</f>
        <v/>
      </c>
      <c r="Q114" s="141" t="str">
        <f>IF($Q$8="Habilitado",IF($A114="","",ROUND(VLOOKUP($A114,'Presupuesto Consolidado'!#REF!,6,FALSE),2)),"")</f>
        <v/>
      </c>
      <c r="R114" s="142" t="str">
        <f t="shared" ref="R114" si="1238">IF($A114="","",IF(Q114="","",IF($K$4="Media aritmética",(Q114&lt;=$B114)*($G$5/$B$5)+(Q114&gt;$B114)*0,IF(ROUND(AVERAGE($C114,$E114,$G114,$I114,$K114,$M114,$O114,$Q114,$S114,$U114,$W114,$Y114,$AA114,$AC114,$AE114),2)-$B114/2&lt;=Q114,IF(ROUND(AVERAGE($C114,$E114,$G114,$I114,$K114,$M114,$O114,$Q114,$S114,$U114,$W114,$Y114,$AA114,$AC114,$AE114),2)+$B114/2&gt;Q114,($G$5/$B$5),0),0))))</f>
        <v/>
      </c>
      <c r="S114" s="141" t="str">
        <f>IF($S$8="Habilitado",IF($A114="","",ROUND(VLOOKUP($A114,'Presupuesto Consolidado'!#REF!,6,FALSE),2)),"")</f>
        <v/>
      </c>
      <c r="T114" s="142" t="str">
        <f t="shared" ref="T114" si="1239">IF($A114="","",IF(S114="","",IF($K$4="Media aritmética",(S114&lt;=$B114)*($G$5/$B$5)+(S114&gt;$B114)*0,IF(ROUND(AVERAGE($C114,$E114,$G114,$I114,$K114,$M114,$O114,$Q114,$S114,$U114,$W114,$Y114,$AA114,$AC114,$AE114),2)-$B114/2&lt;=S114,IF(ROUND(AVERAGE($C114,$E114,$G114,$I114,$K114,$M114,$O114,$Q114,$S114,$U114,$W114,$Y114,$AA114,$AC114,$AE114),2)+$B114/2&gt;S114,($G$5/$B$5),0),0))))</f>
        <v/>
      </c>
      <c r="U114" s="141" t="str">
        <f>IF($U$8="Habilitado",IF($A114="","",ROUND(VLOOKUP($A114,'Presupuesto Consolidado'!#REF!,6,FALSE),2)),"")</f>
        <v/>
      </c>
      <c r="V114" s="142" t="str">
        <f t="shared" ref="V114" si="1240">IF($A114="","",IF(U114="","",IF($K$4="Media aritmética",(U114&lt;=$B114)*($G$5/$B$5)+(U114&gt;$B114)*0,IF(ROUND(AVERAGE($C114,$E114,$G114,$I114,$K114,$M114,$O114,$Q114,$S114,$U114,$W114,$Y114,$AA114,$AC114,$AE114),2)-$B114/2&lt;=U114,IF(ROUND(AVERAGE($C114,$E114,$G114,$I114,$K114,$M114,$O114,$Q114,$S114,$U114,$W114,$Y114,$AA114,$AC114,$AE114),2)+$B114/2&gt;U114,($G$5/$B$5),0),0))))</f>
        <v/>
      </c>
      <c r="W114" s="141" t="str">
        <f>IF($W$8="Habilitado",IF($A114="","",ROUND(VLOOKUP($A114,'Presupuesto Consolidado'!#REF!,6,FALSE),2)),"")</f>
        <v/>
      </c>
      <c r="X114" s="142" t="str">
        <f t="shared" ref="X114" si="1241">IF($A114="","",IF(W114="","",IF($K$4="Media aritmética",(W114&lt;=$B114)*($G$5/$B$5)+(W114&gt;$B114)*0,IF(ROUND(AVERAGE($C114,$E114,$G114,$I114,$K114,$M114,$O114,$Q114,$S114,$U114,$W114,$Y114,$AA114,$AC114,$AE114),2)-$B114/2&lt;=W114,IF(ROUND(AVERAGE($C114,$E114,$G114,$I114,$K114,$M114,$O114,$Q114,$S114,$U114,$W114,$Y114,$AA114,$AC114,$AE114),2)+$B114/2&gt;W114,($G$5/$B$5),0),0))))</f>
        <v/>
      </c>
      <c r="Y114" s="141" t="str">
        <f>IF($Y$8="Habilitado",IF($A114="","",ROUND(VLOOKUP($A114,'Presupuesto Consolidado'!#REF!,6,FALSE),2)),"")</f>
        <v/>
      </c>
      <c r="Z114" s="142" t="str">
        <f t="shared" ref="Z114" si="1242">IF($A114="","",IF(Y114="","",IF($K$4="Media aritmética",(Y114&lt;=$B114)*($G$5/$B$5)+(Y114&gt;$B114)*0,IF(ROUND(AVERAGE($C114,$E114,$G114,$I114,$K114,$M114,$O114,$Q114,$S114,$U114,$W114,$Y114,$AA114,$AC114,$AE114),2)-$B114/2&lt;=Y114,IF(ROUND(AVERAGE($C114,$E114,$G114,$I114,$K114,$M114,$O114,$Q114,$S114,$U114,$W114,$Y114,$AA114,$AC114,$AE114),2)+$B114/2&gt;Y114,($G$5/$B$5),0),0))))</f>
        <v/>
      </c>
      <c r="AA114" s="141" t="str">
        <f>IF($AA$8="Habilitado",IF($A114="","",ROUND(VLOOKUP($A114,'Presupuesto Consolidado'!#REF!,6,FALSE),2)),"")</f>
        <v/>
      </c>
      <c r="AB114" s="142" t="str">
        <f t="shared" ref="AB114" si="1243">IF($A114="","",IF(AA114="","",IF($K$4="Media aritmética",(AA114&lt;=$B114)*($G$5/$B$5)+(AA114&gt;$B114)*0,IF(ROUND(AVERAGE($C114,$E114,$G114,$I114,$K114,$M114,$O114,$Q114,$S114,$U114,$W114,$Y114,$AA114,$AC114,$AE114),2)-$B114/2&lt;=AA114,IF(ROUND(AVERAGE($C114,$E114,$G114,$I114,$K114,$M114,$O114,$Q114,$S114,$U114,$W114,$Y114,$AA114,$AC114,$AE114),2)+$B114/2&gt;AA114,($G$5/$B$5),0),0))))</f>
        <v/>
      </c>
      <c r="AC114" s="141" t="str">
        <f>IF($AC$8="Habilitado",IF($A114="","",ROUND(VLOOKUP($A114,'Presupuesto Consolidado'!#REF!,6,FALSE),2)),"")</f>
        <v/>
      </c>
      <c r="AD114" s="142" t="str">
        <f t="shared" ref="AD114" si="1244">IF($A114="","",IF(AC114="","",IF($K$4="Media aritmética",(AC114&lt;=$B114)*($G$5/$B$5)+(AC114&gt;$B114)*0,IF(ROUND(AVERAGE($C114,$E114,$G114,$I114,$K114,$M114,$O114,$Q114,$S114,$U114,$W114,$Y114,$AA114,$AC114,$AE114),2)-$B114/2&lt;=AC114,IF(ROUND(AVERAGE($C114,$E114,$G114,$I114,$K114,$M114,$O114,$Q114,$S114,$U114,$W114,$Y114,$AA114,$AC114,$AE114),2)+$B114/2&gt;AC114,($G$5/$B$5),0),0))))</f>
        <v/>
      </c>
      <c r="AE114" s="141" t="str">
        <f>IF($AE$8="Habilitado",IF($A114="","",ROUND(VLOOKUP($A114,'Presupuesto Consolidado'!#REF!,6,FALSE),2)),"")</f>
        <v/>
      </c>
      <c r="AF114" s="142" t="str">
        <f t="shared" ref="AF114" si="1245">IF($A114="","",IF(AE114="","",IF($K$4="Media aritmética",(AE114&lt;=$B114)*($G$5/$B$5)+(AE114&gt;$B114)*0,IF(ROUND(AVERAGE($C114,$E114,$G114,$I114,$K114,$M114,$O114,$Q114,$S114,$U114,$W114,$Y114,$AA114,$AC114,$AE114),2)-$B114/2&lt;=AE114,IF(ROUND(AVERAGE($C114,$E114,$G114,$I114,$K114,$M114,$O114,$Q114,$S114,$U114,$W114,$Y114,$AA114,$AC114,$AE114),2)+$B114/2&gt;AE114,($G$5/$B$5),0),0))))</f>
        <v/>
      </c>
    </row>
    <row r="115" spans="1:32" s="135" customFormat="1" ht="21" customHeight="1">
      <c r="A115" s="132" t="str">
        <f>+'Presupuesto Consolidado'!A131</f>
        <v>12.3.27</v>
      </c>
      <c r="B115" s="140">
        <f t="shared" ref="B115" si="1246">IF(A115="","",IF($K$4="Media aritmética",ROUND(AVERAGE(C115,E115,G115,I115,K115,M115,O115,Q115,S115,U115,W115,Y115,AA115,AC115,AE115),2),ROUND(_xlfn.STDEV.P(C115,E115,G115,I115,K115,M115,O115,Q115,S115,U115,W115,Y115,AA115,AC115,AE115),2)))</f>
        <v>6831000</v>
      </c>
      <c r="C115" s="141">
        <f>IF($C$8="Habilitado",IF($A115="","",ROUND(VLOOKUP($A115,'Presupuesto Consolidado'!$A$9:$F$600,6,FALSE),2)),"")</f>
        <v>6831000</v>
      </c>
      <c r="D115" s="142">
        <f t="shared" ref="D115" si="1247">IF($A115="","",IF(C115="","",IF($K$4="Media aritmética",(C115&lt;=$B115)*($G$5/$B$5)+(C115&gt;$B115)*0,IF(ROUND(AVERAGE($C115,$E115,$G115,$I115,$K115,$M115,$O115,$Q115,$S115,$U115,$W115,$Y115,$AA115,$AC115,$AE115),2)-$B115/2&lt;=C115,IF(ROUND(AVERAGE($C115,$E115,$G115,$I115,$K115,$M115,$O115,$Q115,$S115,$U115,$W115,$Y115,$AA115,$AC115,$AE115),2)+$B115/2&gt;C115,($G$5/$B$5),0),0))))</f>
        <v>0.45714285714285713</v>
      </c>
      <c r="E115" s="141" t="str">
        <f>IF($E$8="Habilitado",IF($A115="","",ROUND(VLOOKUP($A115,'Presupuesto Consolidado'!$I$9:$N$600,6,FALSE),2)),"")</f>
        <v/>
      </c>
      <c r="F115" s="142" t="str">
        <f t="shared" ref="F115" si="1248">IF($A115="","",IF(E115="","",IF($K$4="Media aritmética",(E115&lt;=$B115)*($G$5/$B$5)+(E115&gt;$B115)*0,IF(ROUND(AVERAGE($C115,$E115,$G115,$I115,$K115,$M115,$O115,$Q115,$S115,$U115,$W115,$Y115,$AA115,$AC115,$AE115),2)-$B115/2&lt;=E115,IF(ROUND(AVERAGE($C115,$E115,$G115,$I115,$K115,$M115,$O115,$Q115,$S115,$U115,$W115,$Y115,$AA115,$AC115,$AE115),2)+$B115/2&gt;E115,($G$5/$B$5),0),0))))</f>
        <v/>
      </c>
      <c r="G115" s="141" t="str">
        <f>IF($G$8="Habilitado",IF($A115="","",ROUND(VLOOKUP($A115,'Presupuesto Consolidado'!$Q$9:$V$600,6,FALSE),2)),"")</f>
        <v/>
      </c>
      <c r="H115" s="142" t="str">
        <f t="shared" ref="H115" si="1249">IF($A115="","",IF(G115="","",IF($K$4="Media aritmética",(G115&lt;=$B115)*($G$5/$B$5)+(G115&gt;$B115)*0,IF(ROUND(AVERAGE($C115,$E115,$G115,$I115,$K115,$M115,$O115,$Q115,$S115,$U115,$W115,$Y115,$AA115,$AC115,$AE115),2)-$B115/2&lt;=G115,IF(ROUND(AVERAGE($C115,$E115,$G115,$I115,$K115,$M115,$O115,$Q115,$S115,$U115,$W115,$Y115,$AA115,$AC115,$AE115),2)+$B115/2&gt;G115,($G$5/$B$5),0),0))))</f>
        <v/>
      </c>
      <c r="I115" s="141" t="str">
        <f>IF($I$8="Habilitado",IF($A115="","",ROUND(VLOOKUP($A115,'Presupuesto Consolidado'!$Y$9:$AD$600,6,FALSE),2)),"")</f>
        <v/>
      </c>
      <c r="J115" s="142" t="str">
        <f t="shared" ref="J115" si="1250">IF($A115="","",IF(I115="","",IF($K$4="Media aritmética",(I115&lt;=$B115)*($G$5/$B$5)+(I115&gt;$B115)*0,IF(ROUND(AVERAGE($C115,$E115,$G115,$I115,$K115,$M115,$O115,$Q115,$S115,$U115,$W115,$Y115,$AA115,$AC115,$AE115),2)-$B115/2&lt;=I115,IF(ROUND(AVERAGE($C115,$E115,$G115,$I115,$K115,$M115,$O115,$Q115,$S115,$U115,$W115,$Y115,$AA115,$AC115,$AE115),2)+$B115/2&gt;I115,($G$5/$B$5),0),0))))</f>
        <v/>
      </c>
      <c r="K115" s="141" t="str">
        <f>IF($K$8="Habilitado",IF($A115="","",ROUND(VLOOKUP($A115,'Presupuesto Consolidado'!#REF!,6,FALSE),2)),"")</f>
        <v/>
      </c>
      <c r="L115" s="142" t="str">
        <f t="shared" ref="L115" si="1251">IF($A115="","",IF(K115="","",IF($K$4="Media aritmética",(K115&lt;=$B115)*($G$5/$B$5)+(K115&gt;$B115)*0,IF(ROUND(AVERAGE($C115,$E115,$G115,$I115,$K115,$M115,$O115,$Q115,$S115,$U115,$W115,$Y115,$AA115,$AC115,$AE115),2)-$B115/2&lt;=K115,IF(ROUND(AVERAGE($C115,$E115,$G115,$I115,$K115,$M115,$O115,$Q115,$S115,$U115,$W115,$Y115,$AA115,$AC115,$AE115),2)+$B115/2&gt;K115,($G$5/$B$5),0),0))))</f>
        <v/>
      </c>
      <c r="M115" s="141" t="str">
        <f>IF($M$8="Habilitado",IF($A115="","",ROUND(VLOOKUP($A115,'Presupuesto Consolidado'!#REF!,6,FALSE),2)),"")</f>
        <v/>
      </c>
      <c r="N115" s="142" t="str">
        <f t="shared" ref="N115" si="1252">IF($A115="","",IF(M115="","",IF($K$4="Media aritmética",(M115&lt;=$B115)*($G$5/$B$5)+(M115&gt;$B115)*0,IF(ROUND(AVERAGE($C115,$E115,$G115,$I115,$K115,$M115,$O115,$Q115,$S115,$U115,$W115,$Y115,$AA115,$AC115,$AE115),2)-$B115/2&lt;=M115,IF(ROUND(AVERAGE($C115,$E115,$G115,$I115,$K115,$M115,$O115,$Q115,$S115,$U115,$W115,$Y115,$AA115,$AC115,$AE115),2)+$B115/2&gt;M115,($G$5/$B$5),0),0))))</f>
        <v/>
      </c>
      <c r="O115" s="141" t="str">
        <f>IF($O$8="Habilitado",IF($A115="","",ROUND(VLOOKUP($A115,'Presupuesto Consolidado'!#REF!,6,FALSE),2)),"")</f>
        <v/>
      </c>
      <c r="P115" s="142" t="str">
        <f t="shared" ref="P115" si="1253">IF($A115="","",IF(O115="","",IF($K$4="Media aritmética",(O115&lt;=$B115)*($G$5/$B$5)+(O115&gt;$B115)*0,IF(ROUND(AVERAGE($C115,$E115,$G115,$I115,$K115,$M115,$O115,$Q115,$S115,$U115,$W115,$Y115,$AA115,$AC115,$AE115),2)-$B115/2&lt;=O115,IF(ROUND(AVERAGE($C115,$E115,$G115,$I115,$K115,$M115,$O115,$Q115,$S115,$U115,$W115,$Y115,$AA115,$AC115,$AE115),2)+$B115/2&gt;O115,($G$5/$B$5),0),0))))</f>
        <v/>
      </c>
      <c r="Q115" s="141" t="str">
        <f>IF($Q$8="Habilitado",IF($A115="","",ROUND(VLOOKUP($A115,'Presupuesto Consolidado'!#REF!,6,FALSE),2)),"")</f>
        <v/>
      </c>
      <c r="R115" s="142" t="str">
        <f t="shared" ref="R115" si="1254">IF($A115="","",IF(Q115="","",IF($K$4="Media aritmética",(Q115&lt;=$B115)*($G$5/$B$5)+(Q115&gt;$B115)*0,IF(ROUND(AVERAGE($C115,$E115,$G115,$I115,$K115,$M115,$O115,$Q115,$S115,$U115,$W115,$Y115,$AA115,$AC115,$AE115),2)-$B115/2&lt;=Q115,IF(ROUND(AVERAGE($C115,$E115,$G115,$I115,$K115,$M115,$O115,$Q115,$S115,$U115,$W115,$Y115,$AA115,$AC115,$AE115),2)+$B115/2&gt;Q115,($G$5/$B$5),0),0))))</f>
        <v/>
      </c>
      <c r="S115" s="141" t="str">
        <f>IF($S$8="Habilitado",IF($A115="","",ROUND(VLOOKUP($A115,'Presupuesto Consolidado'!#REF!,6,FALSE),2)),"")</f>
        <v/>
      </c>
      <c r="T115" s="142" t="str">
        <f t="shared" ref="T115" si="1255">IF($A115="","",IF(S115="","",IF($K$4="Media aritmética",(S115&lt;=$B115)*($G$5/$B$5)+(S115&gt;$B115)*0,IF(ROUND(AVERAGE($C115,$E115,$G115,$I115,$K115,$M115,$O115,$Q115,$S115,$U115,$W115,$Y115,$AA115,$AC115,$AE115),2)-$B115/2&lt;=S115,IF(ROUND(AVERAGE($C115,$E115,$G115,$I115,$K115,$M115,$O115,$Q115,$S115,$U115,$W115,$Y115,$AA115,$AC115,$AE115),2)+$B115/2&gt;S115,($G$5/$B$5),0),0))))</f>
        <v/>
      </c>
      <c r="U115" s="141" t="str">
        <f>IF($U$8="Habilitado",IF($A115="","",ROUND(VLOOKUP($A115,'Presupuesto Consolidado'!#REF!,6,FALSE),2)),"")</f>
        <v/>
      </c>
      <c r="V115" s="142" t="str">
        <f t="shared" ref="V115" si="1256">IF($A115="","",IF(U115="","",IF($K$4="Media aritmética",(U115&lt;=$B115)*($G$5/$B$5)+(U115&gt;$B115)*0,IF(ROUND(AVERAGE($C115,$E115,$G115,$I115,$K115,$M115,$O115,$Q115,$S115,$U115,$W115,$Y115,$AA115,$AC115,$AE115),2)-$B115/2&lt;=U115,IF(ROUND(AVERAGE($C115,$E115,$G115,$I115,$K115,$M115,$O115,$Q115,$S115,$U115,$W115,$Y115,$AA115,$AC115,$AE115),2)+$B115/2&gt;U115,($G$5/$B$5),0),0))))</f>
        <v/>
      </c>
      <c r="W115" s="141" t="str">
        <f>IF($W$8="Habilitado",IF($A115="","",ROUND(VLOOKUP($A115,'Presupuesto Consolidado'!#REF!,6,FALSE),2)),"")</f>
        <v/>
      </c>
      <c r="X115" s="142" t="str">
        <f t="shared" ref="X115" si="1257">IF($A115="","",IF(W115="","",IF($K$4="Media aritmética",(W115&lt;=$B115)*($G$5/$B$5)+(W115&gt;$B115)*0,IF(ROUND(AVERAGE($C115,$E115,$G115,$I115,$K115,$M115,$O115,$Q115,$S115,$U115,$W115,$Y115,$AA115,$AC115,$AE115),2)-$B115/2&lt;=W115,IF(ROUND(AVERAGE($C115,$E115,$G115,$I115,$K115,$M115,$O115,$Q115,$S115,$U115,$W115,$Y115,$AA115,$AC115,$AE115),2)+$B115/2&gt;W115,($G$5/$B$5),0),0))))</f>
        <v/>
      </c>
      <c r="Y115" s="141" t="str">
        <f>IF($Y$8="Habilitado",IF($A115="","",ROUND(VLOOKUP($A115,'Presupuesto Consolidado'!#REF!,6,FALSE),2)),"")</f>
        <v/>
      </c>
      <c r="Z115" s="142" t="str">
        <f t="shared" ref="Z115" si="1258">IF($A115="","",IF(Y115="","",IF($K$4="Media aritmética",(Y115&lt;=$B115)*($G$5/$B$5)+(Y115&gt;$B115)*0,IF(ROUND(AVERAGE($C115,$E115,$G115,$I115,$K115,$M115,$O115,$Q115,$S115,$U115,$W115,$Y115,$AA115,$AC115,$AE115),2)-$B115/2&lt;=Y115,IF(ROUND(AVERAGE($C115,$E115,$G115,$I115,$K115,$M115,$O115,$Q115,$S115,$U115,$W115,$Y115,$AA115,$AC115,$AE115),2)+$B115/2&gt;Y115,($G$5/$B$5),0),0))))</f>
        <v/>
      </c>
      <c r="AA115" s="141" t="str">
        <f>IF($AA$8="Habilitado",IF($A115="","",ROUND(VLOOKUP($A115,'Presupuesto Consolidado'!#REF!,6,FALSE),2)),"")</f>
        <v/>
      </c>
      <c r="AB115" s="142" t="str">
        <f t="shared" ref="AB115" si="1259">IF($A115="","",IF(AA115="","",IF($K$4="Media aritmética",(AA115&lt;=$B115)*($G$5/$B$5)+(AA115&gt;$B115)*0,IF(ROUND(AVERAGE($C115,$E115,$G115,$I115,$K115,$M115,$O115,$Q115,$S115,$U115,$W115,$Y115,$AA115,$AC115,$AE115),2)-$B115/2&lt;=AA115,IF(ROUND(AVERAGE($C115,$E115,$G115,$I115,$K115,$M115,$O115,$Q115,$S115,$U115,$W115,$Y115,$AA115,$AC115,$AE115),2)+$B115/2&gt;AA115,($G$5/$B$5),0),0))))</f>
        <v/>
      </c>
      <c r="AC115" s="141" t="str">
        <f>IF($AC$8="Habilitado",IF($A115="","",ROUND(VLOOKUP($A115,'Presupuesto Consolidado'!#REF!,6,FALSE),2)),"")</f>
        <v/>
      </c>
      <c r="AD115" s="142" t="str">
        <f t="shared" ref="AD115" si="1260">IF($A115="","",IF(AC115="","",IF($K$4="Media aritmética",(AC115&lt;=$B115)*($G$5/$B$5)+(AC115&gt;$B115)*0,IF(ROUND(AVERAGE($C115,$E115,$G115,$I115,$K115,$M115,$O115,$Q115,$S115,$U115,$W115,$Y115,$AA115,$AC115,$AE115),2)-$B115/2&lt;=AC115,IF(ROUND(AVERAGE($C115,$E115,$G115,$I115,$K115,$M115,$O115,$Q115,$S115,$U115,$W115,$Y115,$AA115,$AC115,$AE115),2)+$B115/2&gt;AC115,($G$5/$B$5),0),0))))</f>
        <v/>
      </c>
      <c r="AE115" s="141" t="str">
        <f>IF($AE$8="Habilitado",IF($A115="","",ROUND(VLOOKUP($A115,'Presupuesto Consolidado'!#REF!,6,FALSE),2)),"")</f>
        <v/>
      </c>
      <c r="AF115" s="142" t="str">
        <f t="shared" ref="AF115" si="1261">IF($A115="","",IF(AE115="","",IF($K$4="Media aritmética",(AE115&lt;=$B115)*($G$5/$B$5)+(AE115&gt;$B115)*0,IF(ROUND(AVERAGE($C115,$E115,$G115,$I115,$K115,$M115,$O115,$Q115,$S115,$U115,$W115,$Y115,$AA115,$AC115,$AE115),2)-$B115/2&lt;=AE115,IF(ROUND(AVERAGE($C115,$E115,$G115,$I115,$K115,$M115,$O115,$Q115,$S115,$U115,$W115,$Y115,$AA115,$AC115,$AE115),2)+$B115/2&gt;AE115,($G$5/$B$5),0),0))))</f>
        <v/>
      </c>
    </row>
    <row r="116" spans="1:32" s="135" customFormat="1" ht="21" customHeight="1">
      <c r="A116" s="132" t="str">
        <f>+'Presupuesto Consolidado'!A132</f>
        <v>12.3.28</v>
      </c>
      <c r="B116" s="140">
        <f t="shared" ref="B116" si="1262">IF(A116="","",IF($K$4="Media aritmética",ROUND(AVERAGE(C116,E116,G116,I116,K116,M116,O116,Q116,S116,U116,W116,Y116,AA116,AC116,AE116),2),ROUND(_xlfn.STDEV.P(C116,E116,G116,I116,K116,M116,O116,Q116,S116,U116,W116,Y116,AA116,AC116,AE116),2)))</f>
        <v>1397250</v>
      </c>
      <c r="C116" s="141">
        <f>IF($C$8="Habilitado",IF($A116="","",ROUND(VLOOKUP($A116,'Presupuesto Consolidado'!$A$9:$F$600,6,FALSE),2)),"")</f>
        <v>1397250</v>
      </c>
      <c r="D116" s="142">
        <f t="shared" ref="D116" si="1263">IF($A116="","",IF(C116="","",IF($K$4="Media aritmética",(C116&lt;=$B116)*($G$5/$B$5)+(C116&gt;$B116)*0,IF(ROUND(AVERAGE($C116,$E116,$G116,$I116,$K116,$M116,$O116,$Q116,$S116,$U116,$W116,$Y116,$AA116,$AC116,$AE116),2)-$B116/2&lt;=C116,IF(ROUND(AVERAGE($C116,$E116,$G116,$I116,$K116,$M116,$O116,$Q116,$S116,$U116,$W116,$Y116,$AA116,$AC116,$AE116),2)+$B116/2&gt;C116,($G$5/$B$5),0),0))))</f>
        <v>0.45714285714285713</v>
      </c>
      <c r="E116" s="141" t="str">
        <f>IF($E$8="Habilitado",IF($A116="","",ROUND(VLOOKUP($A116,'Presupuesto Consolidado'!$I$9:$N$600,6,FALSE),2)),"")</f>
        <v/>
      </c>
      <c r="F116" s="142" t="str">
        <f t="shared" ref="F116" si="1264">IF($A116="","",IF(E116="","",IF($K$4="Media aritmética",(E116&lt;=$B116)*($G$5/$B$5)+(E116&gt;$B116)*0,IF(ROUND(AVERAGE($C116,$E116,$G116,$I116,$K116,$M116,$O116,$Q116,$S116,$U116,$W116,$Y116,$AA116,$AC116,$AE116),2)-$B116/2&lt;=E116,IF(ROUND(AVERAGE($C116,$E116,$G116,$I116,$K116,$M116,$O116,$Q116,$S116,$U116,$W116,$Y116,$AA116,$AC116,$AE116),2)+$B116/2&gt;E116,($G$5/$B$5),0),0))))</f>
        <v/>
      </c>
      <c r="G116" s="141" t="str">
        <f>IF($G$8="Habilitado",IF($A116="","",ROUND(VLOOKUP($A116,'Presupuesto Consolidado'!$Q$9:$V$600,6,FALSE),2)),"")</f>
        <v/>
      </c>
      <c r="H116" s="142" t="str">
        <f t="shared" ref="H116" si="1265">IF($A116="","",IF(G116="","",IF($K$4="Media aritmética",(G116&lt;=$B116)*($G$5/$B$5)+(G116&gt;$B116)*0,IF(ROUND(AVERAGE($C116,$E116,$G116,$I116,$K116,$M116,$O116,$Q116,$S116,$U116,$W116,$Y116,$AA116,$AC116,$AE116),2)-$B116/2&lt;=G116,IF(ROUND(AVERAGE($C116,$E116,$G116,$I116,$K116,$M116,$O116,$Q116,$S116,$U116,$W116,$Y116,$AA116,$AC116,$AE116),2)+$B116/2&gt;G116,($G$5/$B$5),0),0))))</f>
        <v/>
      </c>
      <c r="I116" s="141" t="str">
        <f>IF($I$8="Habilitado",IF($A116="","",ROUND(VLOOKUP($A116,'Presupuesto Consolidado'!$Y$9:$AD$600,6,FALSE),2)),"")</f>
        <v/>
      </c>
      <c r="J116" s="142" t="str">
        <f t="shared" ref="J116" si="1266">IF($A116="","",IF(I116="","",IF($K$4="Media aritmética",(I116&lt;=$B116)*($G$5/$B$5)+(I116&gt;$B116)*0,IF(ROUND(AVERAGE($C116,$E116,$G116,$I116,$K116,$M116,$O116,$Q116,$S116,$U116,$W116,$Y116,$AA116,$AC116,$AE116),2)-$B116/2&lt;=I116,IF(ROUND(AVERAGE($C116,$E116,$G116,$I116,$K116,$M116,$O116,$Q116,$S116,$U116,$W116,$Y116,$AA116,$AC116,$AE116),2)+$B116/2&gt;I116,($G$5/$B$5),0),0))))</f>
        <v/>
      </c>
      <c r="K116" s="141" t="str">
        <f>IF($K$8="Habilitado",IF($A116="","",ROUND(VLOOKUP($A116,'Presupuesto Consolidado'!#REF!,6,FALSE),2)),"")</f>
        <v/>
      </c>
      <c r="L116" s="142" t="str">
        <f t="shared" ref="L116" si="1267">IF($A116="","",IF(K116="","",IF($K$4="Media aritmética",(K116&lt;=$B116)*($G$5/$B$5)+(K116&gt;$B116)*0,IF(ROUND(AVERAGE($C116,$E116,$G116,$I116,$K116,$M116,$O116,$Q116,$S116,$U116,$W116,$Y116,$AA116,$AC116,$AE116),2)-$B116/2&lt;=K116,IF(ROUND(AVERAGE($C116,$E116,$G116,$I116,$K116,$M116,$O116,$Q116,$S116,$U116,$W116,$Y116,$AA116,$AC116,$AE116),2)+$B116/2&gt;K116,($G$5/$B$5),0),0))))</f>
        <v/>
      </c>
      <c r="M116" s="141" t="str">
        <f>IF($M$8="Habilitado",IF($A116="","",ROUND(VLOOKUP($A116,'Presupuesto Consolidado'!#REF!,6,FALSE),2)),"")</f>
        <v/>
      </c>
      <c r="N116" s="142" t="str">
        <f t="shared" ref="N116" si="1268">IF($A116="","",IF(M116="","",IF($K$4="Media aritmética",(M116&lt;=$B116)*($G$5/$B$5)+(M116&gt;$B116)*0,IF(ROUND(AVERAGE($C116,$E116,$G116,$I116,$K116,$M116,$O116,$Q116,$S116,$U116,$W116,$Y116,$AA116,$AC116,$AE116),2)-$B116/2&lt;=M116,IF(ROUND(AVERAGE($C116,$E116,$G116,$I116,$K116,$M116,$O116,$Q116,$S116,$U116,$W116,$Y116,$AA116,$AC116,$AE116),2)+$B116/2&gt;M116,($G$5/$B$5),0),0))))</f>
        <v/>
      </c>
      <c r="O116" s="141" t="str">
        <f>IF($O$8="Habilitado",IF($A116="","",ROUND(VLOOKUP($A116,'Presupuesto Consolidado'!#REF!,6,FALSE),2)),"")</f>
        <v/>
      </c>
      <c r="P116" s="142" t="str">
        <f t="shared" ref="P116" si="1269">IF($A116="","",IF(O116="","",IF($K$4="Media aritmética",(O116&lt;=$B116)*($G$5/$B$5)+(O116&gt;$B116)*0,IF(ROUND(AVERAGE($C116,$E116,$G116,$I116,$K116,$M116,$O116,$Q116,$S116,$U116,$W116,$Y116,$AA116,$AC116,$AE116),2)-$B116/2&lt;=O116,IF(ROUND(AVERAGE($C116,$E116,$G116,$I116,$K116,$M116,$O116,$Q116,$S116,$U116,$W116,$Y116,$AA116,$AC116,$AE116),2)+$B116/2&gt;O116,($G$5/$B$5),0),0))))</f>
        <v/>
      </c>
      <c r="Q116" s="141" t="str">
        <f>IF($Q$8="Habilitado",IF($A116="","",ROUND(VLOOKUP($A116,'Presupuesto Consolidado'!#REF!,6,FALSE),2)),"")</f>
        <v/>
      </c>
      <c r="R116" s="142" t="str">
        <f t="shared" ref="R116" si="1270">IF($A116="","",IF(Q116="","",IF($K$4="Media aritmética",(Q116&lt;=$B116)*($G$5/$B$5)+(Q116&gt;$B116)*0,IF(ROUND(AVERAGE($C116,$E116,$G116,$I116,$K116,$M116,$O116,$Q116,$S116,$U116,$W116,$Y116,$AA116,$AC116,$AE116),2)-$B116/2&lt;=Q116,IF(ROUND(AVERAGE($C116,$E116,$G116,$I116,$K116,$M116,$O116,$Q116,$S116,$U116,$W116,$Y116,$AA116,$AC116,$AE116),2)+$B116/2&gt;Q116,($G$5/$B$5),0),0))))</f>
        <v/>
      </c>
      <c r="S116" s="141" t="str">
        <f>IF($S$8="Habilitado",IF($A116="","",ROUND(VLOOKUP($A116,'Presupuesto Consolidado'!#REF!,6,FALSE),2)),"")</f>
        <v/>
      </c>
      <c r="T116" s="142" t="str">
        <f t="shared" ref="T116" si="1271">IF($A116="","",IF(S116="","",IF($K$4="Media aritmética",(S116&lt;=$B116)*($G$5/$B$5)+(S116&gt;$B116)*0,IF(ROUND(AVERAGE($C116,$E116,$G116,$I116,$K116,$M116,$O116,$Q116,$S116,$U116,$W116,$Y116,$AA116,$AC116,$AE116),2)-$B116/2&lt;=S116,IF(ROUND(AVERAGE($C116,$E116,$G116,$I116,$K116,$M116,$O116,$Q116,$S116,$U116,$W116,$Y116,$AA116,$AC116,$AE116),2)+$B116/2&gt;S116,($G$5/$B$5),0),0))))</f>
        <v/>
      </c>
      <c r="U116" s="141" t="str">
        <f>IF($U$8="Habilitado",IF($A116="","",ROUND(VLOOKUP($A116,'Presupuesto Consolidado'!#REF!,6,FALSE),2)),"")</f>
        <v/>
      </c>
      <c r="V116" s="142" t="str">
        <f t="shared" ref="V116" si="1272">IF($A116="","",IF(U116="","",IF($K$4="Media aritmética",(U116&lt;=$B116)*($G$5/$B$5)+(U116&gt;$B116)*0,IF(ROUND(AVERAGE($C116,$E116,$G116,$I116,$K116,$M116,$O116,$Q116,$S116,$U116,$W116,$Y116,$AA116,$AC116,$AE116),2)-$B116/2&lt;=U116,IF(ROUND(AVERAGE($C116,$E116,$G116,$I116,$K116,$M116,$O116,$Q116,$S116,$U116,$W116,$Y116,$AA116,$AC116,$AE116),2)+$B116/2&gt;U116,($G$5/$B$5),0),0))))</f>
        <v/>
      </c>
      <c r="W116" s="141" t="str">
        <f>IF($W$8="Habilitado",IF($A116="","",ROUND(VLOOKUP($A116,'Presupuesto Consolidado'!#REF!,6,FALSE),2)),"")</f>
        <v/>
      </c>
      <c r="X116" s="142" t="str">
        <f t="shared" ref="X116" si="1273">IF($A116="","",IF(W116="","",IF($K$4="Media aritmética",(W116&lt;=$B116)*($G$5/$B$5)+(W116&gt;$B116)*0,IF(ROUND(AVERAGE($C116,$E116,$G116,$I116,$K116,$M116,$O116,$Q116,$S116,$U116,$W116,$Y116,$AA116,$AC116,$AE116),2)-$B116/2&lt;=W116,IF(ROUND(AVERAGE($C116,$E116,$G116,$I116,$K116,$M116,$O116,$Q116,$S116,$U116,$W116,$Y116,$AA116,$AC116,$AE116),2)+$B116/2&gt;W116,($G$5/$B$5),0),0))))</f>
        <v/>
      </c>
      <c r="Y116" s="141" t="str">
        <f>IF($Y$8="Habilitado",IF($A116="","",ROUND(VLOOKUP($A116,'Presupuesto Consolidado'!#REF!,6,FALSE),2)),"")</f>
        <v/>
      </c>
      <c r="Z116" s="142" t="str">
        <f t="shared" ref="Z116" si="1274">IF($A116="","",IF(Y116="","",IF($K$4="Media aritmética",(Y116&lt;=$B116)*($G$5/$B$5)+(Y116&gt;$B116)*0,IF(ROUND(AVERAGE($C116,$E116,$G116,$I116,$K116,$M116,$O116,$Q116,$S116,$U116,$W116,$Y116,$AA116,$AC116,$AE116),2)-$B116/2&lt;=Y116,IF(ROUND(AVERAGE($C116,$E116,$G116,$I116,$K116,$M116,$O116,$Q116,$S116,$U116,$W116,$Y116,$AA116,$AC116,$AE116),2)+$B116/2&gt;Y116,($G$5/$B$5),0),0))))</f>
        <v/>
      </c>
      <c r="AA116" s="141" t="str">
        <f>IF($AA$8="Habilitado",IF($A116="","",ROUND(VLOOKUP($A116,'Presupuesto Consolidado'!#REF!,6,FALSE),2)),"")</f>
        <v/>
      </c>
      <c r="AB116" s="142" t="str">
        <f t="shared" ref="AB116" si="1275">IF($A116="","",IF(AA116="","",IF($K$4="Media aritmética",(AA116&lt;=$B116)*($G$5/$B$5)+(AA116&gt;$B116)*0,IF(ROUND(AVERAGE($C116,$E116,$G116,$I116,$K116,$M116,$O116,$Q116,$S116,$U116,$W116,$Y116,$AA116,$AC116,$AE116),2)-$B116/2&lt;=AA116,IF(ROUND(AVERAGE($C116,$E116,$G116,$I116,$K116,$M116,$O116,$Q116,$S116,$U116,$W116,$Y116,$AA116,$AC116,$AE116),2)+$B116/2&gt;AA116,($G$5/$B$5),0),0))))</f>
        <v/>
      </c>
      <c r="AC116" s="141" t="str">
        <f>IF($AC$8="Habilitado",IF($A116="","",ROUND(VLOOKUP($A116,'Presupuesto Consolidado'!#REF!,6,FALSE),2)),"")</f>
        <v/>
      </c>
      <c r="AD116" s="142" t="str">
        <f t="shared" ref="AD116" si="1276">IF($A116="","",IF(AC116="","",IF($K$4="Media aritmética",(AC116&lt;=$B116)*($G$5/$B$5)+(AC116&gt;$B116)*0,IF(ROUND(AVERAGE($C116,$E116,$G116,$I116,$K116,$M116,$O116,$Q116,$S116,$U116,$W116,$Y116,$AA116,$AC116,$AE116),2)-$B116/2&lt;=AC116,IF(ROUND(AVERAGE($C116,$E116,$G116,$I116,$K116,$M116,$O116,$Q116,$S116,$U116,$W116,$Y116,$AA116,$AC116,$AE116),2)+$B116/2&gt;AC116,($G$5/$B$5),0),0))))</f>
        <v/>
      </c>
      <c r="AE116" s="141" t="str">
        <f>IF($AE$8="Habilitado",IF($A116="","",ROUND(VLOOKUP($A116,'Presupuesto Consolidado'!#REF!,6,FALSE),2)),"")</f>
        <v/>
      </c>
      <c r="AF116" s="142" t="str">
        <f t="shared" ref="AF116" si="1277">IF($A116="","",IF(AE116="","",IF($K$4="Media aritmética",(AE116&lt;=$B116)*($G$5/$B$5)+(AE116&gt;$B116)*0,IF(ROUND(AVERAGE($C116,$E116,$G116,$I116,$K116,$M116,$O116,$Q116,$S116,$U116,$W116,$Y116,$AA116,$AC116,$AE116),2)-$B116/2&lt;=AE116,IF(ROUND(AVERAGE($C116,$E116,$G116,$I116,$K116,$M116,$O116,$Q116,$S116,$U116,$W116,$Y116,$AA116,$AC116,$AE116),2)+$B116/2&gt;AE116,($G$5/$B$5),0),0))))</f>
        <v/>
      </c>
    </row>
    <row r="117" spans="1:32" s="135" customFormat="1" ht="21" customHeight="1">
      <c r="A117" s="132" t="str">
        <f>+'Presupuesto Consolidado'!A133</f>
        <v>12.3.29</v>
      </c>
      <c r="B117" s="140">
        <f t="shared" ref="B117" si="1278">IF(A117="","",IF($K$4="Media aritmética",ROUND(AVERAGE(C117,E117,G117,I117,K117,M117,O117,Q117,S117,U117,W117,Y117,AA117,AC117,AE117),2),ROUND(_xlfn.STDEV.P(C117,E117,G117,I117,K117,M117,O117,Q117,S117,U117,W117,Y117,AA117,AC117,AE117),2)))</f>
        <v>496800</v>
      </c>
      <c r="C117" s="141">
        <f>IF($C$8="Habilitado",IF($A117="","",ROUND(VLOOKUP($A117,'Presupuesto Consolidado'!$A$9:$F$600,6,FALSE),2)),"")</f>
        <v>496800</v>
      </c>
      <c r="D117" s="142">
        <f t="shared" ref="D117" si="1279">IF($A117="","",IF(C117="","",IF($K$4="Media aritmética",(C117&lt;=$B117)*($G$5/$B$5)+(C117&gt;$B117)*0,IF(ROUND(AVERAGE($C117,$E117,$G117,$I117,$K117,$M117,$O117,$Q117,$S117,$U117,$W117,$Y117,$AA117,$AC117,$AE117),2)-$B117/2&lt;=C117,IF(ROUND(AVERAGE($C117,$E117,$G117,$I117,$K117,$M117,$O117,$Q117,$S117,$U117,$W117,$Y117,$AA117,$AC117,$AE117),2)+$B117/2&gt;C117,($G$5/$B$5),0),0))))</f>
        <v>0.45714285714285713</v>
      </c>
      <c r="E117" s="141" t="str">
        <f>IF($E$8="Habilitado",IF($A117="","",ROUND(VLOOKUP($A117,'Presupuesto Consolidado'!$I$9:$N$600,6,FALSE),2)),"")</f>
        <v/>
      </c>
      <c r="F117" s="142" t="str">
        <f t="shared" ref="F117" si="1280">IF($A117="","",IF(E117="","",IF($K$4="Media aritmética",(E117&lt;=$B117)*($G$5/$B$5)+(E117&gt;$B117)*0,IF(ROUND(AVERAGE($C117,$E117,$G117,$I117,$K117,$M117,$O117,$Q117,$S117,$U117,$W117,$Y117,$AA117,$AC117,$AE117),2)-$B117/2&lt;=E117,IF(ROUND(AVERAGE($C117,$E117,$G117,$I117,$K117,$M117,$O117,$Q117,$S117,$U117,$W117,$Y117,$AA117,$AC117,$AE117),2)+$B117/2&gt;E117,($G$5/$B$5),0),0))))</f>
        <v/>
      </c>
      <c r="G117" s="141" t="str">
        <f>IF($G$8="Habilitado",IF($A117="","",ROUND(VLOOKUP($A117,'Presupuesto Consolidado'!$Q$9:$V$600,6,FALSE),2)),"")</f>
        <v/>
      </c>
      <c r="H117" s="142" t="str">
        <f t="shared" ref="H117" si="1281">IF($A117="","",IF(G117="","",IF($K$4="Media aritmética",(G117&lt;=$B117)*($G$5/$B$5)+(G117&gt;$B117)*0,IF(ROUND(AVERAGE($C117,$E117,$G117,$I117,$K117,$M117,$O117,$Q117,$S117,$U117,$W117,$Y117,$AA117,$AC117,$AE117),2)-$B117/2&lt;=G117,IF(ROUND(AVERAGE($C117,$E117,$G117,$I117,$K117,$M117,$O117,$Q117,$S117,$U117,$W117,$Y117,$AA117,$AC117,$AE117),2)+$B117/2&gt;G117,($G$5/$B$5),0),0))))</f>
        <v/>
      </c>
      <c r="I117" s="141" t="str">
        <f>IF($I$8="Habilitado",IF($A117="","",ROUND(VLOOKUP($A117,'Presupuesto Consolidado'!$Y$9:$AD$600,6,FALSE),2)),"")</f>
        <v/>
      </c>
      <c r="J117" s="142" t="str">
        <f t="shared" ref="J117" si="1282">IF($A117="","",IF(I117="","",IF($K$4="Media aritmética",(I117&lt;=$B117)*($G$5/$B$5)+(I117&gt;$B117)*0,IF(ROUND(AVERAGE($C117,$E117,$G117,$I117,$K117,$M117,$O117,$Q117,$S117,$U117,$W117,$Y117,$AA117,$AC117,$AE117),2)-$B117/2&lt;=I117,IF(ROUND(AVERAGE($C117,$E117,$G117,$I117,$K117,$M117,$O117,$Q117,$S117,$U117,$W117,$Y117,$AA117,$AC117,$AE117),2)+$B117/2&gt;I117,($G$5/$B$5),0),0))))</f>
        <v/>
      </c>
      <c r="K117" s="141" t="str">
        <f>IF($K$8="Habilitado",IF($A117="","",ROUND(VLOOKUP($A117,'Presupuesto Consolidado'!#REF!,6,FALSE),2)),"")</f>
        <v/>
      </c>
      <c r="L117" s="142" t="str">
        <f t="shared" ref="L117" si="1283">IF($A117="","",IF(K117="","",IF($K$4="Media aritmética",(K117&lt;=$B117)*($G$5/$B$5)+(K117&gt;$B117)*0,IF(ROUND(AVERAGE($C117,$E117,$G117,$I117,$K117,$M117,$O117,$Q117,$S117,$U117,$W117,$Y117,$AA117,$AC117,$AE117),2)-$B117/2&lt;=K117,IF(ROUND(AVERAGE($C117,$E117,$G117,$I117,$K117,$M117,$O117,$Q117,$S117,$U117,$W117,$Y117,$AA117,$AC117,$AE117),2)+$B117/2&gt;K117,($G$5/$B$5),0),0))))</f>
        <v/>
      </c>
      <c r="M117" s="141" t="str">
        <f>IF($M$8="Habilitado",IF($A117="","",ROUND(VLOOKUP($A117,'Presupuesto Consolidado'!#REF!,6,FALSE),2)),"")</f>
        <v/>
      </c>
      <c r="N117" s="142" t="str">
        <f t="shared" ref="N117" si="1284">IF($A117="","",IF(M117="","",IF($K$4="Media aritmética",(M117&lt;=$B117)*($G$5/$B$5)+(M117&gt;$B117)*0,IF(ROUND(AVERAGE($C117,$E117,$G117,$I117,$K117,$M117,$O117,$Q117,$S117,$U117,$W117,$Y117,$AA117,$AC117,$AE117),2)-$B117/2&lt;=M117,IF(ROUND(AVERAGE($C117,$E117,$G117,$I117,$K117,$M117,$O117,$Q117,$S117,$U117,$W117,$Y117,$AA117,$AC117,$AE117),2)+$B117/2&gt;M117,($G$5/$B$5),0),0))))</f>
        <v/>
      </c>
      <c r="O117" s="141" t="str">
        <f>IF($O$8="Habilitado",IF($A117="","",ROUND(VLOOKUP($A117,'Presupuesto Consolidado'!#REF!,6,FALSE),2)),"")</f>
        <v/>
      </c>
      <c r="P117" s="142" t="str">
        <f t="shared" ref="P117" si="1285">IF($A117="","",IF(O117="","",IF($K$4="Media aritmética",(O117&lt;=$B117)*($G$5/$B$5)+(O117&gt;$B117)*0,IF(ROUND(AVERAGE($C117,$E117,$G117,$I117,$K117,$M117,$O117,$Q117,$S117,$U117,$W117,$Y117,$AA117,$AC117,$AE117),2)-$B117/2&lt;=O117,IF(ROUND(AVERAGE($C117,$E117,$G117,$I117,$K117,$M117,$O117,$Q117,$S117,$U117,$W117,$Y117,$AA117,$AC117,$AE117),2)+$B117/2&gt;O117,($G$5/$B$5),0),0))))</f>
        <v/>
      </c>
      <c r="Q117" s="141" t="str">
        <f>IF($Q$8="Habilitado",IF($A117="","",ROUND(VLOOKUP($A117,'Presupuesto Consolidado'!#REF!,6,FALSE),2)),"")</f>
        <v/>
      </c>
      <c r="R117" s="142" t="str">
        <f t="shared" ref="R117" si="1286">IF($A117="","",IF(Q117="","",IF($K$4="Media aritmética",(Q117&lt;=$B117)*($G$5/$B$5)+(Q117&gt;$B117)*0,IF(ROUND(AVERAGE($C117,$E117,$G117,$I117,$K117,$M117,$O117,$Q117,$S117,$U117,$W117,$Y117,$AA117,$AC117,$AE117),2)-$B117/2&lt;=Q117,IF(ROUND(AVERAGE($C117,$E117,$G117,$I117,$K117,$M117,$O117,$Q117,$S117,$U117,$W117,$Y117,$AA117,$AC117,$AE117),2)+$B117/2&gt;Q117,($G$5/$B$5),0),0))))</f>
        <v/>
      </c>
      <c r="S117" s="141" t="str">
        <f>IF($S$8="Habilitado",IF($A117="","",ROUND(VLOOKUP($A117,'Presupuesto Consolidado'!#REF!,6,FALSE),2)),"")</f>
        <v/>
      </c>
      <c r="T117" s="142" t="str">
        <f t="shared" ref="T117" si="1287">IF($A117="","",IF(S117="","",IF($K$4="Media aritmética",(S117&lt;=$B117)*($G$5/$B$5)+(S117&gt;$B117)*0,IF(ROUND(AVERAGE($C117,$E117,$G117,$I117,$K117,$M117,$O117,$Q117,$S117,$U117,$W117,$Y117,$AA117,$AC117,$AE117),2)-$B117/2&lt;=S117,IF(ROUND(AVERAGE($C117,$E117,$G117,$I117,$K117,$M117,$O117,$Q117,$S117,$U117,$W117,$Y117,$AA117,$AC117,$AE117),2)+$B117/2&gt;S117,($G$5/$B$5),0),0))))</f>
        <v/>
      </c>
      <c r="U117" s="141" t="str">
        <f>IF($U$8="Habilitado",IF($A117="","",ROUND(VLOOKUP($A117,'Presupuesto Consolidado'!#REF!,6,FALSE),2)),"")</f>
        <v/>
      </c>
      <c r="V117" s="142" t="str">
        <f t="shared" ref="V117" si="1288">IF($A117="","",IF(U117="","",IF($K$4="Media aritmética",(U117&lt;=$B117)*($G$5/$B$5)+(U117&gt;$B117)*0,IF(ROUND(AVERAGE($C117,$E117,$G117,$I117,$K117,$M117,$O117,$Q117,$S117,$U117,$W117,$Y117,$AA117,$AC117,$AE117),2)-$B117/2&lt;=U117,IF(ROUND(AVERAGE($C117,$E117,$G117,$I117,$K117,$M117,$O117,$Q117,$S117,$U117,$W117,$Y117,$AA117,$AC117,$AE117),2)+$B117/2&gt;U117,($G$5/$B$5),0),0))))</f>
        <v/>
      </c>
      <c r="W117" s="141" t="str">
        <f>IF($W$8="Habilitado",IF($A117="","",ROUND(VLOOKUP($A117,'Presupuesto Consolidado'!#REF!,6,FALSE),2)),"")</f>
        <v/>
      </c>
      <c r="X117" s="142" t="str">
        <f t="shared" ref="X117" si="1289">IF($A117="","",IF(W117="","",IF($K$4="Media aritmética",(W117&lt;=$B117)*($G$5/$B$5)+(W117&gt;$B117)*0,IF(ROUND(AVERAGE($C117,$E117,$G117,$I117,$K117,$M117,$O117,$Q117,$S117,$U117,$W117,$Y117,$AA117,$AC117,$AE117),2)-$B117/2&lt;=W117,IF(ROUND(AVERAGE($C117,$E117,$G117,$I117,$K117,$M117,$O117,$Q117,$S117,$U117,$W117,$Y117,$AA117,$AC117,$AE117),2)+$B117/2&gt;W117,($G$5/$B$5),0),0))))</f>
        <v/>
      </c>
      <c r="Y117" s="141" t="str">
        <f>IF($Y$8="Habilitado",IF($A117="","",ROUND(VLOOKUP($A117,'Presupuesto Consolidado'!#REF!,6,FALSE),2)),"")</f>
        <v/>
      </c>
      <c r="Z117" s="142" t="str">
        <f t="shared" ref="Z117" si="1290">IF($A117="","",IF(Y117="","",IF($K$4="Media aritmética",(Y117&lt;=$B117)*($G$5/$B$5)+(Y117&gt;$B117)*0,IF(ROUND(AVERAGE($C117,$E117,$G117,$I117,$K117,$M117,$O117,$Q117,$S117,$U117,$W117,$Y117,$AA117,$AC117,$AE117),2)-$B117/2&lt;=Y117,IF(ROUND(AVERAGE($C117,$E117,$G117,$I117,$K117,$M117,$O117,$Q117,$S117,$U117,$W117,$Y117,$AA117,$AC117,$AE117),2)+$B117/2&gt;Y117,($G$5/$B$5),0),0))))</f>
        <v/>
      </c>
      <c r="AA117" s="141" t="str">
        <f>IF($AA$8="Habilitado",IF($A117="","",ROUND(VLOOKUP($A117,'Presupuesto Consolidado'!#REF!,6,FALSE),2)),"")</f>
        <v/>
      </c>
      <c r="AB117" s="142" t="str">
        <f t="shared" ref="AB117" si="1291">IF($A117="","",IF(AA117="","",IF($K$4="Media aritmética",(AA117&lt;=$B117)*($G$5/$B$5)+(AA117&gt;$B117)*0,IF(ROUND(AVERAGE($C117,$E117,$G117,$I117,$K117,$M117,$O117,$Q117,$S117,$U117,$W117,$Y117,$AA117,$AC117,$AE117),2)-$B117/2&lt;=AA117,IF(ROUND(AVERAGE($C117,$E117,$G117,$I117,$K117,$M117,$O117,$Q117,$S117,$U117,$W117,$Y117,$AA117,$AC117,$AE117),2)+$B117/2&gt;AA117,($G$5/$B$5),0),0))))</f>
        <v/>
      </c>
      <c r="AC117" s="141" t="str">
        <f>IF($AC$8="Habilitado",IF($A117="","",ROUND(VLOOKUP($A117,'Presupuesto Consolidado'!#REF!,6,FALSE),2)),"")</f>
        <v/>
      </c>
      <c r="AD117" s="142" t="str">
        <f t="shared" ref="AD117" si="1292">IF($A117="","",IF(AC117="","",IF($K$4="Media aritmética",(AC117&lt;=$B117)*($G$5/$B$5)+(AC117&gt;$B117)*0,IF(ROUND(AVERAGE($C117,$E117,$G117,$I117,$K117,$M117,$O117,$Q117,$S117,$U117,$W117,$Y117,$AA117,$AC117,$AE117),2)-$B117/2&lt;=AC117,IF(ROUND(AVERAGE($C117,$E117,$G117,$I117,$K117,$M117,$O117,$Q117,$S117,$U117,$W117,$Y117,$AA117,$AC117,$AE117),2)+$B117/2&gt;AC117,($G$5/$B$5),0),0))))</f>
        <v/>
      </c>
      <c r="AE117" s="141" t="str">
        <f>IF($AE$8="Habilitado",IF($A117="","",ROUND(VLOOKUP($A117,'Presupuesto Consolidado'!#REF!,6,FALSE),2)),"")</f>
        <v/>
      </c>
      <c r="AF117" s="142" t="str">
        <f t="shared" ref="AF117" si="1293">IF($A117="","",IF(AE117="","",IF($K$4="Media aritmética",(AE117&lt;=$B117)*($G$5/$B$5)+(AE117&gt;$B117)*0,IF(ROUND(AVERAGE($C117,$E117,$G117,$I117,$K117,$M117,$O117,$Q117,$S117,$U117,$W117,$Y117,$AA117,$AC117,$AE117),2)-$B117/2&lt;=AE117,IF(ROUND(AVERAGE($C117,$E117,$G117,$I117,$K117,$M117,$O117,$Q117,$S117,$U117,$W117,$Y117,$AA117,$AC117,$AE117),2)+$B117/2&gt;AE117,($G$5/$B$5),0),0))))</f>
        <v/>
      </c>
    </row>
    <row r="118" spans="1:32" s="135" customFormat="1" ht="21" customHeight="1">
      <c r="A118" s="132" t="str">
        <f>+'Presupuesto Consolidado'!A134</f>
        <v>12.3.30</v>
      </c>
      <c r="B118" s="140">
        <f t="shared" ref="B118" si="1294">IF(A118="","",IF($K$4="Media aritmética",ROUND(AVERAGE(C118,E118,G118,I118,K118,M118,O118,Q118,S118,U118,W118,Y118,AA118,AC118,AE118),2),ROUND(_xlfn.STDEV.P(C118,E118,G118,I118,K118,M118,O118,Q118,S118,U118,W118,Y118,AA118,AC118,AE118),2)))</f>
        <v>2082420</v>
      </c>
      <c r="C118" s="141">
        <f>IF($C$8="Habilitado",IF($A118="","",ROUND(VLOOKUP($A118,'Presupuesto Consolidado'!$A$9:$F$600,6,FALSE),2)),"")</f>
        <v>2082420</v>
      </c>
      <c r="D118" s="142">
        <f t="shared" ref="D118" si="1295">IF($A118="","",IF(C118="","",IF($K$4="Media aritmética",(C118&lt;=$B118)*($G$5/$B$5)+(C118&gt;$B118)*0,IF(ROUND(AVERAGE($C118,$E118,$G118,$I118,$K118,$M118,$O118,$Q118,$S118,$U118,$W118,$Y118,$AA118,$AC118,$AE118),2)-$B118/2&lt;=C118,IF(ROUND(AVERAGE($C118,$E118,$G118,$I118,$K118,$M118,$O118,$Q118,$S118,$U118,$W118,$Y118,$AA118,$AC118,$AE118),2)+$B118/2&gt;C118,($G$5/$B$5),0),0))))</f>
        <v>0.45714285714285713</v>
      </c>
      <c r="E118" s="141" t="str">
        <f>IF($E$8="Habilitado",IF($A118="","",ROUND(VLOOKUP($A118,'Presupuesto Consolidado'!$I$9:$N$600,6,FALSE),2)),"")</f>
        <v/>
      </c>
      <c r="F118" s="142" t="str">
        <f t="shared" ref="F118" si="1296">IF($A118="","",IF(E118="","",IF($K$4="Media aritmética",(E118&lt;=$B118)*($G$5/$B$5)+(E118&gt;$B118)*0,IF(ROUND(AVERAGE($C118,$E118,$G118,$I118,$K118,$M118,$O118,$Q118,$S118,$U118,$W118,$Y118,$AA118,$AC118,$AE118),2)-$B118/2&lt;=E118,IF(ROUND(AVERAGE($C118,$E118,$G118,$I118,$K118,$M118,$O118,$Q118,$S118,$U118,$W118,$Y118,$AA118,$AC118,$AE118),2)+$B118/2&gt;E118,($G$5/$B$5),0),0))))</f>
        <v/>
      </c>
      <c r="G118" s="141" t="str">
        <f>IF($G$8="Habilitado",IF($A118="","",ROUND(VLOOKUP($A118,'Presupuesto Consolidado'!$Q$9:$V$600,6,FALSE),2)),"")</f>
        <v/>
      </c>
      <c r="H118" s="142" t="str">
        <f t="shared" ref="H118" si="1297">IF($A118="","",IF(G118="","",IF($K$4="Media aritmética",(G118&lt;=$B118)*($G$5/$B$5)+(G118&gt;$B118)*0,IF(ROUND(AVERAGE($C118,$E118,$G118,$I118,$K118,$M118,$O118,$Q118,$S118,$U118,$W118,$Y118,$AA118,$AC118,$AE118),2)-$B118/2&lt;=G118,IF(ROUND(AVERAGE($C118,$E118,$G118,$I118,$K118,$M118,$O118,$Q118,$S118,$U118,$W118,$Y118,$AA118,$AC118,$AE118),2)+$B118/2&gt;G118,($G$5/$B$5),0),0))))</f>
        <v/>
      </c>
      <c r="I118" s="141" t="str">
        <f>IF($I$8="Habilitado",IF($A118="","",ROUND(VLOOKUP($A118,'Presupuesto Consolidado'!$Y$9:$AD$600,6,FALSE),2)),"")</f>
        <v/>
      </c>
      <c r="J118" s="142" t="str">
        <f t="shared" ref="J118" si="1298">IF($A118="","",IF(I118="","",IF($K$4="Media aritmética",(I118&lt;=$B118)*($G$5/$B$5)+(I118&gt;$B118)*0,IF(ROUND(AVERAGE($C118,$E118,$G118,$I118,$K118,$M118,$O118,$Q118,$S118,$U118,$W118,$Y118,$AA118,$AC118,$AE118),2)-$B118/2&lt;=I118,IF(ROUND(AVERAGE($C118,$E118,$G118,$I118,$K118,$M118,$O118,$Q118,$S118,$U118,$W118,$Y118,$AA118,$AC118,$AE118),2)+$B118/2&gt;I118,($G$5/$B$5),0),0))))</f>
        <v/>
      </c>
      <c r="K118" s="141" t="str">
        <f>IF($K$8="Habilitado",IF($A118="","",ROUND(VLOOKUP($A118,'Presupuesto Consolidado'!#REF!,6,FALSE),2)),"")</f>
        <v/>
      </c>
      <c r="L118" s="142" t="str">
        <f t="shared" ref="L118" si="1299">IF($A118="","",IF(K118="","",IF($K$4="Media aritmética",(K118&lt;=$B118)*($G$5/$B$5)+(K118&gt;$B118)*0,IF(ROUND(AVERAGE($C118,$E118,$G118,$I118,$K118,$M118,$O118,$Q118,$S118,$U118,$W118,$Y118,$AA118,$AC118,$AE118),2)-$B118/2&lt;=K118,IF(ROUND(AVERAGE($C118,$E118,$G118,$I118,$K118,$M118,$O118,$Q118,$S118,$U118,$W118,$Y118,$AA118,$AC118,$AE118),2)+$B118/2&gt;K118,($G$5/$B$5),0),0))))</f>
        <v/>
      </c>
      <c r="M118" s="141" t="str">
        <f>IF($M$8="Habilitado",IF($A118="","",ROUND(VLOOKUP($A118,'Presupuesto Consolidado'!#REF!,6,FALSE),2)),"")</f>
        <v/>
      </c>
      <c r="N118" s="142" t="str">
        <f t="shared" ref="N118" si="1300">IF($A118="","",IF(M118="","",IF($K$4="Media aritmética",(M118&lt;=$B118)*($G$5/$B$5)+(M118&gt;$B118)*0,IF(ROUND(AVERAGE($C118,$E118,$G118,$I118,$K118,$M118,$O118,$Q118,$S118,$U118,$W118,$Y118,$AA118,$AC118,$AE118),2)-$B118/2&lt;=M118,IF(ROUND(AVERAGE($C118,$E118,$G118,$I118,$K118,$M118,$O118,$Q118,$S118,$U118,$W118,$Y118,$AA118,$AC118,$AE118),2)+$B118/2&gt;M118,($G$5/$B$5),0),0))))</f>
        <v/>
      </c>
      <c r="O118" s="141" t="str">
        <f>IF($O$8="Habilitado",IF($A118="","",ROUND(VLOOKUP($A118,'Presupuesto Consolidado'!#REF!,6,FALSE),2)),"")</f>
        <v/>
      </c>
      <c r="P118" s="142" t="str">
        <f t="shared" ref="P118" si="1301">IF($A118="","",IF(O118="","",IF($K$4="Media aritmética",(O118&lt;=$B118)*($G$5/$B$5)+(O118&gt;$B118)*0,IF(ROUND(AVERAGE($C118,$E118,$G118,$I118,$K118,$M118,$O118,$Q118,$S118,$U118,$W118,$Y118,$AA118,$AC118,$AE118),2)-$B118/2&lt;=O118,IF(ROUND(AVERAGE($C118,$E118,$G118,$I118,$K118,$M118,$O118,$Q118,$S118,$U118,$W118,$Y118,$AA118,$AC118,$AE118),2)+$B118/2&gt;O118,($G$5/$B$5),0),0))))</f>
        <v/>
      </c>
      <c r="Q118" s="141" t="str">
        <f>IF($Q$8="Habilitado",IF($A118="","",ROUND(VLOOKUP($A118,'Presupuesto Consolidado'!#REF!,6,FALSE),2)),"")</f>
        <v/>
      </c>
      <c r="R118" s="142" t="str">
        <f t="shared" ref="R118" si="1302">IF($A118="","",IF(Q118="","",IF($K$4="Media aritmética",(Q118&lt;=$B118)*($G$5/$B$5)+(Q118&gt;$B118)*0,IF(ROUND(AVERAGE($C118,$E118,$G118,$I118,$K118,$M118,$O118,$Q118,$S118,$U118,$W118,$Y118,$AA118,$AC118,$AE118),2)-$B118/2&lt;=Q118,IF(ROUND(AVERAGE($C118,$E118,$G118,$I118,$K118,$M118,$O118,$Q118,$S118,$U118,$W118,$Y118,$AA118,$AC118,$AE118),2)+$B118/2&gt;Q118,($G$5/$B$5),0),0))))</f>
        <v/>
      </c>
      <c r="S118" s="141" t="str">
        <f>IF($S$8="Habilitado",IF($A118="","",ROUND(VLOOKUP($A118,'Presupuesto Consolidado'!#REF!,6,FALSE),2)),"")</f>
        <v/>
      </c>
      <c r="T118" s="142" t="str">
        <f t="shared" ref="T118" si="1303">IF($A118="","",IF(S118="","",IF($K$4="Media aritmética",(S118&lt;=$B118)*($G$5/$B$5)+(S118&gt;$B118)*0,IF(ROUND(AVERAGE($C118,$E118,$G118,$I118,$K118,$M118,$O118,$Q118,$S118,$U118,$W118,$Y118,$AA118,$AC118,$AE118),2)-$B118/2&lt;=S118,IF(ROUND(AVERAGE($C118,$E118,$G118,$I118,$K118,$M118,$O118,$Q118,$S118,$U118,$W118,$Y118,$AA118,$AC118,$AE118),2)+$B118/2&gt;S118,($G$5/$B$5),0),0))))</f>
        <v/>
      </c>
      <c r="U118" s="141" t="str">
        <f>IF($U$8="Habilitado",IF($A118="","",ROUND(VLOOKUP($A118,'Presupuesto Consolidado'!#REF!,6,FALSE),2)),"")</f>
        <v/>
      </c>
      <c r="V118" s="142" t="str">
        <f t="shared" ref="V118" si="1304">IF($A118="","",IF(U118="","",IF($K$4="Media aritmética",(U118&lt;=$B118)*($G$5/$B$5)+(U118&gt;$B118)*0,IF(ROUND(AVERAGE($C118,$E118,$G118,$I118,$K118,$M118,$O118,$Q118,$S118,$U118,$W118,$Y118,$AA118,$AC118,$AE118),2)-$B118/2&lt;=U118,IF(ROUND(AVERAGE($C118,$E118,$G118,$I118,$K118,$M118,$O118,$Q118,$S118,$U118,$W118,$Y118,$AA118,$AC118,$AE118),2)+$B118/2&gt;U118,($G$5/$B$5),0),0))))</f>
        <v/>
      </c>
      <c r="W118" s="141" t="str">
        <f>IF($W$8="Habilitado",IF($A118="","",ROUND(VLOOKUP($A118,'Presupuesto Consolidado'!#REF!,6,FALSE),2)),"")</f>
        <v/>
      </c>
      <c r="X118" s="142" t="str">
        <f t="shared" ref="X118" si="1305">IF($A118="","",IF(W118="","",IF($K$4="Media aritmética",(W118&lt;=$B118)*($G$5/$B$5)+(W118&gt;$B118)*0,IF(ROUND(AVERAGE($C118,$E118,$G118,$I118,$K118,$M118,$O118,$Q118,$S118,$U118,$W118,$Y118,$AA118,$AC118,$AE118),2)-$B118/2&lt;=W118,IF(ROUND(AVERAGE($C118,$E118,$G118,$I118,$K118,$M118,$O118,$Q118,$S118,$U118,$W118,$Y118,$AA118,$AC118,$AE118),2)+$B118/2&gt;W118,($G$5/$B$5),0),0))))</f>
        <v/>
      </c>
      <c r="Y118" s="141" t="str">
        <f>IF($Y$8="Habilitado",IF($A118="","",ROUND(VLOOKUP($A118,'Presupuesto Consolidado'!#REF!,6,FALSE),2)),"")</f>
        <v/>
      </c>
      <c r="Z118" s="142" t="str">
        <f t="shared" ref="Z118" si="1306">IF($A118="","",IF(Y118="","",IF($K$4="Media aritmética",(Y118&lt;=$B118)*($G$5/$B$5)+(Y118&gt;$B118)*0,IF(ROUND(AVERAGE($C118,$E118,$G118,$I118,$K118,$M118,$O118,$Q118,$S118,$U118,$W118,$Y118,$AA118,$AC118,$AE118),2)-$B118/2&lt;=Y118,IF(ROUND(AVERAGE($C118,$E118,$G118,$I118,$K118,$M118,$O118,$Q118,$S118,$U118,$W118,$Y118,$AA118,$AC118,$AE118),2)+$B118/2&gt;Y118,($G$5/$B$5),0),0))))</f>
        <v/>
      </c>
      <c r="AA118" s="141" t="str">
        <f>IF($AA$8="Habilitado",IF($A118="","",ROUND(VLOOKUP($A118,'Presupuesto Consolidado'!#REF!,6,FALSE),2)),"")</f>
        <v/>
      </c>
      <c r="AB118" s="142" t="str">
        <f t="shared" ref="AB118" si="1307">IF($A118="","",IF(AA118="","",IF($K$4="Media aritmética",(AA118&lt;=$B118)*($G$5/$B$5)+(AA118&gt;$B118)*0,IF(ROUND(AVERAGE($C118,$E118,$G118,$I118,$K118,$M118,$O118,$Q118,$S118,$U118,$W118,$Y118,$AA118,$AC118,$AE118),2)-$B118/2&lt;=AA118,IF(ROUND(AVERAGE($C118,$E118,$G118,$I118,$K118,$M118,$O118,$Q118,$S118,$U118,$W118,$Y118,$AA118,$AC118,$AE118),2)+$B118/2&gt;AA118,($G$5/$B$5),0),0))))</f>
        <v/>
      </c>
      <c r="AC118" s="141" t="str">
        <f>IF($AC$8="Habilitado",IF($A118="","",ROUND(VLOOKUP($A118,'Presupuesto Consolidado'!#REF!,6,FALSE),2)),"")</f>
        <v/>
      </c>
      <c r="AD118" s="142" t="str">
        <f t="shared" ref="AD118" si="1308">IF($A118="","",IF(AC118="","",IF($K$4="Media aritmética",(AC118&lt;=$B118)*($G$5/$B$5)+(AC118&gt;$B118)*0,IF(ROUND(AVERAGE($C118,$E118,$G118,$I118,$K118,$M118,$O118,$Q118,$S118,$U118,$W118,$Y118,$AA118,$AC118,$AE118),2)-$B118/2&lt;=AC118,IF(ROUND(AVERAGE($C118,$E118,$G118,$I118,$K118,$M118,$O118,$Q118,$S118,$U118,$W118,$Y118,$AA118,$AC118,$AE118),2)+$B118/2&gt;AC118,($G$5/$B$5),0),0))))</f>
        <v/>
      </c>
      <c r="AE118" s="141" t="str">
        <f>IF($AE$8="Habilitado",IF($A118="","",ROUND(VLOOKUP($A118,'Presupuesto Consolidado'!#REF!,6,FALSE),2)),"")</f>
        <v/>
      </c>
      <c r="AF118" s="142" t="str">
        <f t="shared" ref="AF118" si="1309">IF($A118="","",IF(AE118="","",IF($K$4="Media aritmética",(AE118&lt;=$B118)*($G$5/$B$5)+(AE118&gt;$B118)*0,IF(ROUND(AVERAGE($C118,$E118,$G118,$I118,$K118,$M118,$O118,$Q118,$S118,$U118,$W118,$Y118,$AA118,$AC118,$AE118),2)-$B118/2&lt;=AE118,IF(ROUND(AVERAGE($C118,$E118,$G118,$I118,$K118,$M118,$O118,$Q118,$S118,$U118,$W118,$Y118,$AA118,$AC118,$AE118),2)+$B118/2&gt;AE118,($G$5/$B$5),0),0))))</f>
        <v/>
      </c>
    </row>
    <row r="119" spans="1:32" s="135" customFormat="1" ht="21" customHeight="1">
      <c r="A119" s="132" t="str">
        <f>+'Presupuesto Consolidado'!A135</f>
        <v>12.3.31</v>
      </c>
      <c r="B119" s="140">
        <f t="shared" ref="B119" si="1310">IF(A119="","",IF($K$4="Media aritmética",ROUND(AVERAGE(C119,E119,G119,I119,K119,M119,O119,Q119,S119,U119,W119,Y119,AA119,AC119,AE119),2),ROUND(_xlfn.STDEV.P(C119,E119,G119,I119,K119,M119,O119,Q119,S119,U119,W119,Y119,AA119,AC119,AE119),2)))</f>
        <v>419175</v>
      </c>
      <c r="C119" s="141">
        <f>IF($C$8="Habilitado",IF($A119="","",ROUND(VLOOKUP($A119,'Presupuesto Consolidado'!$A$9:$F$600,6,FALSE),2)),"")</f>
        <v>419175</v>
      </c>
      <c r="D119" s="142">
        <f t="shared" ref="D119" si="1311">IF($A119="","",IF(C119="","",IF($K$4="Media aritmética",(C119&lt;=$B119)*($G$5/$B$5)+(C119&gt;$B119)*0,IF(ROUND(AVERAGE($C119,$E119,$G119,$I119,$K119,$M119,$O119,$Q119,$S119,$U119,$W119,$Y119,$AA119,$AC119,$AE119),2)-$B119/2&lt;=C119,IF(ROUND(AVERAGE($C119,$E119,$G119,$I119,$K119,$M119,$O119,$Q119,$S119,$U119,$W119,$Y119,$AA119,$AC119,$AE119),2)+$B119/2&gt;C119,($G$5/$B$5),0),0))))</f>
        <v>0.45714285714285713</v>
      </c>
      <c r="E119" s="141" t="str">
        <f>IF($E$8="Habilitado",IF($A119="","",ROUND(VLOOKUP($A119,'Presupuesto Consolidado'!$I$9:$N$600,6,FALSE),2)),"")</f>
        <v/>
      </c>
      <c r="F119" s="142" t="str">
        <f t="shared" ref="F119" si="1312">IF($A119="","",IF(E119="","",IF($K$4="Media aritmética",(E119&lt;=$B119)*($G$5/$B$5)+(E119&gt;$B119)*0,IF(ROUND(AVERAGE($C119,$E119,$G119,$I119,$K119,$M119,$O119,$Q119,$S119,$U119,$W119,$Y119,$AA119,$AC119,$AE119),2)-$B119/2&lt;=E119,IF(ROUND(AVERAGE($C119,$E119,$G119,$I119,$K119,$M119,$O119,$Q119,$S119,$U119,$W119,$Y119,$AA119,$AC119,$AE119),2)+$B119/2&gt;E119,($G$5/$B$5),0),0))))</f>
        <v/>
      </c>
      <c r="G119" s="141" t="str">
        <f>IF($G$8="Habilitado",IF($A119="","",ROUND(VLOOKUP($A119,'Presupuesto Consolidado'!$Q$9:$V$600,6,FALSE),2)),"")</f>
        <v/>
      </c>
      <c r="H119" s="142" t="str">
        <f t="shared" ref="H119" si="1313">IF($A119="","",IF(G119="","",IF($K$4="Media aritmética",(G119&lt;=$B119)*($G$5/$B$5)+(G119&gt;$B119)*0,IF(ROUND(AVERAGE($C119,$E119,$G119,$I119,$K119,$M119,$O119,$Q119,$S119,$U119,$W119,$Y119,$AA119,$AC119,$AE119),2)-$B119/2&lt;=G119,IF(ROUND(AVERAGE($C119,$E119,$G119,$I119,$K119,$M119,$O119,$Q119,$S119,$U119,$W119,$Y119,$AA119,$AC119,$AE119),2)+$B119/2&gt;G119,($G$5/$B$5),0),0))))</f>
        <v/>
      </c>
      <c r="I119" s="141" t="str">
        <f>IF($I$8="Habilitado",IF($A119="","",ROUND(VLOOKUP($A119,'Presupuesto Consolidado'!$Y$9:$AD$600,6,FALSE),2)),"")</f>
        <v/>
      </c>
      <c r="J119" s="142" t="str">
        <f t="shared" ref="J119" si="1314">IF($A119="","",IF(I119="","",IF($K$4="Media aritmética",(I119&lt;=$B119)*($G$5/$B$5)+(I119&gt;$B119)*0,IF(ROUND(AVERAGE($C119,$E119,$G119,$I119,$K119,$M119,$O119,$Q119,$S119,$U119,$W119,$Y119,$AA119,$AC119,$AE119),2)-$B119/2&lt;=I119,IF(ROUND(AVERAGE($C119,$E119,$G119,$I119,$K119,$M119,$O119,$Q119,$S119,$U119,$W119,$Y119,$AA119,$AC119,$AE119),2)+$B119/2&gt;I119,($G$5/$B$5),0),0))))</f>
        <v/>
      </c>
      <c r="K119" s="141" t="str">
        <f>IF($K$8="Habilitado",IF($A119="","",ROUND(VLOOKUP($A119,'Presupuesto Consolidado'!#REF!,6,FALSE),2)),"")</f>
        <v/>
      </c>
      <c r="L119" s="142" t="str">
        <f t="shared" ref="L119" si="1315">IF($A119="","",IF(K119="","",IF($K$4="Media aritmética",(K119&lt;=$B119)*($G$5/$B$5)+(K119&gt;$B119)*0,IF(ROUND(AVERAGE($C119,$E119,$G119,$I119,$K119,$M119,$O119,$Q119,$S119,$U119,$W119,$Y119,$AA119,$AC119,$AE119),2)-$B119/2&lt;=K119,IF(ROUND(AVERAGE($C119,$E119,$G119,$I119,$K119,$M119,$O119,$Q119,$S119,$U119,$W119,$Y119,$AA119,$AC119,$AE119),2)+$B119/2&gt;K119,($G$5/$B$5),0),0))))</f>
        <v/>
      </c>
      <c r="M119" s="141" t="str">
        <f>IF($M$8="Habilitado",IF($A119="","",ROUND(VLOOKUP($A119,'Presupuesto Consolidado'!#REF!,6,FALSE),2)),"")</f>
        <v/>
      </c>
      <c r="N119" s="142" t="str">
        <f t="shared" ref="N119" si="1316">IF($A119="","",IF(M119="","",IF($K$4="Media aritmética",(M119&lt;=$B119)*($G$5/$B$5)+(M119&gt;$B119)*0,IF(ROUND(AVERAGE($C119,$E119,$G119,$I119,$K119,$M119,$O119,$Q119,$S119,$U119,$W119,$Y119,$AA119,$AC119,$AE119),2)-$B119/2&lt;=M119,IF(ROUND(AVERAGE($C119,$E119,$G119,$I119,$K119,$M119,$O119,$Q119,$S119,$U119,$W119,$Y119,$AA119,$AC119,$AE119),2)+$B119/2&gt;M119,($G$5/$B$5),0),0))))</f>
        <v/>
      </c>
      <c r="O119" s="141" t="str">
        <f>IF($O$8="Habilitado",IF($A119="","",ROUND(VLOOKUP($A119,'Presupuesto Consolidado'!#REF!,6,FALSE),2)),"")</f>
        <v/>
      </c>
      <c r="P119" s="142" t="str">
        <f t="shared" ref="P119" si="1317">IF($A119="","",IF(O119="","",IF($K$4="Media aritmética",(O119&lt;=$B119)*($G$5/$B$5)+(O119&gt;$B119)*0,IF(ROUND(AVERAGE($C119,$E119,$G119,$I119,$K119,$M119,$O119,$Q119,$S119,$U119,$W119,$Y119,$AA119,$AC119,$AE119),2)-$B119/2&lt;=O119,IF(ROUND(AVERAGE($C119,$E119,$G119,$I119,$K119,$M119,$O119,$Q119,$S119,$U119,$W119,$Y119,$AA119,$AC119,$AE119),2)+$B119/2&gt;O119,($G$5/$B$5),0),0))))</f>
        <v/>
      </c>
      <c r="Q119" s="141" t="str">
        <f>IF($Q$8="Habilitado",IF($A119="","",ROUND(VLOOKUP($A119,'Presupuesto Consolidado'!#REF!,6,FALSE),2)),"")</f>
        <v/>
      </c>
      <c r="R119" s="142" t="str">
        <f t="shared" ref="R119" si="1318">IF($A119="","",IF(Q119="","",IF($K$4="Media aritmética",(Q119&lt;=$B119)*($G$5/$B$5)+(Q119&gt;$B119)*0,IF(ROUND(AVERAGE($C119,$E119,$G119,$I119,$K119,$M119,$O119,$Q119,$S119,$U119,$W119,$Y119,$AA119,$AC119,$AE119),2)-$B119/2&lt;=Q119,IF(ROUND(AVERAGE($C119,$E119,$G119,$I119,$K119,$M119,$O119,$Q119,$S119,$U119,$W119,$Y119,$AA119,$AC119,$AE119),2)+$B119/2&gt;Q119,($G$5/$B$5),0),0))))</f>
        <v/>
      </c>
      <c r="S119" s="141" t="str">
        <f>IF($S$8="Habilitado",IF($A119="","",ROUND(VLOOKUP($A119,'Presupuesto Consolidado'!#REF!,6,FALSE),2)),"")</f>
        <v/>
      </c>
      <c r="T119" s="142" t="str">
        <f t="shared" ref="T119" si="1319">IF($A119="","",IF(S119="","",IF($K$4="Media aritmética",(S119&lt;=$B119)*($G$5/$B$5)+(S119&gt;$B119)*0,IF(ROUND(AVERAGE($C119,$E119,$G119,$I119,$K119,$M119,$O119,$Q119,$S119,$U119,$W119,$Y119,$AA119,$AC119,$AE119),2)-$B119/2&lt;=S119,IF(ROUND(AVERAGE($C119,$E119,$G119,$I119,$K119,$M119,$O119,$Q119,$S119,$U119,$W119,$Y119,$AA119,$AC119,$AE119),2)+$B119/2&gt;S119,($G$5/$B$5),0),0))))</f>
        <v/>
      </c>
      <c r="U119" s="141" t="str">
        <f>IF($U$8="Habilitado",IF($A119="","",ROUND(VLOOKUP($A119,'Presupuesto Consolidado'!#REF!,6,FALSE),2)),"")</f>
        <v/>
      </c>
      <c r="V119" s="142" t="str">
        <f t="shared" ref="V119" si="1320">IF($A119="","",IF(U119="","",IF($K$4="Media aritmética",(U119&lt;=$B119)*($G$5/$B$5)+(U119&gt;$B119)*0,IF(ROUND(AVERAGE($C119,$E119,$G119,$I119,$K119,$M119,$O119,$Q119,$S119,$U119,$W119,$Y119,$AA119,$AC119,$AE119),2)-$B119/2&lt;=U119,IF(ROUND(AVERAGE($C119,$E119,$G119,$I119,$K119,$M119,$O119,$Q119,$S119,$U119,$W119,$Y119,$AA119,$AC119,$AE119),2)+$B119/2&gt;U119,($G$5/$B$5),0),0))))</f>
        <v/>
      </c>
      <c r="W119" s="141" t="str">
        <f>IF($W$8="Habilitado",IF($A119="","",ROUND(VLOOKUP($A119,'Presupuesto Consolidado'!#REF!,6,FALSE),2)),"")</f>
        <v/>
      </c>
      <c r="X119" s="142" t="str">
        <f t="shared" ref="X119" si="1321">IF($A119="","",IF(W119="","",IF($K$4="Media aritmética",(W119&lt;=$B119)*($G$5/$B$5)+(W119&gt;$B119)*0,IF(ROUND(AVERAGE($C119,$E119,$G119,$I119,$K119,$M119,$O119,$Q119,$S119,$U119,$W119,$Y119,$AA119,$AC119,$AE119),2)-$B119/2&lt;=W119,IF(ROUND(AVERAGE($C119,$E119,$G119,$I119,$K119,$M119,$O119,$Q119,$S119,$U119,$W119,$Y119,$AA119,$AC119,$AE119),2)+$B119/2&gt;W119,($G$5/$B$5),0),0))))</f>
        <v/>
      </c>
      <c r="Y119" s="141" t="str">
        <f>IF($Y$8="Habilitado",IF($A119="","",ROUND(VLOOKUP($A119,'Presupuesto Consolidado'!#REF!,6,FALSE),2)),"")</f>
        <v/>
      </c>
      <c r="Z119" s="142" t="str">
        <f t="shared" ref="Z119" si="1322">IF($A119="","",IF(Y119="","",IF($K$4="Media aritmética",(Y119&lt;=$B119)*($G$5/$B$5)+(Y119&gt;$B119)*0,IF(ROUND(AVERAGE($C119,$E119,$G119,$I119,$K119,$M119,$O119,$Q119,$S119,$U119,$W119,$Y119,$AA119,$AC119,$AE119),2)-$B119/2&lt;=Y119,IF(ROUND(AVERAGE($C119,$E119,$G119,$I119,$K119,$M119,$O119,$Q119,$S119,$U119,$W119,$Y119,$AA119,$AC119,$AE119),2)+$B119/2&gt;Y119,($G$5/$B$5),0),0))))</f>
        <v/>
      </c>
      <c r="AA119" s="141" t="str">
        <f>IF($AA$8="Habilitado",IF($A119="","",ROUND(VLOOKUP($A119,'Presupuesto Consolidado'!#REF!,6,FALSE),2)),"")</f>
        <v/>
      </c>
      <c r="AB119" s="142" t="str">
        <f t="shared" ref="AB119" si="1323">IF($A119="","",IF(AA119="","",IF($K$4="Media aritmética",(AA119&lt;=$B119)*($G$5/$B$5)+(AA119&gt;$B119)*0,IF(ROUND(AVERAGE($C119,$E119,$G119,$I119,$K119,$M119,$O119,$Q119,$S119,$U119,$W119,$Y119,$AA119,$AC119,$AE119),2)-$B119/2&lt;=AA119,IF(ROUND(AVERAGE($C119,$E119,$G119,$I119,$K119,$M119,$O119,$Q119,$S119,$U119,$W119,$Y119,$AA119,$AC119,$AE119),2)+$B119/2&gt;AA119,($G$5/$B$5),0),0))))</f>
        <v/>
      </c>
      <c r="AC119" s="141" t="str">
        <f>IF($AC$8="Habilitado",IF($A119="","",ROUND(VLOOKUP($A119,'Presupuesto Consolidado'!#REF!,6,FALSE),2)),"")</f>
        <v/>
      </c>
      <c r="AD119" s="142" t="str">
        <f t="shared" ref="AD119" si="1324">IF($A119="","",IF(AC119="","",IF($K$4="Media aritmética",(AC119&lt;=$B119)*($G$5/$B$5)+(AC119&gt;$B119)*0,IF(ROUND(AVERAGE($C119,$E119,$G119,$I119,$K119,$M119,$O119,$Q119,$S119,$U119,$W119,$Y119,$AA119,$AC119,$AE119),2)-$B119/2&lt;=AC119,IF(ROUND(AVERAGE($C119,$E119,$G119,$I119,$K119,$M119,$O119,$Q119,$S119,$U119,$W119,$Y119,$AA119,$AC119,$AE119),2)+$B119/2&gt;AC119,($G$5/$B$5),0),0))))</f>
        <v/>
      </c>
      <c r="AE119" s="141" t="str">
        <f>IF($AE$8="Habilitado",IF($A119="","",ROUND(VLOOKUP($A119,'Presupuesto Consolidado'!#REF!,6,FALSE),2)),"")</f>
        <v/>
      </c>
      <c r="AF119" s="142" t="str">
        <f t="shared" ref="AF119" si="1325">IF($A119="","",IF(AE119="","",IF($K$4="Media aritmética",(AE119&lt;=$B119)*($G$5/$B$5)+(AE119&gt;$B119)*0,IF(ROUND(AVERAGE($C119,$E119,$G119,$I119,$K119,$M119,$O119,$Q119,$S119,$U119,$W119,$Y119,$AA119,$AC119,$AE119),2)-$B119/2&lt;=AE119,IF(ROUND(AVERAGE($C119,$E119,$G119,$I119,$K119,$M119,$O119,$Q119,$S119,$U119,$W119,$Y119,$AA119,$AC119,$AE119),2)+$B119/2&gt;AE119,($G$5/$B$5),0),0))))</f>
        <v/>
      </c>
    </row>
    <row r="120" spans="1:32" s="135" customFormat="1" ht="21" customHeight="1">
      <c r="A120" s="132" t="str">
        <f>+'Presupuesto Consolidado'!A136</f>
        <v>12.3.32</v>
      </c>
      <c r="B120" s="140">
        <f t="shared" ref="B120" si="1326">IF(A120="","",IF($K$4="Media aritmética",ROUND(AVERAGE(C120,E120,G120,I120,K120,M120,O120,Q120,S120,U120,W120,Y120,AA120,AC120,AE120),2),ROUND(_xlfn.STDEV.P(C120,E120,G120,I120,K120,M120,O120,Q120,S120,U120,W120,Y120,AA120,AC120,AE120),2)))</f>
        <v>93150</v>
      </c>
      <c r="C120" s="141">
        <f>IF($C$8="Habilitado",IF($A120="","",ROUND(VLOOKUP($A120,'Presupuesto Consolidado'!$A$9:$F$600,6,FALSE),2)),"")</f>
        <v>93150</v>
      </c>
      <c r="D120" s="142">
        <f t="shared" ref="D120" si="1327">IF($A120="","",IF(C120="","",IF($K$4="Media aritmética",(C120&lt;=$B120)*($G$5/$B$5)+(C120&gt;$B120)*0,IF(ROUND(AVERAGE($C120,$E120,$G120,$I120,$K120,$M120,$O120,$Q120,$S120,$U120,$W120,$Y120,$AA120,$AC120,$AE120),2)-$B120/2&lt;=C120,IF(ROUND(AVERAGE($C120,$E120,$G120,$I120,$K120,$M120,$O120,$Q120,$S120,$U120,$W120,$Y120,$AA120,$AC120,$AE120),2)+$B120/2&gt;C120,($G$5/$B$5),0),0))))</f>
        <v>0.45714285714285713</v>
      </c>
      <c r="E120" s="141" t="str">
        <f>IF($E$8="Habilitado",IF($A120="","",ROUND(VLOOKUP($A120,'Presupuesto Consolidado'!$I$9:$N$600,6,FALSE),2)),"")</f>
        <v/>
      </c>
      <c r="F120" s="142" t="str">
        <f t="shared" ref="F120" si="1328">IF($A120="","",IF(E120="","",IF($K$4="Media aritmética",(E120&lt;=$B120)*($G$5/$B$5)+(E120&gt;$B120)*0,IF(ROUND(AVERAGE($C120,$E120,$G120,$I120,$K120,$M120,$O120,$Q120,$S120,$U120,$W120,$Y120,$AA120,$AC120,$AE120),2)-$B120/2&lt;=E120,IF(ROUND(AVERAGE($C120,$E120,$G120,$I120,$K120,$M120,$O120,$Q120,$S120,$U120,$W120,$Y120,$AA120,$AC120,$AE120),2)+$B120/2&gt;E120,($G$5/$B$5),0),0))))</f>
        <v/>
      </c>
      <c r="G120" s="141" t="str">
        <f>IF($G$8="Habilitado",IF($A120="","",ROUND(VLOOKUP($A120,'Presupuesto Consolidado'!$Q$9:$V$600,6,FALSE),2)),"")</f>
        <v/>
      </c>
      <c r="H120" s="142" t="str">
        <f t="shared" ref="H120" si="1329">IF($A120="","",IF(G120="","",IF($K$4="Media aritmética",(G120&lt;=$B120)*($G$5/$B$5)+(G120&gt;$B120)*0,IF(ROUND(AVERAGE($C120,$E120,$G120,$I120,$K120,$M120,$O120,$Q120,$S120,$U120,$W120,$Y120,$AA120,$AC120,$AE120),2)-$B120/2&lt;=G120,IF(ROUND(AVERAGE($C120,$E120,$G120,$I120,$K120,$M120,$O120,$Q120,$S120,$U120,$W120,$Y120,$AA120,$AC120,$AE120),2)+$B120/2&gt;G120,($G$5/$B$5),0),0))))</f>
        <v/>
      </c>
      <c r="I120" s="141" t="str">
        <f>IF($I$8="Habilitado",IF($A120="","",ROUND(VLOOKUP($A120,'Presupuesto Consolidado'!$Y$9:$AD$600,6,FALSE),2)),"")</f>
        <v/>
      </c>
      <c r="J120" s="142" t="str">
        <f t="shared" ref="J120" si="1330">IF($A120="","",IF(I120="","",IF($K$4="Media aritmética",(I120&lt;=$B120)*($G$5/$B$5)+(I120&gt;$B120)*0,IF(ROUND(AVERAGE($C120,$E120,$G120,$I120,$K120,$M120,$O120,$Q120,$S120,$U120,$W120,$Y120,$AA120,$AC120,$AE120),2)-$B120/2&lt;=I120,IF(ROUND(AVERAGE($C120,$E120,$G120,$I120,$K120,$M120,$O120,$Q120,$S120,$U120,$W120,$Y120,$AA120,$AC120,$AE120),2)+$B120/2&gt;I120,($G$5/$B$5),0),0))))</f>
        <v/>
      </c>
      <c r="K120" s="141" t="str">
        <f>IF($K$8="Habilitado",IF($A120="","",ROUND(VLOOKUP($A120,'Presupuesto Consolidado'!#REF!,6,FALSE),2)),"")</f>
        <v/>
      </c>
      <c r="L120" s="142" t="str">
        <f t="shared" ref="L120" si="1331">IF($A120="","",IF(K120="","",IF($K$4="Media aritmética",(K120&lt;=$B120)*($G$5/$B$5)+(K120&gt;$B120)*0,IF(ROUND(AVERAGE($C120,$E120,$G120,$I120,$K120,$M120,$O120,$Q120,$S120,$U120,$W120,$Y120,$AA120,$AC120,$AE120),2)-$B120/2&lt;=K120,IF(ROUND(AVERAGE($C120,$E120,$G120,$I120,$K120,$M120,$O120,$Q120,$S120,$U120,$W120,$Y120,$AA120,$AC120,$AE120),2)+$B120/2&gt;K120,($G$5/$B$5),0),0))))</f>
        <v/>
      </c>
      <c r="M120" s="141" t="str">
        <f>IF($M$8="Habilitado",IF($A120="","",ROUND(VLOOKUP($A120,'Presupuesto Consolidado'!#REF!,6,FALSE),2)),"")</f>
        <v/>
      </c>
      <c r="N120" s="142" t="str">
        <f t="shared" ref="N120" si="1332">IF($A120="","",IF(M120="","",IF($K$4="Media aritmética",(M120&lt;=$B120)*($G$5/$B$5)+(M120&gt;$B120)*0,IF(ROUND(AVERAGE($C120,$E120,$G120,$I120,$K120,$M120,$O120,$Q120,$S120,$U120,$W120,$Y120,$AA120,$AC120,$AE120),2)-$B120/2&lt;=M120,IF(ROUND(AVERAGE($C120,$E120,$G120,$I120,$K120,$M120,$O120,$Q120,$S120,$U120,$W120,$Y120,$AA120,$AC120,$AE120),2)+$B120/2&gt;M120,($G$5/$B$5),0),0))))</f>
        <v/>
      </c>
      <c r="O120" s="141" t="str">
        <f>IF($O$8="Habilitado",IF($A120="","",ROUND(VLOOKUP($A120,'Presupuesto Consolidado'!#REF!,6,FALSE),2)),"")</f>
        <v/>
      </c>
      <c r="P120" s="142" t="str">
        <f t="shared" ref="P120" si="1333">IF($A120="","",IF(O120="","",IF($K$4="Media aritmética",(O120&lt;=$B120)*($G$5/$B$5)+(O120&gt;$B120)*0,IF(ROUND(AVERAGE($C120,$E120,$G120,$I120,$K120,$M120,$O120,$Q120,$S120,$U120,$W120,$Y120,$AA120,$AC120,$AE120),2)-$B120/2&lt;=O120,IF(ROUND(AVERAGE($C120,$E120,$G120,$I120,$K120,$M120,$O120,$Q120,$S120,$U120,$W120,$Y120,$AA120,$AC120,$AE120),2)+$B120/2&gt;O120,($G$5/$B$5),0),0))))</f>
        <v/>
      </c>
      <c r="Q120" s="141" t="str">
        <f>IF($Q$8="Habilitado",IF($A120="","",ROUND(VLOOKUP($A120,'Presupuesto Consolidado'!#REF!,6,FALSE),2)),"")</f>
        <v/>
      </c>
      <c r="R120" s="142" t="str">
        <f t="shared" ref="R120" si="1334">IF($A120="","",IF(Q120="","",IF($K$4="Media aritmética",(Q120&lt;=$B120)*($G$5/$B$5)+(Q120&gt;$B120)*0,IF(ROUND(AVERAGE($C120,$E120,$G120,$I120,$K120,$M120,$O120,$Q120,$S120,$U120,$W120,$Y120,$AA120,$AC120,$AE120),2)-$B120/2&lt;=Q120,IF(ROUND(AVERAGE($C120,$E120,$G120,$I120,$K120,$M120,$O120,$Q120,$S120,$U120,$W120,$Y120,$AA120,$AC120,$AE120),2)+$B120/2&gt;Q120,($G$5/$B$5),0),0))))</f>
        <v/>
      </c>
      <c r="S120" s="141" t="str">
        <f>IF($S$8="Habilitado",IF($A120="","",ROUND(VLOOKUP($A120,'Presupuesto Consolidado'!#REF!,6,FALSE),2)),"")</f>
        <v/>
      </c>
      <c r="T120" s="142" t="str">
        <f t="shared" ref="T120" si="1335">IF($A120="","",IF(S120="","",IF($K$4="Media aritmética",(S120&lt;=$B120)*($G$5/$B$5)+(S120&gt;$B120)*0,IF(ROUND(AVERAGE($C120,$E120,$G120,$I120,$K120,$M120,$O120,$Q120,$S120,$U120,$W120,$Y120,$AA120,$AC120,$AE120),2)-$B120/2&lt;=S120,IF(ROUND(AVERAGE($C120,$E120,$G120,$I120,$K120,$M120,$O120,$Q120,$S120,$U120,$W120,$Y120,$AA120,$AC120,$AE120),2)+$B120/2&gt;S120,($G$5/$B$5),0),0))))</f>
        <v/>
      </c>
      <c r="U120" s="141" t="str">
        <f>IF($U$8="Habilitado",IF($A120="","",ROUND(VLOOKUP($A120,'Presupuesto Consolidado'!#REF!,6,FALSE),2)),"")</f>
        <v/>
      </c>
      <c r="V120" s="142" t="str">
        <f t="shared" ref="V120" si="1336">IF($A120="","",IF(U120="","",IF($K$4="Media aritmética",(U120&lt;=$B120)*($G$5/$B$5)+(U120&gt;$B120)*0,IF(ROUND(AVERAGE($C120,$E120,$G120,$I120,$K120,$M120,$O120,$Q120,$S120,$U120,$W120,$Y120,$AA120,$AC120,$AE120),2)-$B120/2&lt;=U120,IF(ROUND(AVERAGE($C120,$E120,$G120,$I120,$K120,$M120,$O120,$Q120,$S120,$U120,$W120,$Y120,$AA120,$AC120,$AE120),2)+$B120/2&gt;U120,($G$5/$B$5),0),0))))</f>
        <v/>
      </c>
      <c r="W120" s="141" t="str">
        <f>IF($W$8="Habilitado",IF($A120="","",ROUND(VLOOKUP($A120,'Presupuesto Consolidado'!#REF!,6,FALSE),2)),"")</f>
        <v/>
      </c>
      <c r="X120" s="142" t="str">
        <f t="shared" ref="X120" si="1337">IF($A120="","",IF(W120="","",IF($K$4="Media aritmética",(W120&lt;=$B120)*($G$5/$B$5)+(W120&gt;$B120)*0,IF(ROUND(AVERAGE($C120,$E120,$G120,$I120,$K120,$M120,$O120,$Q120,$S120,$U120,$W120,$Y120,$AA120,$AC120,$AE120),2)-$B120/2&lt;=W120,IF(ROUND(AVERAGE($C120,$E120,$G120,$I120,$K120,$M120,$O120,$Q120,$S120,$U120,$W120,$Y120,$AA120,$AC120,$AE120),2)+$B120/2&gt;W120,($G$5/$B$5),0),0))))</f>
        <v/>
      </c>
      <c r="Y120" s="141" t="str">
        <f>IF($Y$8="Habilitado",IF($A120="","",ROUND(VLOOKUP($A120,'Presupuesto Consolidado'!#REF!,6,FALSE),2)),"")</f>
        <v/>
      </c>
      <c r="Z120" s="142" t="str">
        <f t="shared" ref="Z120" si="1338">IF($A120="","",IF(Y120="","",IF($K$4="Media aritmética",(Y120&lt;=$B120)*($G$5/$B$5)+(Y120&gt;$B120)*0,IF(ROUND(AVERAGE($C120,$E120,$G120,$I120,$K120,$M120,$O120,$Q120,$S120,$U120,$W120,$Y120,$AA120,$AC120,$AE120),2)-$B120/2&lt;=Y120,IF(ROUND(AVERAGE($C120,$E120,$G120,$I120,$K120,$M120,$O120,$Q120,$S120,$U120,$W120,$Y120,$AA120,$AC120,$AE120),2)+$B120/2&gt;Y120,($G$5/$B$5),0),0))))</f>
        <v/>
      </c>
      <c r="AA120" s="141" t="str">
        <f>IF($AA$8="Habilitado",IF($A120="","",ROUND(VLOOKUP($A120,'Presupuesto Consolidado'!#REF!,6,FALSE),2)),"")</f>
        <v/>
      </c>
      <c r="AB120" s="142" t="str">
        <f t="shared" ref="AB120" si="1339">IF($A120="","",IF(AA120="","",IF($K$4="Media aritmética",(AA120&lt;=$B120)*($G$5/$B$5)+(AA120&gt;$B120)*0,IF(ROUND(AVERAGE($C120,$E120,$G120,$I120,$K120,$M120,$O120,$Q120,$S120,$U120,$W120,$Y120,$AA120,$AC120,$AE120),2)-$B120/2&lt;=AA120,IF(ROUND(AVERAGE($C120,$E120,$G120,$I120,$K120,$M120,$O120,$Q120,$S120,$U120,$W120,$Y120,$AA120,$AC120,$AE120),2)+$B120/2&gt;AA120,($G$5/$B$5),0),0))))</f>
        <v/>
      </c>
      <c r="AC120" s="141" t="str">
        <f>IF($AC$8="Habilitado",IF($A120="","",ROUND(VLOOKUP($A120,'Presupuesto Consolidado'!#REF!,6,FALSE),2)),"")</f>
        <v/>
      </c>
      <c r="AD120" s="142" t="str">
        <f t="shared" ref="AD120" si="1340">IF($A120="","",IF(AC120="","",IF($K$4="Media aritmética",(AC120&lt;=$B120)*($G$5/$B$5)+(AC120&gt;$B120)*0,IF(ROUND(AVERAGE($C120,$E120,$G120,$I120,$K120,$M120,$O120,$Q120,$S120,$U120,$W120,$Y120,$AA120,$AC120,$AE120),2)-$B120/2&lt;=AC120,IF(ROUND(AVERAGE($C120,$E120,$G120,$I120,$K120,$M120,$O120,$Q120,$S120,$U120,$W120,$Y120,$AA120,$AC120,$AE120),2)+$B120/2&gt;AC120,($G$5/$B$5),0),0))))</f>
        <v/>
      </c>
      <c r="AE120" s="141" t="str">
        <f>IF($AE$8="Habilitado",IF($A120="","",ROUND(VLOOKUP($A120,'Presupuesto Consolidado'!#REF!,6,FALSE),2)),"")</f>
        <v/>
      </c>
      <c r="AF120" s="142" t="str">
        <f t="shared" ref="AF120" si="1341">IF($A120="","",IF(AE120="","",IF($K$4="Media aritmética",(AE120&lt;=$B120)*($G$5/$B$5)+(AE120&gt;$B120)*0,IF(ROUND(AVERAGE($C120,$E120,$G120,$I120,$K120,$M120,$O120,$Q120,$S120,$U120,$W120,$Y120,$AA120,$AC120,$AE120),2)-$B120/2&lt;=AE120,IF(ROUND(AVERAGE($C120,$E120,$G120,$I120,$K120,$M120,$O120,$Q120,$S120,$U120,$W120,$Y120,$AA120,$AC120,$AE120),2)+$B120/2&gt;AE120,($G$5/$B$5),0),0))))</f>
        <v/>
      </c>
    </row>
    <row r="121" spans="1:32" s="135" customFormat="1" ht="21" customHeight="1">
      <c r="A121" s="132" t="str">
        <f>+'Presupuesto Consolidado'!A137</f>
        <v>12.3.33</v>
      </c>
      <c r="B121" s="140">
        <f t="shared" ref="B121" si="1342">IF(A121="","",IF($K$4="Media aritmética",ROUND(AVERAGE(C121,E121,G121,I121,K121,M121,O121,Q121,S121,U121,W121,Y121,AA121,AC121,AE121),2),ROUND(_xlfn.STDEV.P(C121,E121,G121,I121,K121,M121,O121,Q121,S121,U121,W121,Y121,AA121,AC121,AE121),2)))</f>
        <v>372600</v>
      </c>
      <c r="C121" s="141">
        <f>IF($C$8="Habilitado",IF($A121="","",ROUND(VLOOKUP($A121,'Presupuesto Consolidado'!$A$9:$F$600,6,FALSE),2)),"")</f>
        <v>372600</v>
      </c>
      <c r="D121" s="142">
        <f t="shared" ref="D121" si="1343">IF($A121="","",IF(C121="","",IF($K$4="Media aritmética",(C121&lt;=$B121)*($G$5/$B$5)+(C121&gt;$B121)*0,IF(ROUND(AVERAGE($C121,$E121,$G121,$I121,$K121,$M121,$O121,$Q121,$S121,$U121,$W121,$Y121,$AA121,$AC121,$AE121),2)-$B121/2&lt;=C121,IF(ROUND(AVERAGE($C121,$E121,$G121,$I121,$K121,$M121,$O121,$Q121,$S121,$U121,$W121,$Y121,$AA121,$AC121,$AE121),2)+$B121/2&gt;C121,($G$5/$B$5),0),0))))</f>
        <v>0.45714285714285713</v>
      </c>
      <c r="E121" s="141" t="str">
        <f>IF($E$8="Habilitado",IF($A121="","",ROUND(VLOOKUP($A121,'Presupuesto Consolidado'!$I$9:$N$600,6,FALSE),2)),"")</f>
        <v/>
      </c>
      <c r="F121" s="142" t="str">
        <f t="shared" ref="F121" si="1344">IF($A121="","",IF(E121="","",IF($K$4="Media aritmética",(E121&lt;=$B121)*($G$5/$B$5)+(E121&gt;$B121)*0,IF(ROUND(AVERAGE($C121,$E121,$G121,$I121,$K121,$M121,$O121,$Q121,$S121,$U121,$W121,$Y121,$AA121,$AC121,$AE121),2)-$B121/2&lt;=E121,IF(ROUND(AVERAGE($C121,$E121,$G121,$I121,$K121,$M121,$O121,$Q121,$S121,$U121,$W121,$Y121,$AA121,$AC121,$AE121),2)+$B121/2&gt;E121,($G$5/$B$5),0),0))))</f>
        <v/>
      </c>
      <c r="G121" s="141" t="str">
        <f>IF($G$8="Habilitado",IF($A121="","",ROUND(VLOOKUP($A121,'Presupuesto Consolidado'!$Q$9:$V$600,6,FALSE),2)),"")</f>
        <v/>
      </c>
      <c r="H121" s="142" t="str">
        <f t="shared" ref="H121" si="1345">IF($A121="","",IF(G121="","",IF($K$4="Media aritmética",(G121&lt;=$B121)*($G$5/$B$5)+(G121&gt;$B121)*0,IF(ROUND(AVERAGE($C121,$E121,$G121,$I121,$K121,$M121,$O121,$Q121,$S121,$U121,$W121,$Y121,$AA121,$AC121,$AE121),2)-$B121/2&lt;=G121,IF(ROUND(AVERAGE($C121,$E121,$G121,$I121,$K121,$M121,$O121,$Q121,$S121,$U121,$W121,$Y121,$AA121,$AC121,$AE121),2)+$B121/2&gt;G121,($G$5/$B$5),0),0))))</f>
        <v/>
      </c>
      <c r="I121" s="141" t="str">
        <f>IF($I$8="Habilitado",IF($A121="","",ROUND(VLOOKUP($A121,'Presupuesto Consolidado'!$Y$9:$AD$600,6,FALSE),2)),"")</f>
        <v/>
      </c>
      <c r="J121" s="142" t="str">
        <f t="shared" ref="J121" si="1346">IF($A121="","",IF(I121="","",IF($K$4="Media aritmética",(I121&lt;=$B121)*($G$5/$B$5)+(I121&gt;$B121)*0,IF(ROUND(AVERAGE($C121,$E121,$G121,$I121,$K121,$M121,$O121,$Q121,$S121,$U121,$W121,$Y121,$AA121,$AC121,$AE121),2)-$B121/2&lt;=I121,IF(ROUND(AVERAGE($C121,$E121,$G121,$I121,$K121,$M121,$O121,$Q121,$S121,$U121,$W121,$Y121,$AA121,$AC121,$AE121),2)+$B121/2&gt;I121,($G$5/$B$5),0),0))))</f>
        <v/>
      </c>
      <c r="K121" s="141" t="str">
        <f>IF($K$8="Habilitado",IF($A121="","",ROUND(VLOOKUP($A121,'Presupuesto Consolidado'!#REF!,6,FALSE),2)),"")</f>
        <v/>
      </c>
      <c r="L121" s="142" t="str">
        <f t="shared" ref="L121" si="1347">IF($A121="","",IF(K121="","",IF($K$4="Media aritmética",(K121&lt;=$B121)*($G$5/$B$5)+(K121&gt;$B121)*0,IF(ROUND(AVERAGE($C121,$E121,$G121,$I121,$K121,$M121,$O121,$Q121,$S121,$U121,$W121,$Y121,$AA121,$AC121,$AE121),2)-$B121/2&lt;=K121,IF(ROUND(AVERAGE($C121,$E121,$G121,$I121,$K121,$M121,$O121,$Q121,$S121,$U121,$W121,$Y121,$AA121,$AC121,$AE121),2)+$B121/2&gt;K121,($G$5/$B$5),0),0))))</f>
        <v/>
      </c>
      <c r="M121" s="141" t="str">
        <f>IF($M$8="Habilitado",IF($A121="","",ROUND(VLOOKUP($A121,'Presupuesto Consolidado'!#REF!,6,FALSE),2)),"")</f>
        <v/>
      </c>
      <c r="N121" s="142" t="str">
        <f t="shared" ref="N121" si="1348">IF($A121="","",IF(M121="","",IF($K$4="Media aritmética",(M121&lt;=$B121)*($G$5/$B$5)+(M121&gt;$B121)*0,IF(ROUND(AVERAGE($C121,$E121,$G121,$I121,$K121,$M121,$O121,$Q121,$S121,$U121,$W121,$Y121,$AA121,$AC121,$AE121),2)-$B121/2&lt;=M121,IF(ROUND(AVERAGE($C121,$E121,$G121,$I121,$K121,$M121,$O121,$Q121,$S121,$U121,$W121,$Y121,$AA121,$AC121,$AE121),2)+$B121/2&gt;M121,($G$5/$B$5),0),0))))</f>
        <v/>
      </c>
      <c r="O121" s="141" t="str">
        <f>IF($O$8="Habilitado",IF($A121="","",ROUND(VLOOKUP($A121,'Presupuesto Consolidado'!#REF!,6,FALSE),2)),"")</f>
        <v/>
      </c>
      <c r="P121" s="142" t="str">
        <f t="shared" ref="P121" si="1349">IF($A121="","",IF(O121="","",IF($K$4="Media aritmética",(O121&lt;=$B121)*($G$5/$B$5)+(O121&gt;$B121)*0,IF(ROUND(AVERAGE($C121,$E121,$G121,$I121,$K121,$M121,$O121,$Q121,$S121,$U121,$W121,$Y121,$AA121,$AC121,$AE121),2)-$B121/2&lt;=O121,IF(ROUND(AVERAGE($C121,$E121,$G121,$I121,$K121,$M121,$O121,$Q121,$S121,$U121,$W121,$Y121,$AA121,$AC121,$AE121),2)+$B121/2&gt;O121,($G$5/$B$5),0),0))))</f>
        <v/>
      </c>
      <c r="Q121" s="141" t="str">
        <f>IF($Q$8="Habilitado",IF($A121="","",ROUND(VLOOKUP($A121,'Presupuesto Consolidado'!#REF!,6,FALSE),2)),"")</f>
        <v/>
      </c>
      <c r="R121" s="142" t="str">
        <f t="shared" ref="R121" si="1350">IF($A121="","",IF(Q121="","",IF($K$4="Media aritmética",(Q121&lt;=$B121)*($G$5/$B$5)+(Q121&gt;$B121)*0,IF(ROUND(AVERAGE($C121,$E121,$G121,$I121,$K121,$M121,$O121,$Q121,$S121,$U121,$W121,$Y121,$AA121,$AC121,$AE121),2)-$B121/2&lt;=Q121,IF(ROUND(AVERAGE($C121,$E121,$G121,$I121,$K121,$M121,$O121,$Q121,$S121,$U121,$W121,$Y121,$AA121,$AC121,$AE121),2)+$B121/2&gt;Q121,($G$5/$B$5),0),0))))</f>
        <v/>
      </c>
      <c r="S121" s="141" t="str">
        <f>IF($S$8="Habilitado",IF($A121="","",ROUND(VLOOKUP($A121,'Presupuesto Consolidado'!#REF!,6,FALSE),2)),"")</f>
        <v/>
      </c>
      <c r="T121" s="142" t="str">
        <f t="shared" ref="T121" si="1351">IF($A121="","",IF(S121="","",IF($K$4="Media aritmética",(S121&lt;=$B121)*($G$5/$B$5)+(S121&gt;$B121)*0,IF(ROUND(AVERAGE($C121,$E121,$G121,$I121,$K121,$M121,$O121,$Q121,$S121,$U121,$W121,$Y121,$AA121,$AC121,$AE121),2)-$B121/2&lt;=S121,IF(ROUND(AVERAGE($C121,$E121,$G121,$I121,$K121,$M121,$O121,$Q121,$S121,$U121,$W121,$Y121,$AA121,$AC121,$AE121),2)+$B121/2&gt;S121,($G$5/$B$5),0),0))))</f>
        <v/>
      </c>
      <c r="U121" s="141" t="str">
        <f>IF($U$8="Habilitado",IF($A121="","",ROUND(VLOOKUP($A121,'Presupuesto Consolidado'!#REF!,6,FALSE),2)),"")</f>
        <v/>
      </c>
      <c r="V121" s="142" t="str">
        <f t="shared" ref="V121" si="1352">IF($A121="","",IF(U121="","",IF($K$4="Media aritmética",(U121&lt;=$B121)*($G$5/$B$5)+(U121&gt;$B121)*0,IF(ROUND(AVERAGE($C121,$E121,$G121,$I121,$K121,$M121,$O121,$Q121,$S121,$U121,$W121,$Y121,$AA121,$AC121,$AE121),2)-$B121/2&lt;=U121,IF(ROUND(AVERAGE($C121,$E121,$G121,$I121,$K121,$M121,$O121,$Q121,$S121,$U121,$W121,$Y121,$AA121,$AC121,$AE121),2)+$B121/2&gt;U121,($G$5/$B$5),0),0))))</f>
        <v/>
      </c>
      <c r="W121" s="141" t="str">
        <f>IF($W$8="Habilitado",IF($A121="","",ROUND(VLOOKUP($A121,'Presupuesto Consolidado'!#REF!,6,FALSE),2)),"")</f>
        <v/>
      </c>
      <c r="X121" s="142" t="str">
        <f t="shared" ref="X121" si="1353">IF($A121="","",IF(W121="","",IF($K$4="Media aritmética",(W121&lt;=$B121)*($G$5/$B$5)+(W121&gt;$B121)*0,IF(ROUND(AVERAGE($C121,$E121,$G121,$I121,$K121,$M121,$O121,$Q121,$S121,$U121,$W121,$Y121,$AA121,$AC121,$AE121),2)-$B121/2&lt;=W121,IF(ROUND(AVERAGE($C121,$E121,$G121,$I121,$K121,$M121,$O121,$Q121,$S121,$U121,$W121,$Y121,$AA121,$AC121,$AE121),2)+$B121/2&gt;W121,($G$5/$B$5),0),0))))</f>
        <v/>
      </c>
      <c r="Y121" s="141" t="str">
        <f>IF($Y$8="Habilitado",IF($A121="","",ROUND(VLOOKUP($A121,'Presupuesto Consolidado'!#REF!,6,FALSE),2)),"")</f>
        <v/>
      </c>
      <c r="Z121" s="142" t="str">
        <f t="shared" ref="Z121" si="1354">IF($A121="","",IF(Y121="","",IF($K$4="Media aritmética",(Y121&lt;=$B121)*($G$5/$B$5)+(Y121&gt;$B121)*0,IF(ROUND(AVERAGE($C121,$E121,$G121,$I121,$K121,$M121,$O121,$Q121,$S121,$U121,$W121,$Y121,$AA121,$AC121,$AE121),2)-$B121/2&lt;=Y121,IF(ROUND(AVERAGE($C121,$E121,$G121,$I121,$K121,$M121,$O121,$Q121,$S121,$U121,$W121,$Y121,$AA121,$AC121,$AE121),2)+$B121/2&gt;Y121,($G$5/$B$5),0),0))))</f>
        <v/>
      </c>
      <c r="AA121" s="141" t="str">
        <f>IF($AA$8="Habilitado",IF($A121="","",ROUND(VLOOKUP($A121,'Presupuesto Consolidado'!#REF!,6,FALSE),2)),"")</f>
        <v/>
      </c>
      <c r="AB121" s="142" t="str">
        <f t="shared" ref="AB121" si="1355">IF($A121="","",IF(AA121="","",IF($K$4="Media aritmética",(AA121&lt;=$B121)*($G$5/$B$5)+(AA121&gt;$B121)*0,IF(ROUND(AVERAGE($C121,$E121,$G121,$I121,$K121,$M121,$O121,$Q121,$S121,$U121,$W121,$Y121,$AA121,$AC121,$AE121),2)-$B121/2&lt;=AA121,IF(ROUND(AVERAGE($C121,$E121,$G121,$I121,$K121,$M121,$O121,$Q121,$S121,$U121,$W121,$Y121,$AA121,$AC121,$AE121),2)+$B121/2&gt;AA121,($G$5/$B$5),0),0))))</f>
        <v/>
      </c>
      <c r="AC121" s="141" t="str">
        <f>IF($AC$8="Habilitado",IF($A121="","",ROUND(VLOOKUP($A121,'Presupuesto Consolidado'!#REF!,6,FALSE),2)),"")</f>
        <v/>
      </c>
      <c r="AD121" s="142" t="str">
        <f t="shared" ref="AD121" si="1356">IF($A121="","",IF(AC121="","",IF($K$4="Media aritmética",(AC121&lt;=$B121)*($G$5/$B$5)+(AC121&gt;$B121)*0,IF(ROUND(AVERAGE($C121,$E121,$G121,$I121,$K121,$M121,$O121,$Q121,$S121,$U121,$W121,$Y121,$AA121,$AC121,$AE121),2)-$B121/2&lt;=AC121,IF(ROUND(AVERAGE($C121,$E121,$G121,$I121,$K121,$M121,$O121,$Q121,$S121,$U121,$W121,$Y121,$AA121,$AC121,$AE121),2)+$B121/2&gt;AC121,($G$5/$B$5),0),0))))</f>
        <v/>
      </c>
      <c r="AE121" s="141" t="str">
        <f>IF($AE$8="Habilitado",IF($A121="","",ROUND(VLOOKUP($A121,'Presupuesto Consolidado'!#REF!,6,FALSE),2)),"")</f>
        <v/>
      </c>
      <c r="AF121" s="142" t="str">
        <f t="shared" ref="AF121" si="1357">IF($A121="","",IF(AE121="","",IF($K$4="Media aritmética",(AE121&lt;=$B121)*($G$5/$B$5)+(AE121&gt;$B121)*0,IF(ROUND(AVERAGE($C121,$E121,$G121,$I121,$K121,$M121,$O121,$Q121,$S121,$U121,$W121,$Y121,$AA121,$AC121,$AE121),2)-$B121/2&lt;=AE121,IF(ROUND(AVERAGE($C121,$E121,$G121,$I121,$K121,$M121,$O121,$Q121,$S121,$U121,$W121,$Y121,$AA121,$AC121,$AE121),2)+$B121/2&gt;AE121,($G$5/$B$5),0),0))))</f>
        <v/>
      </c>
    </row>
    <row r="122" spans="1:32" s="135" customFormat="1" ht="21" customHeight="1">
      <c r="A122" s="132" t="str">
        <f>+'Presupuesto Consolidado'!A138</f>
        <v>12.3.34</v>
      </c>
      <c r="B122" s="140">
        <f t="shared" ref="B122" si="1358">IF(A122="","",IF($K$4="Media aritmética",ROUND(AVERAGE(C122,E122,G122,I122,K122,M122,O122,Q122,S122,U122,W122,Y122,AA122,AC122,AE122),2),ROUND(_xlfn.STDEV.P(C122,E122,G122,I122,K122,M122,O122,Q122,S122,U122,W122,Y122,AA122,AC122,AE122),2)))</f>
        <v>1863000</v>
      </c>
      <c r="C122" s="141">
        <f>IF($C$8="Habilitado",IF($A122="","",ROUND(VLOOKUP($A122,'Presupuesto Consolidado'!$A$9:$F$600,6,FALSE),2)),"")</f>
        <v>1863000</v>
      </c>
      <c r="D122" s="142">
        <f t="shared" ref="D122" si="1359">IF($A122="","",IF(C122="","",IF($K$4="Media aritmética",(C122&lt;=$B122)*($G$5/$B$5)+(C122&gt;$B122)*0,IF(ROUND(AVERAGE($C122,$E122,$G122,$I122,$K122,$M122,$O122,$Q122,$S122,$U122,$W122,$Y122,$AA122,$AC122,$AE122),2)-$B122/2&lt;=C122,IF(ROUND(AVERAGE($C122,$E122,$G122,$I122,$K122,$M122,$O122,$Q122,$S122,$U122,$W122,$Y122,$AA122,$AC122,$AE122),2)+$B122/2&gt;C122,($G$5/$B$5),0),0))))</f>
        <v>0.45714285714285713</v>
      </c>
      <c r="E122" s="141" t="str">
        <f>IF($E$8="Habilitado",IF($A122="","",ROUND(VLOOKUP($A122,'Presupuesto Consolidado'!$I$9:$N$600,6,FALSE),2)),"")</f>
        <v/>
      </c>
      <c r="F122" s="142" t="str">
        <f t="shared" ref="F122" si="1360">IF($A122="","",IF(E122="","",IF($K$4="Media aritmética",(E122&lt;=$B122)*($G$5/$B$5)+(E122&gt;$B122)*0,IF(ROUND(AVERAGE($C122,$E122,$G122,$I122,$K122,$M122,$O122,$Q122,$S122,$U122,$W122,$Y122,$AA122,$AC122,$AE122),2)-$B122/2&lt;=E122,IF(ROUND(AVERAGE($C122,$E122,$G122,$I122,$K122,$M122,$O122,$Q122,$S122,$U122,$W122,$Y122,$AA122,$AC122,$AE122),2)+$B122/2&gt;E122,($G$5/$B$5),0),0))))</f>
        <v/>
      </c>
      <c r="G122" s="141" t="str">
        <f>IF($G$8="Habilitado",IF($A122="","",ROUND(VLOOKUP($A122,'Presupuesto Consolidado'!$Q$9:$V$600,6,FALSE),2)),"")</f>
        <v/>
      </c>
      <c r="H122" s="142" t="str">
        <f t="shared" ref="H122" si="1361">IF($A122="","",IF(G122="","",IF($K$4="Media aritmética",(G122&lt;=$B122)*($G$5/$B$5)+(G122&gt;$B122)*0,IF(ROUND(AVERAGE($C122,$E122,$G122,$I122,$K122,$M122,$O122,$Q122,$S122,$U122,$W122,$Y122,$AA122,$AC122,$AE122),2)-$B122/2&lt;=G122,IF(ROUND(AVERAGE($C122,$E122,$G122,$I122,$K122,$M122,$O122,$Q122,$S122,$U122,$W122,$Y122,$AA122,$AC122,$AE122),2)+$B122/2&gt;G122,($G$5/$B$5),0),0))))</f>
        <v/>
      </c>
      <c r="I122" s="141" t="str">
        <f>IF($I$8="Habilitado",IF($A122="","",ROUND(VLOOKUP($A122,'Presupuesto Consolidado'!$Y$9:$AD$600,6,FALSE),2)),"")</f>
        <v/>
      </c>
      <c r="J122" s="142" t="str">
        <f t="shared" ref="J122" si="1362">IF($A122="","",IF(I122="","",IF($K$4="Media aritmética",(I122&lt;=$B122)*($G$5/$B$5)+(I122&gt;$B122)*0,IF(ROUND(AVERAGE($C122,$E122,$G122,$I122,$K122,$M122,$O122,$Q122,$S122,$U122,$W122,$Y122,$AA122,$AC122,$AE122),2)-$B122/2&lt;=I122,IF(ROUND(AVERAGE($C122,$E122,$G122,$I122,$K122,$M122,$O122,$Q122,$S122,$U122,$W122,$Y122,$AA122,$AC122,$AE122),2)+$B122/2&gt;I122,($G$5/$B$5),0),0))))</f>
        <v/>
      </c>
      <c r="K122" s="141" t="str">
        <f>IF($K$8="Habilitado",IF($A122="","",ROUND(VLOOKUP($A122,'Presupuesto Consolidado'!#REF!,6,FALSE),2)),"")</f>
        <v/>
      </c>
      <c r="L122" s="142" t="str">
        <f t="shared" ref="L122" si="1363">IF($A122="","",IF(K122="","",IF($K$4="Media aritmética",(K122&lt;=$B122)*($G$5/$B$5)+(K122&gt;$B122)*0,IF(ROUND(AVERAGE($C122,$E122,$G122,$I122,$K122,$M122,$O122,$Q122,$S122,$U122,$W122,$Y122,$AA122,$AC122,$AE122),2)-$B122/2&lt;=K122,IF(ROUND(AVERAGE($C122,$E122,$G122,$I122,$K122,$M122,$O122,$Q122,$S122,$U122,$W122,$Y122,$AA122,$AC122,$AE122),2)+$B122/2&gt;K122,($G$5/$B$5),0),0))))</f>
        <v/>
      </c>
      <c r="M122" s="141" t="str">
        <f>IF($M$8="Habilitado",IF($A122="","",ROUND(VLOOKUP($A122,'Presupuesto Consolidado'!#REF!,6,FALSE),2)),"")</f>
        <v/>
      </c>
      <c r="N122" s="142" t="str">
        <f t="shared" ref="N122" si="1364">IF($A122="","",IF(M122="","",IF($K$4="Media aritmética",(M122&lt;=$B122)*($G$5/$B$5)+(M122&gt;$B122)*0,IF(ROUND(AVERAGE($C122,$E122,$G122,$I122,$K122,$M122,$O122,$Q122,$S122,$U122,$W122,$Y122,$AA122,$AC122,$AE122),2)-$B122/2&lt;=M122,IF(ROUND(AVERAGE($C122,$E122,$G122,$I122,$K122,$M122,$O122,$Q122,$S122,$U122,$W122,$Y122,$AA122,$AC122,$AE122),2)+$B122/2&gt;M122,($G$5/$B$5),0),0))))</f>
        <v/>
      </c>
      <c r="O122" s="141" t="str">
        <f>IF($O$8="Habilitado",IF($A122="","",ROUND(VLOOKUP($A122,'Presupuesto Consolidado'!#REF!,6,FALSE),2)),"")</f>
        <v/>
      </c>
      <c r="P122" s="142" t="str">
        <f t="shared" ref="P122" si="1365">IF($A122="","",IF(O122="","",IF($K$4="Media aritmética",(O122&lt;=$B122)*($G$5/$B$5)+(O122&gt;$B122)*0,IF(ROUND(AVERAGE($C122,$E122,$G122,$I122,$K122,$M122,$O122,$Q122,$S122,$U122,$W122,$Y122,$AA122,$AC122,$AE122),2)-$B122/2&lt;=O122,IF(ROUND(AVERAGE($C122,$E122,$G122,$I122,$K122,$M122,$O122,$Q122,$S122,$U122,$W122,$Y122,$AA122,$AC122,$AE122),2)+$B122/2&gt;O122,($G$5/$B$5),0),0))))</f>
        <v/>
      </c>
      <c r="Q122" s="141" t="str">
        <f>IF($Q$8="Habilitado",IF($A122="","",ROUND(VLOOKUP($A122,'Presupuesto Consolidado'!#REF!,6,FALSE),2)),"")</f>
        <v/>
      </c>
      <c r="R122" s="142" t="str">
        <f t="shared" ref="R122" si="1366">IF($A122="","",IF(Q122="","",IF($K$4="Media aritmética",(Q122&lt;=$B122)*($G$5/$B$5)+(Q122&gt;$B122)*0,IF(ROUND(AVERAGE($C122,$E122,$G122,$I122,$K122,$M122,$O122,$Q122,$S122,$U122,$W122,$Y122,$AA122,$AC122,$AE122),2)-$B122/2&lt;=Q122,IF(ROUND(AVERAGE($C122,$E122,$G122,$I122,$K122,$M122,$O122,$Q122,$S122,$U122,$W122,$Y122,$AA122,$AC122,$AE122),2)+$B122/2&gt;Q122,($G$5/$B$5),0),0))))</f>
        <v/>
      </c>
      <c r="S122" s="141" t="str">
        <f>IF($S$8="Habilitado",IF($A122="","",ROUND(VLOOKUP($A122,'Presupuesto Consolidado'!#REF!,6,FALSE),2)),"")</f>
        <v/>
      </c>
      <c r="T122" s="142" t="str">
        <f t="shared" ref="T122" si="1367">IF($A122="","",IF(S122="","",IF($K$4="Media aritmética",(S122&lt;=$B122)*($G$5/$B$5)+(S122&gt;$B122)*0,IF(ROUND(AVERAGE($C122,$E122,$G122,$I122,$K122,$M122,$O122,$Q122,$S122,$U122,$W122,$Y122,$AA122,$AC122,$AE122),2)-$B122/2&lt;=S122,IF(ROUND(AVERAGE($C122,$E122,$G122,$I122,$K122,$M122,$O122,$Q122,$S122,$U122,$W122,$Y122,$AA122,$AC122,$AE122),2)+$B122/2&gt;S122,($G$5/$B$5),0),0))))</f>
        <v/>
      </c>
      <c r="U122" s="141" t="str">
        <f>IF($U$8="Habilitado",IF($A122="","",ROUND(VLOOKUP($A122,'Presupuesto Consolidado'!#REF!,6,FALSE),2)),"")</f>
        <v/>
      </c>
      <c r="V122" s="142" t="str">
        <f t="shared" ref="V122" si="1368">IF($A122="","",IF(U122="","",IF($K$4="Media aritmética",(U122&lt;=$B122)*($G$5/$B$5)+(U122&gt;$B122)*0,IF(ROUND(AVERAGE($C122,$E122,$G122,$I122,$K122,$M122,$O122,$Q122,$S122,$U122,$W122,$Y122,$AA122,$AC122,$AE122),2)-$B122/2&lt;=U122,IF(ROUND(AVERAGE($C122,$E122,$G122,$I122,$K122,$M122,$O122,$Q122,$S122,$U122,$W122,$Y122,$AA122,$AC122,$AE122),2)+$B122/2&gt;U122,($G$5/$B$5),0),0))))</f>
        <v/>
      </c>
      <c r="W122" s="141" t="str">
        <f>IF($W$8="Habilitado",IF($A122="","",ROUND(VLOOKUP($A122,'Presupuesto Consolidado'!#REF!,6,FALSE),2)),"")</f>
        <v/>
      </c>
      <c r="X122" s="142" t="str">
        <f t="shared" ref="X122" si="1369">IF($A122="","",IF(W122="","",IF($K$4="Media aritmética",(W122&lt;=$B122)*($G$5/$B$5)+(W122&gt;$B122)*0,IF(ROUND(AVERAGE($C122,$E122,$G122,$I122,$K122,$M122,$O122,$Q122,$S122,$U122,$W122,$Y122,$AA122,$AC122,$AE122),2)-$B122/2&lt;=W122,IF(ROUND(AVERAGE($C122,$E122,$G122,$I122,$K122,$M122,$O122,$Q122,$S122,$U122,$W122,$Y122,$AA122,$AC122,$AE122),2)+$B122/2&gt;W122,($G$5/$B$5),0),0))))</f>
        <v/>
      </c>
      <c r="Y122" s="141" t="str">
        <f>IF($Y$8="Habilitado",IF($A122="","",ROUND(VLOOKUP($A122,'Presupuesto Consolidado'!#REF!,6,FALSE),2)),"")</f>
        <v/>
      </c>
      <c r="Z122" s="142" t="str">
        <f t="shared" ref="Z122" si="1370">IF($A122="","",IF(Y122="","",IF($K$4="Media aritmética",(Y122&lt;=$B122)*($G$5/$B$5)+(Y122&gt;$B122)*0,IF(ROUND(AVERAGE($C122,$E122,$G122,$I122,$K122,$M122,$O122,$Q122,$S122,$U122,$W122,$Y122,$AA122,$AC122,$AE122),2)-$B122/2&lt;=Y122,IF(ROUND(AVERAGE($C122,$E122,$G122,$I122,$K122,$M122,$O122,$Q122,$S122,$U122,$W122,$Y122,$AA122,$AC122,$AE122),2)+$B122/2&gt;Y122,($G$5/$B$5),0),0))))</f>
        <v/>
      </c>
      <c r="AA122" s="141" t="str">
        <f>IF($AA$8="Habilitado",IF($A122="","",ROUND(VLOOKUP($A122,'Presupuesto Consolidado'!#REF!,6,FALSE),2)),"")</f>
        <v/>
      </c>
      <c r="AB122" s="142" t="str">
        <f t="shared" ref="AB122" si="1371">IF($A122="","",IF(AA122="","",IF($K$4="Media aritmética",(AA122&lt;=$B122)*($G$5/$B$5)+(AA122&gt;$B122)*0,IF(ROUND(AVERAGE($C122,$E122,$G122,$I122,$K122,$M122,$O122,$Q122,$S122,$U122,$W122,$Y122,$AA122,$AC122,$AE122),2)-$B122/2&lt;=AA122,IF(ROUND(AVERAGE($C122,$E122,$G122,$I122,$K122,$M122,$O122,$Q122,$S122,$U122,$W122,$Y122,$AA122,$AC122,$AE122),2)+$B122/2&gt;AA122,($G$5/$B$5),0),0))))</f>
        <v/>
      </c>
      <c r="AC122" s="141" t="str">
        <f>IF($AC$8="Habilitado",IF($A122="","",ROUND(VLOOKUP($A122,'Presupuesto Consolidado'!#REF!,6,FALSE),2)),"")</f>
        <v/>
      </c>
      <c r="AD122" s="142" t="str">
        <f t="shared" ref="AD122" si="1372">IF($A122="","",IF(AC122="","",IF($K$4="Media aritmética",(AC122&lt;=$B122)*($G$5/$B$5)+(AC122&gt;$B122)*0,IF(ROUND(AVERAGE($C122,$E122,$G122,$I122,$K122,$M122,$O122,$Q122,$S122,$U122,$W122,$Y122,$AA122,$AC122,$AE122),2)-$B122/2&lt;=AC122,IF(ROUND(AVERAGE($C122,$E122,$G122,$I122,$K122,$M122,$O122,$Q122,$S122,$U122,$W122,$Y122,$AA122,$AC122,$AE122),2)+$B122/2&gt;AC122,($G$5/$B$5),0),0))))</f>
        <v/>
      </c>
      <c r="AE122" s="141" t="str">
        <f>IF($AE$8="Habilitado",IF($A122="","",ROUND(VLOOKUP($A122,'Presupuesto Consolidado'!#REF!,6,FALSE),2)),"")</f>
        <v/>
      </c>
      <c r="AF122" s="142" t="str">
        <f t="shared" ref="AF122" si="1373">IF($A122="","",IF(AE122="","",IF($K$4="Media aritmética",(AE122&lt;=$B122)*($G$5/$B$5)+(AE122&gt;$B122)*0,IF(ROUND(AVERAGE($C122,$E122,$G122,$I122,$K122,$M122,$O122,$Q122,$S122,$U122,$W122,$Y122,$AA122,$AC122,$AE122),2)-$B122/2&lt;=AE122,IF(ROUND(AVERAGE($C122,$E122,$G122,$I122,$K122,$M122,$O122,$Q122,$S122,$U122,$W122,$Y122,$AA122,$AC122,$AE122),2)+$B122/2&gt;AE122,($G$5/$B$5),0),0))))</f>
        <v/>
      </c>
    </row>
    <row r="123" spans="1:32" s="135" customFormat="1" ht="21" customHeight="1">
      <c r="A123" s="132" t="str">
        <f>+'Presupuesto Consolidado'!A139</f>
        <v>12.3.35</v>
      </c>
      <c r="B123" s="140">
        <f t="shared" ref="B123" si="1374">IF(A123="","",IF($K$4="Media aritmética",ROUND(AVERAGE(C123,E123,G123,I123,K123,M123,O123,Q123,S123,U123,W123,Y123,AA123,AC123,AE123),2),ROUND(_xlfn.STDEV.P(C123,E123,G123,I123,K123,M123,O123,Q123,S123,U123,W123,Y123,AA123,AC123,AE123),2)))</f>
        <v>77625</v>
      </c>
      <c r="C123" s="141">
        <f>IF($C$8="Habilitado",IF($A123="","",ROUND(VLOOKUP($A123,'Presupuesto Consolidado'!$A$9:$F$600,6,FALSE),2)),"")</f>
        <v>77625</v>
      </c>
      <c r="D123" s="142">
        <f t="shared" ref="D123" si="1375">IF($A123="","",IF(C123="","",IF($K$4="Media aritmética",(C123&lt;=$B123)*($G$5/$B$5)+(C123&gt;$B123)*0,IF(ROUND(AVERAGE($C123,$E123,$G123,$I123,$K123,$M123,$O123,$Q123,$S123,$U123,$W123,$Y123,$AA123,$AC123,$AE123),2)-$B123/2&lt;=C123,IF(ROUND(AVERAGE($C123,$E123,$G123,$I123,$K123,$M123,$O123,$Q123,$S123,$U123,$W123,$Y123,$AA123,$AC123,$AE123),2)+$B123/2&gt;C123,($G$5/$B$5),0),0))))</f>
        <v>0.45714285714285713</v>
      </c>
      <c r="E123" s="141" t="str">
        <f>IF($E$8="Habilitado",IF($A123="","",ROUND(VLOOKUP($A123,'Presupuesto Consolidado'!$I$9:$N$600,6,FALSE),2)),"")</f>
        <v/>
      </c>
      <c r="F123" s="142" t="str">
        <f t="shared" ref="F123" si="1376">IF($A123="","",IF(E123="","",IF($K$4="Media aritmética",(E123&lt;=$B123)*($G$5/$B$5)+(E123&gt;$B123)*0,IF(ROUND(AVERAGE($C123,$E123,$G123,$I123,$K123,$M123,$O123,$Q123,$S123,$U123,$W123,$Y123,$AA123,$AC123,$AE123),2)-$B123/2&lt;=E123,IF(ROUND(AVERAGE($C123,$E123,$G123,$I123,$K123,$M123,$O123,$Q123,$S123,$U123,$W123,$Y123,$AA123,$AC123,$AE123),2)+$B123/2&gt;E123,($G$5/$B$5),0),0))))</f>
        <v/>
      </c>
      <c r="G123" s="141" t="str">
        <f>IF($G$8="Habilitado",IF($A123="","",ROUND(VLOOKUP($A123,'Presupuesto Consolidado'!$Q$9:$V$600,6,FALSE),2)),"")</f>
        <v/>
      </c>
      <c r="H123" s="142" t="str">
        <f t="shared" ref="H123" si="1377">IF($A123="","",IF(G123="","",IF($K$4="Media aritmética",(G123&lt;=$B123)*($G$5/$B$5)+(G123&gt;$B123)*0,IF(ROUND(AVERAGE($C123,$E123,$G123,$I123,$K123,$M123,$O123,$Q123,$S123,$U123,$W123,$Y123,$AA123,$AC123,$AE123),2)-$B123/2&lt;=G123,IF(ROUND(AVERAGE($C123,$E123,$G123,$I123,$K123,$M123,$O123,$Q123,$S123,$U123,$W123,$Y123,$AA123,$AC123,$AE123),2)+$B123/2&gt;G123,($G$5/$B$5),0),0))))</f>
        <v/>
      </c>
      <c r="I123" s="141" t="str">
        <f>IF($I$8="Habilitado",IF($A123="","",ROUND(VLOOKUP($A123,'Presupuesto Consolidado'!$Y$9:$AD$600,6,FALSE),2)),"")</f>
        <v/>
      </c>
      <c r="J123" s="142" t="str">
        <f t="shared" ref="J123" si="1378">IF($A123="","",IF(I123="","",IF($K$4="Media aritmética",(I123&lt;=$B123)*($G$5/$B$5)+(I123&gt;$B123)*0,IF(ROUND(AVERAGE($C123,$E123,$G123,$I123,$K123,$M123,$O123,$Q123,$S123,$U123,$W123,$Y123,$AA123,$AC123,$AE123),2)-$B123/2&lt;=I123,IF(ROUND(AVERAGE($C123,$E123,$G123,$I123,$K123,$M123,$O123,$Q123,$S123,$U123,$W123,$Y123,$AA123,$AC123,$AE123),2)+$B123/2&gt;I123,($G$5/$B$5),0),0))))</f>
        <v/>
      </c>
      <c r="K123" s="141" t="str">
        <f>IF($K$8="Habilitado",IF($A123="","",ROUND(VLOOKUP($A123,'Presupuesto Consolidado'!#REF!,6,FALSE),2)),"")</f>
        <v/>
      </c>
      <c r="L123" s="142" t="str">
        <f t="shared" ref="L123" si="1379">IF($A123="","",IF(K123="","",IF($K$4="Media aritmética",(K123&lt;=$B123)*($G$5/$B$5)+(K123&gt;$B123)*0,IF(ROUND(AVERAGE($C123,$E123,$G123,$I123,$K123,$M123,$O123,$Q123,$S123,$U123,$W123,$Y123,$AA123,$AC123,$AE123),2)-$B123/2&lt;=K123,IF(ROUND(AVERAGE($C123,$E123,$G123,$I123,$K123,$M123,$O123,$Q123,$S123,$U123,$W123,$Y123,$AA123,$AC123,$AE123),2)+$B123/2&gt;K123,($G$5/$B$5),0),0))))</f>
        <v/>
      </c>
      <c r="M123" s="141" t="str">
        <f>IF($M$8="Habilitado",IF($A123="","",ROUND(VLOOKUP($A123,'Presupuesto Consolidado'!#REF!,6,FALSE),2)),"")</f>
        <v/>
      </c>
      <c r="N123" s="142" t="str">
        <f t="shared" ref="N123" si="1380">IF($A123="","",IF(M123="","",IF($K$4="Media aritmética",(M123&lt;=$B123)*($G$5/$B$5)+(M123&gt;$B123)*0,IF(ROUND(AVERAGE($C123,$E123,$G123,$I123,$K123,$M123,$O123,$Q123,$S123,$U123,$W123,$Y123,$AA123,$AC123,$AE123),2)-$B123/2&lt;=M123,IF(ROUND(AVERAGE($C123,$E123,$G123,$I123,$K123,$M123,$O123,$Q123,$S123,$U123,$W123,$Y123,$AA123,$AC123,$AE123),2)+$B123/2&gt;M123,($G$5/$B$5),0),0))))</f>
        <v/>
      </c>
      <c r="O123" s="141" t="str">
        <f>IF($O$8="Habilitado",IF($A123="","",ROUND(VLOOKUP($A123,'Presupuesto Consolidado'!#REF!,6,FALSE),2)),"")</f>
        <v/>
      </c>
      <c r="P123" s="142" t="str">
        <f t="shared" ref="P123" si="1381">IF($A123="","",IF(O123="","",IF($K$4="Media aritmética",(O123&lt;=$B123)*($G$5/$B$5)+(O123&gt;$B123)*0,IF(ROUND(AVERAGE($C123,$E123,$G123,$I123,$K123,$M123,$O123,$Q123,$S123,$U123,$W123,$Y123,$AA123,$AC123,$AE123),2)-$B123/2&lt;=O123,IF(ROUND(AVERAGE($C123,$E123,$G123,$I123,$K123,$M123,$O123,$Q123,$S123,$U123,$W123,$Y123,$AA123,$AC123,$AE123),2)+$B123/2&gt;O123,($G$5/$B$5),0),0))))</f>
        <v/>
      </c>
      <c r="Q123" s="141" t="str">
        <f>IF($Q$8="Habilitado",IF($A123="","",ROUND(VLOOKUP($A123,'Presupuesto Consolidado'!#REF!,6,FALSE),2)),"")</f>
        <v/>
      </c>
      <c r="R123" s="142" t="str">
        <f t="shared" ref="R123" si="1382">IF($A123="","",IF(Q123="","",IF($K$4="Media aritmética",(Q123&lt;=$B123)*($G$5/$B$5)+(Q123&gt;$B123)*0,IF(ROUND(AVERAGE($C123,$E123,$G123,$I123,$K123,$M123,$O123,$Q123,$S123,$U123,$W123,$Y123,$AA123,$AC123,$AE123),2)-$B123/2&lt;=Q123,IF(ROUND(AVERAGE($C123,$E123,$G123,$I123,$K123,$M123,$O123,$Q123,$S123,$U123,$W123,$Y123,$AA123,$AC123,$AE123),2)+$B123/2&gt;Q123,($G$5/$B$5),0),0))))</f>
        <v/>
      </c>
      <c r="S123" s="141" t="str">
        <f>IF($S$8="Habilitado",IF($A123="","",ROUND(VLOOKUP($A123,'Presupuesto Consolidado'!#REF!,6,FALSE),2)),"")</f>
        <v/>
      </c>
      <c r="T123" s="142" t="str">
        <f t="shared" ref="T123" si="1383">IF($A123="","",IF(S123="","",IF($K$4="Media aritmética",(S123&lt;=$B123)*($G$5/$B$5)+(S123&gt;$B123)*0,IF(ROUND(AVERAGE($C123,$E123,$G123,$I123,$K123,$M123,$O123,$Q123,$S123,$U123,$W123,$Y123,$AA123,$AC123,$AE123),2)-$B123/2&lt;=S123,IF(ROUND(AVERAGE($C123,$E123,$G123,$I123,$K123,$M123,$O123,$Q123,$S123,$U123,$W123,$Y123,$AA123,$AC123,$AE123),2)+$B123/2&gt;S123,($G$5/$B$5),0),0))))</f>
        <v/>
      </c>
      <c r="U123" s="141" t="str">
        <f>IF($U$8="Habilitado",IF($A123="","",ROUND(VLOOKUP($A123,'Presupuesto Consolidado'!#REF!,6,FALSE),2)),"")</f>
        <v/>
      </c>
      <c r="V123" s="142" t="str">
        <f t="shared" ref="V123" si="1384">IF($A123="","",IF(U123="","",IF($K$4="Media aritmética",(U123&lt;=$B123)*($G$5/$B$5)+(U123&gt;$B123)*0,IF(ROUND(AVERAGE($C123,$E123,$G123,$I123,$K123,$M123,$O123,$Q123,$S123,$U123,$W123,$Y123,$AA123,$AC123,$AE123),2)-$B123/2&lt;=U123,IF(ROUND(AVERAGE($C123,$E123,$G123,$I123,$K123,$M123,$O123,$Q123,$S123,$U123,$W123,$Y123,$AA123,$AC123,$AE123),2)+$B123/2&gt;U123,($G$5/$B$5),0),0))))</f>
        <v/>
      </c>
      <c r="W123" s="141" t="str">
        <f>IF($W$8="Habilitado",IF($A123="","",ROUND(VLOOKUP($A123,'Presupuesto Consolidado'!#REF!,6,FALSE),2)),"")</f>
        <v/>
      </c>
      <c r="X123" s="142" t="str">
        <f t="shared" ref="X123" si="1385">IF($A123="","",IF(W123="","",IF($K$4="Media aritmética",(W123&lt;=$B123)*($G$5/$B$5)+(W123&gt;$B123)*0,IF(ROUND(AVERAGE($C123,$E123,$G123,$I123,$K123,$M123,$O123,$Q123,$S123,$U123,$W123,$Y123,$AA123,$AC123,$AE123),2)-$B123/2&lt;=W123,IF(ROUND(AVERAGE($C123,$E123,$G123,$I123,$K123,$M123,$O123,$Q123,$S123,$U123,$W123,$Y123,$AA123,$AC123,$AE123),2)+$B123/2&gt;W123,($G$5/$B$5),0),0))))</f>
        <v/>
      </c>
      <c r="Y123" s="141" t="str">
        <f>IF($Y$8="Habilitado",IF($A123="","",ROUND(VLOOKUP($A123,'Presupuesto Consolidado'!#REF!,6,FALSE),2)),"")</f>
        <v/>
      </c>
      <c r="Z123" s="142" t="str">
        <f t="shared" ref="Z123" si="1386">IF($A123="","",IF(Y123="","",IF($K$4="Media aritmética",(Y123&lt;=$B123)*($G$5/$B$5)+(Y123&gt;$B123)*0,IF(ROUND(AVERAGE($C123,$E123,$G123,$I123,$K123,$M123,$O123,$Q123,$S123,$U123,$W123,$Y123,$AA123,$AC123,$AE123),2)-$B123/2&lt;=Y123,IF(ROUND(AVERAGE($C123,$E123,$G123,$I123,$K123,$M123,$O123,$Q123,$S123,$U123,$W123,$Y123,$AA123,$AC123,$AE123),2)+$B123/2&gt;Y123,($G$5/$B$5),0),0))))</f>
        <v/>
      </c>
      <c r="AA123" s="141" t="str">
        <f>IF($AA$8="Habilitado",IF($A123="","",ROUND(VLOOKUP($A123,'Presupuesto Consolidado'!#REF!,6,FALSE),2)),"")</f>
        <v/>
      </c>
      <c r="AB123" s="142" t="str">
        <f t="shared" ref="AB123" si="1387">IF($A123="","",IF(AA123="","",IF($K$4="Media aritmética",(AA123&lt;=$B123)*($G$5/$B$5)+(AA123&gt;$B123)*0,IF(ROUND(AVERAGE($C123,$E123,$G123,$I123,$K123,$M123,$O123,$Q123,$S123,$U123,$W123,$Y123,$AA123,$AC123,$AE123),2)-$B123/2&lt;=AA123,IF(ROUND(AVERAGE($C123,$E123,$G123,$I123,$K123,$M123,$O123,$Q123,$S123,$U123,$W123,$Y123,$AA123,$AC123,$AE123),2)+$B123/2&gt;AA123,($G$5/$B$5),0),0))))</f>
        <v/>
      </c>
      <c r="AC123" s="141" t="str">
        <f>IF($AC$8="Habilitado",IF($A123="","",ROUND(VLOOKUP($A123,'Presupuesto Consolidado'!#REF!,6,FALSE),2)),"")</f>
        <v/>
      </c>
      <c r="AD123" s="142" t="str">
        <f t="shared" ref="AD123" si="1388">IF($A123="","",IF(AC123="","",IF($K$4="Media aritmética",(AC123&lt;=$B123)*($G$5/$B$5)+(AC123&gt;$B123)*0,IF(ROUND(AVERAGE($C123,$E123,$G123,$I123,$K123,$M123,$O123,$Q123,$S123,$U123,$W123,$Y123,$AA123,$AC123,$AE123),2)-$B123/2&lt;=AC123,IF(ROUND(AVERAGE($C123,$E123,$G123,$I123,$K123,$M123,$O123,$Q123,$S123,$U123,$W123,$Y123,$AA123,$AC123,$AE123),2)+$B123/2&gt;AC123,($G$5/$B$5),0),0))))</f>
        <v/>
      </c>
      <c r="AE123" s="141" t="str">
        <f>IF($AE$8="Habilitado",IF($A123="","",ROUND(VLOOKUP($A123,'Presupuesto Consolidado'!#REF!,6,FALSE),2)),"")</f>
        <v/>
      </c>
      <c r="AF123" s="142" t="str">
        <f t="shared" ref="AF123" si="1389">IF($A123="","",IF(AE123="","",IF($K$4="Media aritmética",(AE123&lt;=$B123)*($G$5/$B$5)+(AE123&gt;$B123)*0,IF(ROUND(AVERAGE($C123,$E123,$G123,$I123,$K123,$M123,$O123,$Q123,$S123,$U123,$W123,$Y123,$AA123,$AC123,$AE123),2)-$B123/2&lt;=AE123,IF(ROUND(AVERAGE($C123,$E123,$G123,$I123,$K123,$M123,$O123,$Q123,$S123,$U123,$W123,$Y123,$AA123,$AC123,$AE123),2)+$B123/2&gt;AE123,($G$5/$B$5),0),0))))</f>
        <v/>
      </c>
    </row>
    <row r="124" spans="1:32" s="135" customFormat="1" ht="21" customHeight="1">
      <c r="A124" s="132" t="str">
        <f>+'Presupuesto Consolidado'!A140</f>
        <v>12.3.36</v>
      </c>
      <c r="B124" s="140">
        <f t="shared" ref="B124" si="1390">IF(A124="","",IF($K$4="Media aritmética",ROUND(AVERAGE(C124,E124,G124,I124,K124,M124,O124,Q124,S124,U124,W124,Y124,AA124,AC124,AE124),2),ROUND(_xlfn.STDEV.P(C124,E124,G124,I124,K124,M124,O124,Q124,S124,U124,W124,Y124,AA124,AC124,AE124),2)))</f>
        <v>8280000</v>
      </c>
      <c r="C124" s="141">
        <f>IF($C$8="Habilitado",IF($A124="","",ROUND(VLOOKUP($A124,'Presupuesto Consolidado'!$A$9:$F$600,6,FALSE),2)),"")</f>
        <v>8280000</v>
      </c>
      <c r="D124" s="142">
        <f t="shared" ref="D124" si="1391">IF($A124="","",IF(C124="","",IF($K$4="Media aritmética",(C124&lt;=$B124)*($G$5/$B$5)+(C124&gt;$B124)*0,IF(ROUND(AVERAGE($C124,$E124,$G124,$I124,$K124,$M124,$O124,$Q124,$S124,$U124,$W124,$Y124,$AA124,$AC124,$AE124),2)-$B124/2&lt;=C124,IF(ROUND(AVERAGE($C124,$E124,$G124,$I124,$K124,$M124,$O124,$Q124,$S124,$U124,$W124,$Y124,$AA124,$AC124,$AE124),2)+$B124/2&gt;C124,($G$5/$B$5),0),0))))</f>
        <v>0.45714285714285713</v>
      </c>
      <c r="E124" s="141" t="str">
        <f>IF($E$8="Habilitado",IF($A124="","",ROUND(VLOOKUP($A124,'Presupuesto Consolidado'!$I$9:$N$600,6,FALSE),2)),"")</f>
        <v/>
      </c>
      <c r="F124" s="142" t="str">
        <f t="shared" ref="F124" si="1392">IF($A124="","",IF(E124="","",IF($K$4="Media aritmética",(E124&lt;=$B124)*($G$5/$B$5)+(E124&gt;$B124)*0,IF(ROUND(AVERAGE($C124,$E124,$G124,$I124,$K124,$M124,$O124,$Q124,$S124,$U124,$W124,$Y124,$AA124,$AC124,$AE124),2)-$B124/2&lt;=E124,IF(ROUND(AVERAGE($C124,$E124,$G124,$I124,$K124,$M124,$O124,$Q124,$S124,$U124,$W124,$Y124,$AA124,$AC124,$AE124),2)+$B124/2&gt;E124,($G$5/$B$5),0),0))))</f>
        <v/>
      </c>
      <c r="G124" s="141" t="str">
        <f>IF($G$8="Habilitado",IF($A124="","",ROUND(VLOOKUP($A124,'Presupuesto Consolidado'!$Q$9:$V$600,6,FALSE),2)),"")</f>
        <v/>
      </c>
      <c r="H124" s="142" t="str">
        <f t="shared" ref="H124" si="1393">IF($A124="","",IF(G124="","",IF($K$4="Media aritmética",(G124&lt;=$B124)*($G$5/$B$5)+(G124&gt;$B124)*0,IF(ROUND(AVERAGE($C124,$E124,$G124,$I124,$K124,$M124,$O124,$Q124,$S124,$U124,$W124,$Y124,$AA124,$AC124,$AE124),2)-$B124/2&lt;=G124,IF(ROUND(AVERAGE($C124,$E124,$G124,$I124,$K124,$M124,$O124,$Q124,$S124,$U124,$W124,$Y124,$AA124,$AC124,$AE124),2)+$B124/2&gt;G124,($G$5/$B$5),0),0))))</f>
        <v/>
      </c>
      <c r="I124" s="141" t="str">
        <f>IF($I$8="Habilitado",IF($A124="","",ROUND(VLOOKUP($A124,'Presupuesto Consolidado'!$Y$9:$AD$600,6,FALSE),2)),"")</f>
        <v/>
      </c>
      <c r="J124" s="142" t="str">
        <f t="shared" ref="J124" si="1394">IF($A124="","",IF(I124="","",IF($K$4="Media aritmética",(I124&lt;=$B124)*($G$5/$B$5)+(I124&gt;$B124)*0,IF(ROUND(AVERAGE($C124,$E124,$G124,$I124,$K124,$M124,$O124,$Q124,$S124,$U124,$W124,$Y124,$AA124,$AC124,$AE124),2)-$B124/2&lt;=I124,IF(ROUND(AVERAGE($C124,$E124,$G124,$I124,$K124,$M124,$O124,$Q124,$S124,$U124,$W124,$Y124,$AA124,$AC124,$AE124),2)+$B124/2&gt;I124,($G$5/$B$5),0),0))))</f>
        <v/>
      </c>
      <c r="K124" s="141" t="str">
        <f>IF($K$8="Habilitado",IF($A124="","",ROUND(VLOOKUP($A124,'Presupuesto Consolidado'!#REF!,6,FALSE),2)),"")</f>
        <v/>
      </c>
      <c r="L124" s="142" t="str">
        <f t="shared" ref="L124" si="1395">IF($A124="","",IF(K124="","",IF($K$4="Media aritmética",(K124&lt;=$B124)*($G$5/$B$5)+(K124&gt;$B124)*0,IF(ROUND(AVERAGE($C124,$E124,$G124,$I124,$K124,$M124,$O124,$Q124,$S124,$U124,$W124,$Y124,$AA124,$AC124,$AE124),2)-$B124/2&lt;=K124,IF(ROUND(AVERAGE($C124,$E124,$G124,$I124,$K124,$M124,$O124,$Q124,$S124,$U124,$W124,$Y124,$AA124,$AC124,$AE124),2)+$B124/2&gt;K124,($G$5/$B$5),0),0))))</f>
        <v/>
      </c>
      <c r="M124" s="141" t="str">
        <f>IF($M$8="Habilitado",IF($A124="","",ROUND(VLOOKUP($A124,'Presupuesto Consolidado'!#REF!,6,FALSE),2)),"")</f>
        <v/>
      </c>
      <c r="N124" s="142" t="str">
        <f t="shared" ref="N124" si="1396">IF($A124="","",IF(M124="","",IF($K$4="Media aritmética",(M124&lt;=$B124)*($G$5/$B$5)+(M124&gt;$B124)*0,IF(ROUND(AVERAGE($C124,$E124,$G124,$I124,$K124,$M124,$O124,$Q124,$S124,$U124,$W124,$Y124,$AA124,$AC124,$AE124),2)-$B124/2&lt;=M124,IF(ROUND(AVERAGE($C124,$E124,$G124,$I124,$K124,$M124,$O124,$Q124,$S124,$U124,$W124,$Y124,$AA124,$AC124,$AE124),2)+$B124/2&gt;M124,($G$5/$B$5),0),0))))</f>
        <v/>
      </c>
      <c r="O124" s="141" t="str">
        <f>IF($O$8="Habilitado",IF($A124="","",ROUND(VLOOKUP($A124,'Presupuesto Consolidado'!#REF!,6,FALSE),2)),"")</f>
        <v/>
      </c>
      <c r="P124" s="142" t="str">
        <f t="shared" ref="P124" si="1397">IF($A124="","",IF(O124="","",IF($K$4="Media aritmética",(O124&lt;=$B124)*($G$5/$B$5)+(O124&gt;$B124)*0,IF(ROUND(AVERAGE($C124,$E124,$G124,$I124,$K124,$M124,$O124,$Q124,$S124,$U124,$W124,$Y124,$AA124,$AC124,$AE124),2)-$B124/2&lt;=O124,IF(ROUND(AVERAGE($C124,$E124,$G124,$I124,$K124,$M124,$O124,$Q124,$S124,$U124,$W124,$Y124,$AA124,$AC124,$AE124),2)+$B124/2&gt;O124,($G$5/$B$5),0),0))))</f>
        <v/>
      </c>
      <c r="Q124" s="141" t="str">
        <f>IF($Q$8="Habilitado",IF($A124="","",ROUND(VLOOKUP($A124,'Presupuesto Consolidado'!#REF!,6,FALSE),2)),"")</f>
        <v/>
      </c>
      <c r="R124" s="142" t="str">
        <f t="shared" ref="R124" si="1398">IF($A124="","",IF(Q124="","",IF($K$4="Media aritmética",(Q124&lt;=$B124)*($G$5/$B$5)+(Q124&gt;$B124)*0,IF(ROUND(AVERAGE($C124,$E124,$G124,$I124,$K124,$M124,$O124,$Q124,$S124,$U124,$W124,$Y124,$AA124,$AC124,$AE124),2)-$B124/2&lt;=Q124,IF(ROUND(AVERAGE($C124,$E124,$G124,$I124,$K124,$M124,$O124,$Q124,$S124,$U124,$W124,$Y124,$AA124,$AC124,$AE124),2)+$B124/2&gt;Q124,($G$5/$B$5),0),0))))</f>
        <v/>
      </c>
      <c r="S124" s="141" t="str">
        <f>IF($S$8="Habilitado",IF($A124="","",ROUND(VLOOKUP($A124,'Presupuesto Consolidado'!#REF!,6,FALSE),2)),"")</f>
        <v/>
      </c>
      <c r="T124" s="142" t="str">
        <f t="shared" ref="T124" si="1399">IF($A124="","",IF(S124="","",IF($K$4="Media aritmética",(S124&lt;=$B124)*($G$5/$B$5)+(S124&gt;$B124)*0,IF(ROUND(AVERAGE($C124,$E124,$G124,$I124,$K124,$M124,$O124,$Q124,$S124,$U124,$W124,$Y124,$AA124,$AC124,$AE124),2)-$B124/2&lt;=S124,IF(ROUND(AVERAGE($C124,$E124,$G124,$I124,$K124,$M124,$O124,$Q124,$S124,$U124,$W124,$Y124,$AA124,$AC124,$AE124),2)+$B124/2&gt;S124,($G$5/$B$5),0),0))))</f>
        <v/>
      </c>
      <c r="U124" s="141" t="str">
        <f>IF($U$8="Habilitado",IF($A124="","",ROUND(VLOOKUP($A124,'Presupuesto Consolidado'!#REF!,6,FALSE),2)),"")</f>
        <v/>
      </c>
      <c r="V124" s="142" t="str">
        <f t="shared" ref="V124" si="1400">IF($A124="","",IF(U124="","",IF($K$4="Media aritmética",(U124&lt;=$B124)*($G$5/$B$5)+(U124&gt;$B124)*0,IF(ROUND(AVERAGE($C124,$E124,$G124,$I124,$K124,$M124,$O124,$Q124,$S124,$U124,$W124,$Y124,$AA124,$AC124,$AE124),2)-$B124/2&lt;=U124,IF(ROUND(AVERAGE($C124,$E124,$G124,$I124,$K124,$M124,$O124,$Q124,$S124,$U124,$W124,$Y124,$AA124,$AC124,$AE124),2)+$B124/2&gt;U124,($G$5/$B$5),0),0))))</f>
        <v/>
      </c>
      <c r="W124" s="141" t="str">
        <f>IF($W$8="Habilitado",IF($A124="","",ROUND(VLOOKUP($A124,'Presupuesto Consolidado'!#REF!,6,FALSE),2)),"")</f>
        <v/>
      </c>
      <c r="X124" s="142" t="str">
        <f t="shared" ref="X124" si="1401">IF($A124="","",IF(W124="","",IF($K$4="Media aritmética",(W124&lt;=$B124)*($G$5/$B$5)+(W124&gt;$B124)*0,IF(ROUND(AVERAGE($C124,$E124,$G124,$I124,$K124,$M124,$O124,$Q124,$S124,$U124,$W124,$Y124,$AA124,$AC124,$AE124),2)-$B124/2&lt;=W124,IF(ROUND(AVERAGE($C124,$E124,$G124,$I124,$K124,$M124,$O124,$Q124,$S124,$U124,$W124,$Y124,$AA124,$AC124,$AE124),2)+$B124/2&gt;W124,($G$5/$B$5),0),0))))</f>
        <v/>
      </c>
      <c r="Y124" s="141" t="str">
        <f>IF($Y$8="Habilitado",IF($A124="","",ROUND(VLOOKUP($A124,'Presupuesto Consolidado'!#REF!,6,FALSE),2)),"")</f>
        <v/>
      </c>
      <c r="Z124" s="142" t="str">
        <f t="shared" ref="Z124" si="1402">IF($A124="","",IF(Y124="","",IF($K$4="Media aritmética",(Y124&lt;=$B124)*($G$5/$B$5)+(Y124&gt;$B124)*0,IF(ROUND(AVERAGE($C124,$E124,$G124,$I124,$K124,$M124,$O124,$Q124,$S124,$U124,$W124,$Y124,$AA124,$AC124,$AE124),2)-$B124/2&lt;=Y124,IF(ROUND(AVERAGE($C124,$E124,$G124,$I124,$K124,$M124,$O124,$Q124,$S124,$U124,$W124,$Y124,$AA124,$AC124,$AE124),2)+$B124/2&gt;Y124,($G$5/$B$5),0),0))))</f>
        <v/>
      </c>
      <c r="AA124" s="141" t="str">
        <f>IF($AA$8="Habilitado",IF($A124="","",ROUND(VLOOKUP($A124,'Presupuesto Consolidado'!#REF!,6,FALSE),2)),"")</f>
        <v/>
      </c>
      <c r="AB124" s="142" t="str">
        <f t="shared" ref="AB124" si="1403">IF($A124="","",IF(AA124="","",IF($K$4="Media aritmética",(AA124&lt;=$B124)*($G$5/$B$5)+(AA124&gt;$B124)*0,IF(ROUND(AVERAGE($C124,$E124,$G124,$I124,$K124,$M124,$O124,$Q124,$S124,$U124,$W124,$Y124,$AA124,$AC124,$AE124),2)-$B124/2&lt;=AA124,IF(ROUND(AVERAGE($C124,$E124,$G124,$I124,$K124,$M124,$O124,$Q124,$S124,$U124,$W124,$Y124,$AA124,$AC124,$AE124),2)+$B124/2&gt;AA124,($G$5/$B$5),0),0))))</f>
        <v/>
      </c>
      <c r="AC124" s="141" t="str">
        <f>IF($AC$8="Habilitado",IF($A124="","",ROUND(VLOOKUP($A124,'Presupuesto Consolidado'!#REF!,6,FALSE),2)),"")</f>
        <v/>
      </c>
      <c r="AD124" s="142" t="str">
        <f t="shared" ref="AD124" si="1404">IF($A124="","",IF(AC124="","",IF($K$4="Media aritmética",(AC124&lt;=$B124)*($G$5/$B$5)+(AC124&gt;$B124)*0,IF(ROUND(AVERAGE($C124,$E124,$G124,$I124,$K124,$M124,$O124,$Q124,$S124,$U124,$W124,$Y124,$AA124,$AC124,$AE124),2)-$B124/2&lt;=AC124,IF(ROUND(AVERAGE($C124,$E124,$G124,$I124,$K124,$M124,$O124,$Q124,$S124,$U124,$W124,$Y124,$AA124,$AC124,$AE124),2)+$B124/2&gt;AC124,($G$5/$B$5),0),0))))</f>
        <v/>
      </c>
      <c r="AE124" s="141" t="str">
        <f>IF($AE$8="Habilitado",IF($A124="","",ROUND(VLOOKUP($A124,'Presupuesto Consolidado'!#REF!,6,FALSE),2)),"")</f>
        <v/>
      </c>
      <c r="AF124" s="142" t="str">
        <f t="shared" ref="AF124" si="1405">IF($A124="","",IF(AE124="","",IF($K$4="Media aritmética",(AE124&lt;=$B124)*($G$5/$B$5)+(AE124&gt;$B124)*0,IF(ROUND(AVERAGE($C124,$E124,$G124,$I124,$K124,$M124,$O124,$Q124,$S124,$U124,$W124,$Y124,$AA124,$AC124,$AE124),2)-$B124/2&lt;=AE124,IF(ROUND(AVERAGE($C124,$E124,$G124,$I124,$K124,$M124,$O124,$Q124,$S124,$U124,$W124,$Y124,$AA124,$AC124,$AE124),2)+$B124/2&gt;AE124,($G$5/$B$5),0),0))))</f>
        <v/>
      </c>
    </row>
    <row r="125" spans="1:32" s="135" customFormat="1" ht="21" customHeight="1">
      <c r="A125" s="132" t="str">
        <f>+'Presupuesto Consolidado'!A141</f>
        <v>12.3.37</v>
      </c>
      <c r="B125" s="140">
        <f t="shared" ref="B125" si="1406">IF(A125="","",IF($K$4="Media aritmética",ROUND(AVERAGE(C125,E125,G125,I125,K125,M125,O125,Q125,S125,U125,W125,Y125,AA125,AC125,AE125),2),ROUND(_xlfn.STDEV.P(C125,E125,G125,I125,K125,M125,O125,Q125,S125,U125,W125,Y125,AA125,AC125,AE125),2)))</f>
        <v>3001500</v>
      </c>
      <c r="C125" s="141">
        <f>IF($C$8="Habilitado",IF($A125="","",ROUND(VLOOKUP($A125,'Presupuesto Consolidado'!$A$9:$F$600,6,FALSE),2)),"")</f>
        <v>3001500</v>
      </c>
      <c r="D125" s="142">
        <f t="shared" ref="D125" si="1407">IF($A125="","",IF(C125="","",IF($K$4="Media aritmética",(C125&lt;=$B125)*($G$5/$B$5)+(C125&gt;$B125)*0,IF(ROUND(AVERAGE($C125,$E125,$G125,$I125,$K125,$M125,$O125,$Q125,$S125,$U125,$W125,$Y125,$AA125,$AC125,$AE125),2)-$B125/2&lt;=C125,IF(ROUND(AVERAGE($C125,$E125,$G125,$I125,$K125,$M125,$O125,$Q125,$S125,$U125,$W125,$Y125,$AA125,$AC125,$AE125),2)+$B125/2&gt;C125,($G$5/$B$5),0),0))))</f>
        <v>0.45714285714285713</v>
      </c>
      <c r="E125" s="141" t="str">
        <f>IF($E$8="Habilitado",IF($A125="","",ROUND(VLOOKUP($A125,'Presupuesto Consolidado'!$I$9:$N$600,6,FALSE),2)),"")</f>
        <v/>
      </c>
      <c r="F125" s="142" t="str">
        <f t="shared" ref="F125" si="1408">IF($A125="","",IF(E125="","",IF($K$4="Media aritmética",(E125&lt;=$B125)*($G$5/$B$5)+(E125&gt;$B125)*0,IF(ROUND(AVERAGE($C125,$E125,$G125,$I125,$K125,$M125,$O125,$Q125,$S125,$U125,$W125,$Y125,$AA125,$AC125,$AE125),2)-$B125/2&lt;=E125,IF(ROUND(AVERAGE($C125,$E125,$G125,$I125,$K125,$M125,$O125,$Q125,$S125,$U125,$W125,$Y125,$AA125,$AC125,$AE125),2)+$B125/2&gt;E125,($G$5/$B$5),0),0))))</f>
        <v/>
      </c>
      <c r="G125" s="141" t="str">
        <f>IF($G$8="Habilitado",IF($A125="","",ROUND(VLOOKUP($A125,'Presupuesto Consolidado'!$Q$9:$V$600,6,FALSE),2)),"")</f>
        <v/>
      </c>
      <c r="H125" s="142" t="str">
        <f t="shared" ref="H125" si="1409">IF($A125="","",IF(G125="","",IF($K$4="Media aritmética",(G125&lt;=$B125)*($G$5/$B$5)+(G125&gt;$B125)*0,IF(ROUND(AVERAGE($C125,$E125,$G125,$I125,$K125,$M125,$O125,$Q125,$S125,$U125,$W125,$Y125,$AA125,$AC125,$AE125),2)-$B125/2&lt;=G125,IF(ROUND(AVERAGE($C125,$E125,$G125,$I125,$K125,$M125,$O125,$Q125,$S125,$U125,$W125,$Y125,$AA125,$AC125,$AE125),2)+$B125/2&gt;G125,($G$5/$B$5),0),0))))</f>
        <v/>
      </c>
      <c r="I125" s="141" t="str">
        <f>IF($I$8="Habilitado",IF($A125="","",ROUND(VLOOKUP($A125,'Presupuesto Consolidado'!$Y$9:$AD$600,6,FALSE),2)),"")</f>
        <v/>
      </c>
      <c r="J125" s="142" t="str">
        <f t="shared" ref="J125" si="1410">IF($A125="","",IF(I125="","",IF($K$4="Media aritmética",(I125&lt;=$B125)*($G$5/$B$5)+(I125&gt;$B125)*0,IF(ROUND(AVERAGE($C125,$E125,$G125,$I125,$K125,$M125,$O125,$Q125,$S125,$U125,$W125,$Y125,$AA125,$AC125,$AE125),2)-$B125/2&lt;=I125,IF(ROUND(AVERAGE($C125,$E125,$G125,$I125,$K125,$M125,$O125,$Q125,$S125,$U125,$W125,$Y125,$AA125,$AC125,$AE125),2)+$B125/2&gt;I125,($G$5/$B$5),0),0))))</f>
        <v/>
      </c>
      <c r="K125" s="141" t="str">
        <f>IF($K$8="Habilitado",IF($A125="","",ROUND(VLOOKUP($A125,'Presupuesto Consolidado'!#REF!,6,FALSE),2)),"")</f>
        <v/>
      </c>
      <c r="L125" s="142" t="str">
        <f t="shared" ref="L125" si="1411">IF($A125="","",IF(K125="","",IF($K$4="Media aritmética",(K125&lt;=$B125)*($G$5/$B$5)+(K125&gt;$B125)*0,IF(ROUND(AVERAGE($C125,$E125,$G125,$I125,$K125,$M125,$O125,$Q125,$S125,$U125,$W125,$Y125,$AA125,$AC125,$AE125),2)-$B125/2&lt;=K125,IF(ROUND(AVERAGE($C125,$E125,$G125,$I125,$K125,$M125,$O125,$Q125,$S125,$U125,$W125,$Y125,$AA125,$AC125,$AE125),2)+$B125/2&gt;K125,($G$5/$B$5),0),0))))</f>
        <v/>
      </c>
      <c r="M125" s="141" t="str">
        <f>IF($M$8="Habilitado",IF($A125="","",ROUND(VLOOKUP($A125,'Presupuesto Consolidado'!#REF!,6,FALSE),2)),"")</f>
        <v/>
      </c>
      <c r="N125" s="142" t="str">
        <f t="shared" ref="N125" si="1412">IF($A125="","",IF(M125="","",IF($K$4="Media aritmética",(M125&lt;=$B125)*($G$5/$B$5)+(M125&gt;$B125)*0,IF(ROUND(AVERAGE($C125,$E125,$G125,$I125,$K125,$M125,$O125,$Q125,$S125,$U125,$W125,$Y125,$AA125,$AC125,$AE125),2)-$B125/2&lt;=M125,IF(ROUND(AVERAGE($C125,$E125,$G125,$I125,$K125,$M125,$O125,$Q125,$S125,$U125,$W125,$Y125,$AA125,$AC125,$AE125),2)+$B125/2&gt;M125,($G$5/$B$5),0),0))))</f>
        <v/>
      </c>
      <c r="O125" s="141" t="str">
        <f>IF($O$8="Habilitado",IF($A125="","",ROUND(VLOOKUP($A125,'Presupuesto Consolidado'!#REF!,6,FALSE),2)),"")</f>
        <v/>
      </c>
      <c r="P125" s="142" t="str">
        <f t="shared" ref="P125" si="1413">IF($A125="","",IF(O125="","",IF($K$4="Media aritmética",(O125&lt;=$B125)*($G$5/$B$5)+(O125&gt;$B125)*0,IF(ROUND(AVERAGE($C125,$E125,$G125,$I125,$K125,$M125,$O125,$Q125,$S125,$U125,$W125,$Y125,$AA125,$AC125,$AE125),2)-$B125/2&lt;=O125,IF(ROUND(AVERAGE($C125,$E125,$G125,$I125,$K125,$M125,$O125,$Q125,$S125,$U125,$W125,$Y125,$AA125,$AC125,$AE125),2)+$B125/2&gt;O125,($G$5/$B$5),0),0))))</f>
        <v/>
      </c>
      <c r="Q125" s="141" t="str">
        <f>IF($Q$8="Habilitado",IF($A125="","",ROUND(VLOOKUP($A125,'Presupuesto Consolidado'!#REF!,6,FALSE),2)),"")</f>
        <v/>
      </c>
      <c r="R125" s="142" t="str">
        <f t="shared" ref="R125" si="1414">IF($A125="","",IF(Q125="","",IF($K$4="Media aritmética",(Q125&lt;=$B125)*($G$5/$B$5)+(Q125&gt;$B125)*0,IF(ROUND(AVERAGE($C125,$E125,$G125,$I125,$K125,$M125,$O125,$Q125,$S125,$U125,$W125,$Y125,$AA125,$AC125,$AE125),2)-$B125/2&lt;=Q125,IF(ROUND(AVERAGE($C125,$E125,$G125,$I125,$K125,$M125,$O125,$Q125,$S125,$U125,$W125,$Y125,$AA125,$AC125,$AE125),2)+$B125/2&gt;Q125,($G$5/$B$5),0),0))))</f>
        <v/>
      </c>
      <c r="S125" s="141" t="str">
        <f>IF($S$8="Habilitado",IF($A125="","",ROUND(VLOOKUP($A125,'Presupuesto Consolidado'!#REF!,6,FALSE),2)),"")</f>
        <v/>
      </c>
      <c r="T125" s="142" t="str">
        <f t="shared" ref="T125" si="1415">IF($A125="","",IF(S125="","",IF($K$4="Media aritmética",(S125&lt;=$B125)*($G$5/$B$5)+(S125&gt;$B125)*0,IF(ROUND(AVERAGE($C125,$E125,$G125,$I125,$K125,$M125,$O125,$Q125,$S125,$U125,$W125,$Y125,$AA125,$AC125,$AE125),2)-$B125/2&lt;=S125,IF(ROUND(AVERAGE($C125,$E125,$G125,$I125,$K125,$M125,$O125,$Q125,$S125,$U125,$W125,$Y125,$AA125,$AC125,$AE125),2)+$B125/2&gt;S125,($G$5/$B$5),0),0))))</f>
        <v/>
      </c>
      <c r="U125" s="141" t="str">
        <f>IF($U$8="Habilitado",IF($A125="","",ROUND(VLOOKUP($A125,'Presupuesto Consolidado'!#REF!,6,FALSE),2)),"")</f>
        <v/>
      </c>
      <c r="V125" s="142" t="str">
        <f t="shared" ref="V125" si="1416">IF($A125="","",IF(U125="","",IF($K$4="Media aritmética",(U125&lt;=$B125)*($G$5/$B$5)+(U125&gt;$B125)*0,IF(ROUND(AVERAGE($C125,$E125,$G125,$I125,$K125,$M125,$O125,$Q125,$S125,$U125,$W125,$Y125,$AA125,$AC125,$AE125),2)-$B125/2&lt;=U125,IF(ROUND(AVERAGE($C125,$E125,$G125,$I125,$K125,$M125,$O125,$Q125,$S125,$U125,$W125,$Y125,$AA125,$AC125,$AE125),2)+$B125/2&gt;U125,($G$5/$B$5),0),0))))</f>
        <v/>
      </c>
      <c r="W125" s="141" t="str">
        <f>IF($W$8="Habilitado",IF($A125="","",ROUND(VLOOKUP($A125,'Presupuesto Consolidado'!#REF!,6,FALSE),2)),"")</f>
        <v/>
      </c>
      <c r="X125" s="142" t="str">
        <f t="shared" ref="X125" si="1417">IF($A125="","",IF(W125="","",IF($K$4="Media aritmética",(W125&lt;=$B125)*($G$5/$B$5)+(W125&gt;$B125)*0,IF(ROUND(AVERAGE($C125,$E125,$G125,$I125,$K125,$M125,$O125,$Q125,$S125,$U125,$W125,$Y125,$AA125,$AC125,$AE125),2)-$B125/2&lt;=W125,IF(ROUND(AVERAGE($C125,$E125,$G125,$I125,$K125,$M125,$O125,$Q125,$S125,$U125,$W125,$Y125,$AA125,$AC125,$AE125),2)+$B125/2&gt;W125,($G$5/$B$5),0),0))))</f>
        <v/>
      </c>
      <c r="Y125" s="141" t="str">
        <f>IF($Y$8="Habilitado",IF($A125="","",ROUND(VLOOKUP($A125,'Presupuesto Consolidado'!#REF!,6,FALSE),2)),"")</f>
        <v/>
      </c>
      <c r="Z125" s="142" t="str">
        <f t="shared" ref="Z125" si="1418">IF($A125="","",IF(Y125="","",IF($K$4="Media aritmética",(Y125&lt;=$B125)*($G$5/$B$5)+(Y125&gt;$B125)*0,IF(ROUND(AVERAGE($C125,$E125,$G125,$I125,$K125,$M125,$O125,$Q125,$S125,$U125,$W125,$Y125,$AA125,$AC125,$AE125),2)-$B125/2&lt;=Y125,IF(ROUND(AVERAGE($C125,$E125,$G125,$I125,$K125,$M125,$O125,$Q125,$S125,$U125,$W125,$Y125,$AA125,$AC125,$AE125),2)+$B125/2&gt;Y125,($G$5/$B$5),0),0))))</f>
        <v/>
      </c>
      <c r="AA125" s="141" t="str">
        <f>IF($AA$8="Habilitado",IF($A125="","",ROUND(VLOOKUP($A125,'Presupuesto Consolidado'!#REF!,6,FALSE),2)),"")</f>
        <v/>
      </c>
      <c r="AB125" s="142" t="str">
        <f t="shared" ref="AB125" si="1419">IF($A125="","",IF(AA125="","",IF($K$4="Media aritmética",(AA125&lt;=$B125)*($G$5/$B$5)+(AA125&gt;$B125)*0,IF(ROUND(AVERAGE($C125,$E125,$G125,$I125,$K125,$M125,$O125,$Q125,$S125,$U125,$W125,$Y125,$AA125,$AC125,$AE125),2)-$B125/2&lt;=AA125,IF(ROUND(AVERAGE($C125,$E125,$G125,$I125,$K125,$M125,$O125,$Q125,$S125,$U125,$W125,$Y125,$AA125,$AC125,$AE125),2)+$B125/2&gt;AA125,($G$5/$B$5),0),0))))</f>
        <v/>
      </c>
      <c r="AC125" s="141" t="str">
        <f>IF($AC$8="Habilitado",IF($A125="","",ROUND(VLOOKUP($A125,'Presupuesto Consolidado'!#REF!,6,FALSE),2)),"")</f>
        <v/>
      </c>
      <c r="AD125" s="142" t="str">
        <f t="shared" ref="AD125" si="1420">IF($A125="","",IF(AC125="","",IF($K$4="Media aritmética",(AC125&lt;=$B125)*($G$5/$B$5)+(AC125&gt;$B125)*0,IF(ROUND(AVERAGE($C125,$E125,$G125,$I125,$K125,$M125,$O125,$Q125,$S125,$U125,$W125,$Y125,$AA125,$AC125,$AE125),2)-$B125/2&lt;=AC125,IF(ROUND(AVERAGE($C125,$E125,$G125,$I125,$K125,$M125,$O125,$Q125,$S125,$U125,$W125,$Y125,$AA125,$AC125,$AE125),2)+$B125/2&gt;AC125,($G$5/$B$5),0),0))))</f>
        <v/>
      </c>
      <c r="AE125" s="141" t="str">
        <f>IF($AE$8="Habilitado",IF($A125="","",ROUND(VLOOKUP($A125,'Presupuesto Consolidado'!#REF!,6,FALSE),2)),"")</f>
        <v/>
      </c>
      <c r="AF125" s="142" t="str">
        <f t="shared" ref="AF125" si="1421">IF($A125="","",IF(AE125="","",IF($K$4="Media aritmética",(AE125&lt;=$B125)*($G$5/$B$5)+(AE125&gt;$B125)*0,IF(ROUND(AVERAGE($C125,$E125,$G125,$I125,$K125,$M125,$O125,$Q125,$S125,$U125,$W125,$Y125,$AA125,$AC125,$AE125),2)-$B125/2&lt;=AE125,IF(ROUND(AVERAGE($C125,$E125,$G125,$I125,$K125,$M125,$O125,$Q125,$S125,$U125,$W125,$Y125,$AA125,$AC125,$AE125),2)+$B125/2&gt;AE125,($G$5/$B$5),0),0))))</f>
        <v/>
      </c>
    </row>
    <row r="126" spans="1:32" s="135" customFormat="1" ht="21" customHeight="1">
      <c r="A126" s="132" t="str">
        <f>+'Presupuesto Consolidado'!A142</f>
        <v>12.3.38</v>
      </c>
      <c r="B126" s="140">
        <f t="shared" ref="B126" si="1422">IF(A126="","",IF($K$4="Media aritmética",ROUND(AVERAGE(C126,E126,G126,I126,K126,M126,O126,Q126,S126,U126,W126,Y126,AA126,AC126,AE126),2),ROUND(_xlfn.STDEV.P(C126,E126,G126,I126,K126,M126,O126,Q126,S126,U126,W126,Y126,AA126,AC126,AE126),2)))</f>
        <v>31050</v>
      </c>
      <c r="C126" s="141">
        <f>IF($C$8="Habilitado",IF($A126="","",ROUND(VLOOKUP($A126,'Presupuesto Consolidado'!$A$9:$F$600,6,FALSE),2)),"")</f>
        <v>31050</v>
      </c>
      <c r="D126" s="142">
        <f t="shared" ref="D126" si="1423">IF($A126="","",IF(C126="","",IF($K$4="Media aritmética",(C126&lt;=$B126)*($G$5/$B$5)+(C126&gt;$B126)*0,IF(ROUND(AVERAGE($C126,$E126,$G126,$I126,$K126,$M126,$O126,$Q126,$S126,$U126,$W126,$Y126,$AA126,$AC126,$AE126),2)-$B126/2&lt;=C126,IF(ROUND(AVERAGE($C126,$E126,$G126,$I126,$K126,$M126,$O126,$Q126,$S126,$U126,$W126,$Y126,$AA126,$AC126,$AE126),2)+$B126/2&gt;C126,($G$5/$B$5),0),0))))</f>
        <v>0.45714285714285713</v>
      </c>
      <c r="E126" s="141" t="str">
        <f>IF($E$8="Habilitado",IF($A126="","",ROUND(VLOOKUP($A126,'Presupuesto Consolidado'!$I$9:$N$600,6,FALSE),2)),"")</f>
        <v/>
      </c>
      <c r="F126" s="142" t="str">
        <f t="shared" ref="F126" si="1424">IF($A126="","",IF(E126="","",IF($K$4="Media aritmética",(E126&lt;=$B126)*($G$5/$B$5)+(E126&gt;$B126)*0,IF(ROUND(AVERAGE($C126,$E126,$G126,$I126,$K126,$M126,$O126,$Q126,$S126,$U126,$W126,$Y126,$AA126,$AC126,$AE126),2)-$B126/2&lt;=E126,IF(ROUND(AVERAGE($C126,$E126,$G126,$I126,$K126,$M126,$O126,$Q126,$S126,$U126,$W126,$Y126,$AA126,$AC126,$AE126),2)+$B126/2&gt;E126,($G$5/$B$5),0),0))))</f>
        <v/>
      </c>
      <c r="G126" s="141" t="str">
        <f>IF($G$8="Habilitado",IF($A126="","",ROUND(VLOOKUP($A126,'Presupuesto Consolidado'!$Q$9:$V$600,6,FALSE),2)),"")</f>
        <v/>
      </c>
      <c r="H126" s="142" t="str">
        <f t="shared" ref="H126" si="1425">IF($A126="","",IF(G126="","",IF($K$4="Media aritmética",(G126&lt;=$B126)*($G$5/$B$5)+(G126&gt;$B126)*0,IF(ROUND(AVERAGE($C126,$E126,$G126,$I126,$K126,$M126,$O126,$Q126,$S126,$U126,$W126,$Y126,$AA126,$AC126,$AE126),2)-$B126/2&lt;=G126,IF(ROUND(AVERAGE($C126,$E126,$G126,$I126,$K126,$M126,$O126,$Q126,$S126,$U126,$W126,$Y126,$AA126,$AC126,$AE126),2)+$B126/2&gt;G126,($G$5/$B$5),0),0))))</f>
        <v/>
      </c>
      <c r="I126" s="141" t="str">
        <f>IF($I$8="Habilitado",IF($A126="","",ROUND(VLOOKUP($A126,'Presupuesto Consolidado'!$Y$9:$AD$600,6,FALSE),2)),"")</f>
        <v/>
      </c>
      <c r="J126" s="142" t="str">
        <f t="shared" ref="J126" si="1426">IF($A126="","",IF(I126="","",IF($K$4="Media aritmética",(I126&lt;=$B126)*($G$5/$B$5)+(I126&gt;$B126)*0,IF(ROUND(AVERAGE($C126,$E126,$G126,$I126,$K126,$M126,$O126,$Q126,$S126,$U126,$W126,$Y126,$AA126,$AC126,$AE126),2)-$B126/2&lt;=I126,IF(ROUND(AVERAGE($C126,$E126,$G126,$I126,$K126,$M126,$O126,$Q126,$S126,$U126,$W126,$Y126,$AA126,$AC126,$AE126),2)+$B126/2&gt;I126,($G$5/$B$5),0),0))))</f>
        <v/>
      </c>
      <c r="K126" s="141" t="str">
        <f>IF($K$8="Habilitado",IF($A126="","",ROUND(VLOOKUP($A126,'Presupuesto Consolidado'!#REF!,6,FALSE),2)),"")</f>
        <v/>
      </c>
      <c r="L126" s="142" t="str">
        <f t="shared" ref="L126" si="1427">IF($A126="","",IF(K126="","",IF($K$4="Media aritmética",(K126&lt;=$B126)*($G$5/$B$5)+(K126&gt;$B126)*0,IF(ROUND(AVERAGE($C126,$E126,$G126,$I126,$K126,$M126,$O126,$Q126,$S126,$U126,$W126,$Y126,$AA126,$AC126,$AE126),2)-$B126/2&lt;=K126,IF(ROUND(AVERAGE($C126,$E126,$G126,$I126,$K126,$M126,$O126,$Q126,$S126,$U126,$W126,$Y126,$AA126,$AC126,$AE126),2)+$B126/2&gt;K126,($G$5/$B$5),0),0))))</f>
        <v/>
      </c>
      <c r="M126" s="141" t="str">
        <f>IF($M$8="Habilitado",IF($A126="","",ROUND(VLOOKUP($A126,'Presupuesto Consolidado'!#REF!,6,FALSE),2)),"")</f>
        <v/>
      </c>
      <c r="N126" s="142" t="str">
        <f t="shared" ref="N126" si="1428">IF($A126="","",IF(M126="","",IF($K$4="Media aritmética",(M126&lt;=$B126)*($G$5/$B$5)+(M126&gt;$B126)*0,IF(ROUND(AVERAGE($C126,$E126,$G126,$I126,$K126,$M126,$O126,$Q126,$S126,$U126,$W126,$Y126,$AA126,$AC126,$AE126),2)-$B126/2&lt;=M126,IF(ROUND(AVERAGE($C126,$E126,$G126,$I126,$K126,$M126,$O126,$Q126,$S126,$U126,$W126,$Y126,$AA126,$AC126,$AE126),2)+$B126/2&gt;M126,($G$5/$B$5),0),0))))</f>
        <v/>
      </c>
      <c r="O126" s="141" t="str">
        <f>IF($O$8="Habilitado",IF($A126="","",ROUND(VLOOKUP($A126,'Presupuesto Consolidado'!#REF!,6,FALSE),2)),"")</f>
        <v/>
      </c>
      <c r="P126" s="142" t="str">
        <f t="shared" ref="P126" si="1429">IF($A126="","",IF(O126="","",IF($K$4="Media aritmética",(O126&lt;=$B126)*($G$5/$B$5)+(O126&gt;$B126)*0,IF(ROUND(AVERAGE($C126,$E126,$G126,$I126,$K126,$M126,$O126,$Q126,$S126,$U126,$W126,$Y126,$AA126,$AC126,$AE126),2)-$B126/2&lt;=O126,IF(ROUND(AVERAGE($C126,$E126,$G126,$I126,$K126,$M126,$O126,$Q126,$S126,$U126,$W126,$Y126,$AA126,$AC126,$AE126),2)+$B126/2&gt;O126,($G$5/$B$5),0),0))))</f>
        <v/>
      </c>
      <c r="Q126" s="141" t="str">
        <f>IF($Q$8="Habilitado",IF($A126="","",ROUND(VLOOKUP($A126,'Presupuesto Consolidado'!#REF!,6,FALSE),2)),"")</f>
        <v/>
      </c>
      <c r="R126" s="142" t="str">
        <f t="shared" ref="R126" si="1430">IF($A126="","",IF(Q126="","",IF($K$4="Media aritmética",(Q126&lt;=$B126)*($G$5/$B$5)+(Q126&gt;$B126)*0,IF(ROUND(AVERAGE($C126,$E126,$G126,$I126,$K126,$M126,$O126,$Q126,$S126,$U126,$W126,$Y126,$AA126,$AC126,$AE126),2)-$B126/2&lt;=Q126,IF(ROUND(AVERAGE($C126,$E126,$G126,$I126,$K126,$M126,$O126,$Q126,$S126,$U126,$W126,$Y126,$AA126,$AC126,$AE126),2)+$B126/2&gt;Q126,($G$5/$B$5),0),0))))</f>
        <v/>
      </c>
      <c r="S126" s="141" t="str">
        <f>IF($S$8="Habilitado",IF($A126="","",ROUND(VLOOKUP($A126,'Presupuesto Consolidado'!#REF!,6,FALSE),2)),"")</f>
        <v/>
      </c>
      <c r="T126" s="142" t="str">
        <f t="shared" ref="T126" si="1431">IF($A126="","",IF(S126="","",IF($K$4="Media aritmética",(S126&lt;=$B126)*($G$5/$B$5)+(S126&gt;$B126)*0,IF(ROUND(AVERAGE($C126,$E126,$G126,$I126,$K126,$M126,$O126,$Q126,$S126,$U126,$W126,$Y126,$AA126,$AC126,$AE126),2)-$B126/2&lt;=S126,IF(ROUND(AVERAGE($C126,$E126,$G126,$I126,$K126,$M126,$O126,$Q126,$S126,$U126,$W126,$Y126,$AA126,$AC126,$AE126),2)+$B126/2&gt;S126,($G$5/$B$5),0),0))))</f>
        <v/>
      </c>
      <c r="U126" s="141" t="str">
        <f>IF($U$8="Habilitado",IF($A126="","",ROUND(VLOOKUP($A126,'Presupuesto Consolidado'!#REF!,6,FALSE),2)),"")</f>
        <v/>
      </c>
      <c r="V126" s="142" t="str">
        <f t="shared" ref="V126" si="1432">IF($A126="","",IF(U126="","",IF($K$4="Media aritmética",(U126&lt;=$B126)*($G$5/$B$5)+(U126&gt;$B126)*0,IF(ROUND(AVERAGE($C126,$E126,$G126,$I126,$K126,$M126,$O126,$Q126,$S126,$U126,$W126,$Y126,$AA126,$AC126,$AE126),2)-$B126/2&lt;=U126,IF(ROUND(AVERAGE($C126,$E126,$G126,$I126,$K126,$M126,$O126,$Q126,$S126,$U126,$W126,$Y126,$AA126,$AC126,$AE126),2)+$B126/2&gt;U126,($G$5/$B$5),0),0))))</f>
        <v/>
      </c>
      <c r="W126" s="141" t="str">
        <f>IF($W$8="Habilitado",IF($A126="","",ROUND(VLOOKUP($A126,'Presupuesto Consolidado'!#REF!,6,FALSE),2)),"")</f>
        <v/>
      </c>
      <c r="X126" s="142" t="str">
        <f t="shared" ref="X126" si="1433">IF($A126="","",IF(W126="","",IF($K$4="Media aritmética",(W126&lt;=$B126)*($G$5/$B$5)+(W126&gt;$B126)*0,IF(ROUND(AVERAGE($C126,$E126,$G126,$I126,$K126,$M126,$O126,$Q126,$S126,$U126,$W126,$Y126,$AA126,$AC126,$AE126),2)-$B126/2&lt;=W126,IF(ROUND(AVERAGE($C126,$E126,$G126,$I126,$K126,$M126,$O126,$Q126,$S126,$U126,$W126,$Y126,$AA126,$AC126,$AE126),2)+$B126/2&gt;W126,($G$5/$B$5),0),0))))</f>
        <v/>
      </c>
      <c r="Y126" s="141" t="str">
        <f>IF($Y$8="Habilitado",IF($A126="","",ROUND(VLOOKUP($A126,'Presupuesto Consolidado'!#REF!,6,FALSE),2)),"")</f>
        <v/>
      </c>
      <c r="Z126" s="142" t="str">
        <f t="shared" ref="Z126" si="1434">IF($A126="","",IF(Y126="","",IF($K$4="Media aritmética",(Y126&lt;=$B126)*($G$5/$B$5)+(Y126&gt;$B126)*0,IF(ROUND(AVERAGE($C126,$E126,$G126,$I126,$K126,$M126,$O126,$Q126,$S126,$U126,$W126,$Y126,$AA126,$AC126,$AE126),2)-$B126/2&lt;=Y126,IF(ROUND(AVERAGE($C126,$E126,$G126,$I126,$K126,$M126,$O126,$Q126,$S126,$U126,$W126,$Y126,$AA126,$AC126,$AE126),2)+$B126/2&gt;Y126,($G$5/$B$5),0),0))))</f>
        <v/>
      </c>
      <c r="AA126" s="141" t="str">
        <f>IF($AA$8="Habilitado",IF($A126="","",ROUND(VLOOKUP($A126,'Presupuesto Consolidado'!#REF!,6,FALSE),2)),"")</f>
        <v/>
      </c>
      <c r="AB126" s="142" t="str">
        <f t="shared" ref="AB126" si="1435">IF($A126="","",IF(AA126="","",IF($K$4="Media aritmética",(AA126&lt;=$B126)*($G$5/$B$5)+(AA126&gt;$B126)*0,IF(ROUND(AVERAGE($C126,$E126,$G126,$I126,$K126,$M126,$O126,$Q126,$S126,$U126,$W126,$Y126,$AA126,$AC126,$AE126),2)-$B126/2&lt;=AA126,IF(ROUND(AVERAGE($C126,$E126,$G126,$I126,$K126,$M126,$O126,$Q126,$S126,$U126,$W126,$Y126,$AA126,$AC126,$AE126),2)+$B126/2&gt;AA126,($G$5/$B$5),0),0))))</f>
        <v/>
      </c>
      <c r="AC126" s="141" t="str">
        <f>IF($AC$8="Habilitado",IF($A126="","",ROUND(VLOOKUP($A126,'Presupuesto Consolidado'!#REF!,6,FALSE),2)),"")</f>
        <v/>
      </c>
      <c r="AD126" s="142" t="str">
        <f t="shared" ref="AD126" si="1436">IF($A126="","",IF(AC126="","",IF($K$4="Media aritmética",(AC126&lt;=$B126)*($G$5/$B$5)+(AC126&gt;$B126)*0,IF(ROUND(AVERAGE($C126,$E126,$G126,$I126,$K126,$M126,$O126,$Q126,$S126,$U126,$W126,$Y126,$AA126,$AC126,$AE126),2)-$B126/2&lt;=AC126,IF(ROUND(AVERAGE($C126,$E126,$G126,$I126,$K126,$M126,$O126,$Q126,$S126,$U126,$W126,$Y126,$AA126,$AC126,$AE126),2)+$B126/2&gt;AC126,($G$5/$B$5),0),0))))</f>
        <v/>
      </c>
      <c r="AE126" s="141" t="str">
        <f>IF($AE$8="Habilitado",IF($A126="","",ROUND(VLOOKUP($A126,'Presupuesto Consolidado'!#REF!,6,FALSE),2)),"")</f>
        <v/>
      </c>
      <c r="AF126" s="142" t="str">
        <f t="shared" ref="AF126" si="1437">IF($A126="","",IF(AE126="","",IF($K$4="Media aritmética",(AE126&lt;=$B126)*($G$5/$B$5)+(AE126&gt;$B126)*0,IF(ROUND(AVERAGE($C126,$E126,$G126,$I126,$K126,$M126,$O126,$Q126,$S126,$U126,$W126,$Y126,$AA126,$AC126,$AE126),2)-$B126/2&lt;=AE126,IF(ROUND(AVERAGE($C126,$E126,$G126,$I126,$K126,$M126,$O126,$Q126,$S126,$U126,$W126,$Y126,$AA126,$AC126,$AE126),2)+$B126/2&gt;AE126,($G$5/$B$5),0),0))))</f>
        <v/>
      </c>
    </row>
    <row r="127" spans="1:32" s="135" customFormat="1" ht="21" customHeight="1">
      <c r="A127" s="132" t="str">
        <f>+'Presupuesto Consolidado'!A143</f>
        <v>12.3.39</v>
      </c>
      <c r="B127" s="140">
        <f t="shared" ref="B127" si="1438">IF(A127="","",IF($K$4="Media aritmética",ROUND(AVERAGE(C127,E127,G127,I127,K127,M127,O127,Q127,S127,U127,W127,Y127,AA127,AC127,AE127),2),ROUND(_xlfn.STDEV.P(C127,E127,G127,I127,K127,M127,O127,Q127,S127,U127,W127,Y127,AA127,AC127,AE127),2)))</f>
        <v>124200</v>
      </c>
      <c r="C127" s="141">
        <f>IF($C$8="Habilitado",IF($A127="","",ROUND(VLOOKUP($A127,'Presupuesto Consolidado'!$A$9:$F$600,6,FALSE),2)),"")</f>
        <v>124200</v>
      </c>
      <c r="D127" s="142">
        <f t="shared" ref="D127" si="1439">IF($A127="","",IF(C127="","",IF($K$4="Media aritmética",(C127&lt;=$B127)*($G$5/$B$5)+(C127&gt;$B127)*0,IF(ROUND(AVERAGE($C127,$E127,$G127,$I127,$K127,$M127,$O127,$Q127,$S127,$U127,$W127,$Y127,$AA127,$AC127,$AE127),2)-$B127/2&lt;=C127,IF(ROUND(AVERAGE($C127,$E127,$G127,$I127,$K127,$M127,$O127,$Q127,$S127,$U127,$W127,$Y127,$AA127,$AC127,$AE127),2)+$B127/2&gt;C127,($G$5/$B$5),0),0))))</f>
        <v>0.45714285714285713</v>
      </c>
      <c r="E127" s="141" t="str">
        <f>IF($E$8="Habilitado",IF($A127="","",ROUND(VLOOKUP($A127,'Presupuesto Consolidado'!$I$9:$N$600,6,FALSE),2)),"")</f>
        <v/>
      </c>
      <c r="F127" s="142" t="str">
        <f t="shared" ref="F127" si="1440">IF($A127="","",IF(E127="","",IF($K$4="Media aritmética",(E127&lt;=$B127)*($G$5/$B$5)+(E127&gt;$B127)*0,IF(ROUND(AVERAGE($C127,$E127,$G127,$I127,$K127,$M127,$O127,$Q127,$S127,$U127,$W127,$Y127,$AA127,$AC127,$AE127),2)-$B127/2&lt;=E127,IF(ROUND(AVERAGE($C127,$E127,$G127,$I127,$K127,$M127,$O127,$Q127,$S127,$U127,$W127,$Y127,$AA127,$AC127,$AE127),2)+$B127/2&gt;E127,($G$5/$B$5),0),0))))</f>
        <v/>
      </c>
      <c r="G127" s="141" t="str">
        <f>IF($G$8="Habilitado",IF($A127="","",ROUND(VLOOKUP($A127,'Presupuesto Consolidado'!$Q$9:$V$600,6,FALSE),2)),"")</f>
        <v/>
      </c>
      <c r="H127" s="142" t="str">
        <f t="shared" ref="H127" si="1441">IF($A127="","",IF(G127="","",IF($K$4="Media aritmética",(G127&lt;=$B127)*($G$5/$B$5)+(G127&gt;$B127)*0,IF(ROUND(AVERAGE($C127,$E127,$G127,$I127,$K127,$M127,$O127,$Q127,$S127,$U127,$W127,$Y127,$AA127,$AC127,$AE127),2)-$B127/2&lt;=G127,IF(ROUND(AVERAGE($C127,$E127,$G127,$I127,$K127,$M127,$O127,$Q127,$S127,$U127,$W127,$Y127,$AA127,$AC127,$AE127),2)+$B127/2&gt;G127,($G$5/$B$5),0),0))))</f>
        <v/>
      </c>
      <c r="I127" s="141" t="str">
        <f>IF($I$8="Habilitado",IF($A127="","",ROUND(VLOOKUP($A127,'Presupuesto Consolidado'!$Y$9:$AD$600,6,FALSE),2)),"")</f>
        <v/>
      </c>
      <c r="J127" s="142" t="str">
        <f t="shared" ref="J127" si="1442">IF($A127="","",IF(I127="","",IF($K$4="Media aritmética",(I127&lt;=$B127)*($G$5/$B$5)+(I127&gt;$B127)*0,IF(ROUND(AVERAGE($C127,$E127,$G127,$I127,$K127,$M127,$O127,$Q127,$S127,$U127,$W127,$Y127,$AA127,$AC127,$AE127),2)-$B127/2&lt;=I127,IF(ROUND(AVERAGE($C127,$E127,$G127,$I127,$K127,$M127,$O127,$Q127,$S127,$U127,$W127,$Y127,$AA127,$AC127,$AE127),2)+$B127/2&gt;I127,($G$5/$B$5),0),0))))</f>
        <v/>
      </c>
      <c r="K127" s="141" t="str">
        <f>IF($K$8="Habilitado",IF($A127="","",ROUND(VLOOKUP($A127,'Presupuesto Consolidado'!#REF!,6,FALSE),2)),"")</f>
        <v/>
      </c>
      <c r="L127" s="142" t="str">
        <f t="shared" ref="L127" si="1443">IF($A127="","",IF(K127="","",IF($K$4="Media aritmética",(K127&lt;=$B127)*($G$5/$B$5)+(K127&gt;$B127)*0,IF(ROUND(AVERAGE($C127,$E127,$G127,$I127,$K127,$M127,$O127,$Q127,$S127,$U127,$W127,$Y127,$AA127,$AC127,$AE127),2)-$B127/2&lt;=K127,IF(ROUND(AVERAGE($C127,$E127,$G127,$I127,$K127,$M127,$O127,$Q127,$S127,$U127,$W127,$Y127,$AA127,$AC127,$AE127),2)+$B127/2&gt;K127,($G$5/$B$5),0),0))))</f>
        <v/>
      </c>
      <c r="M127" s="141" t="str">
        <f>IF($M$8="Habilitado",IF($A127="","",ROUND(VLOOKUP($A127,'Presupuesto Consolidado'!#REF!,6,FALSE),2)),"")</f>
        <v/>
      </c>
      <c r="N127" s="142" t="str">
        <f t="shared" ref="N127" si="1444">IF($A127="","",IF(M127="","",IF($K$4="Media aritmética",(M127&lt;=$B127)*($G$5/$B$5)+(M127&gt;$B127)*0,IF(ROUND(AVERAGE($C127,$E127,$G127,$I127,$K127,$M127,$O127,$Q127,$S127,$U127,$W127,$Y127,$AA127,$AC127,$AE127),2)-$B127/2&lt;=M127,IF(ROUND(AVERAGE($C127,$E127,$G127,$I127,$K127,$M127,$O127,$Q127,$S127,$U127,$W127,$Y127,$AA127,$AC127,$AE127),2)+$B127/2&gt;M127,($G$5/$B$5),0),0))))</f>
        <v/>
      </c>
      <c r="O127" s="141" t="str">
        <f>IF($O$8="Habilitado",IF($A127="","",ROUND(VLOOKUP($A127,'Presupuesto Consolidado'!#REF!,6,FALSE),2)),"")</f>
        <v/>
      </c>
      <c r="P127" s="142" t="str">
        <f t="shared" ref="P127" si="1445">IF($A127="","",IF(O127="","",IF($K$4="Media aritmética",(O127&lt;=$B127)*($G$5/$B$5)+(O127&gt;$B127)*0,IF(ROUND(AVERAGE($C127,$E127,$G127,$I127,$K127,$M127,$O127,$Q127,$S127,$U127,$W127,$Y127,$AA127,$AC127,$AE127),2)-$B127/2&lt;=O127,IF(ROUND(AVERAGE($C127,$E127,$G127,$I127,$K127,$M127,$O127,$Q127,$S127,$U127,$W127,$Y127,$AA127,$AC127,$AE127),2)+$B127/2&gt;O127,($G$5/$B$5),0),0))))</f>
        <v/>
      </c>
      <c r="Q127" s="141" t="str">
        <f>IF($Q$8="Habilitado",IF($A127="","",ROUND(VLOOKUP($A127,'Presupuesto Consolidado'!#REF!,6,FALSE),2)),"")</f>
        <v/>
      </c>
      <c r="R127" s="142" t="str">
        <f t="shared" ref="R127" si="1446">IF($A127="","",IF(Q127="","",IF($K$4="Media aritmética",(Q127&lt;=$B127)*($G$5/$B$5)+(Q127&gt;$B127)*0,IF(ROUND(AVERAGE($C127,$E127,$G127,$I127,$K127,$M127,$O127,$Q127,$S127,$U127,$W127,$Y127,$AA127,$AC127,$AE127),2)-$B127/2&lt;=Q127,IF(ROUND(AVERAGE($C127,$E127,$G127,$I127,$K127,$M127,$O127,$Q127,$S127,$U127,$W127,$Y127,$AA127,$AC127,$AE127),2)+$B127/2&gt;Q127,($G$5/$B$5),0),0))))</f>
        <v/>
      </c>
      <c r="S127" s="141" t="str">
        <f>IF($S$8="Habilitado",IF($A127="","",ROUND(VLOOKUP($A127,'Presupuesto Consolidado'!#REF!,6,FALSE),2)),"")</f>
        <v/>
      </c>
      <c r="T127" s="142" t="str">
        <f t="shared" ref="T127" si="1447">IF($A127="","",IF(S127="","",IF($K$4="Media aritmética",(S127&lt;=$B127)*($G$5/$B$5)+(S127&gt;$B127)*0,IF(ROUND(AVERAGE($C127,$E127,$G127,$I127,$K127,$M127,$O127,$Q127,$S127,$U127,$W127,$Y127,$AA127,$AC127,$AE127),2)-$B127/2&lt;=S127,IF(ROUND(AVERAGE($C127,$E127,$G127,$I127,$K127,$M127,$O127,$Q127,$S127,$U127,$W127,$Y127,$AA127,$AC127,$AE127),2)+$B127/2&gt;S127,($G$5/$B$5),0),0))))</f>
        <v/>
      </c>
      <c r="U127" s="141" t="str">
        <f>IF($U$8="Habilitado",IF($A127="","",ROUND(VLOOKUP($A127,'Presupuesto Consolidado'!#REF!,6,FALSE),2)),"")</f>
        <v/>
      </c>
      <c r="V127" s="142" t="str">
        <f t="shared" ref="V127" si="1448">IF($A127="","",IF(U127="","",IF($K$4="Media aritmética",(U127&lt;=$B127)*($G$5/$B$5)+(U127&gt;$B127)*0,IF(ROUND(AVERAGE($C127,$E127,$G127,$I127,$K127,$M127,$O127,$Q127,$S127,$U127,$W127,$Y127,$AA127,$AC127,$AE127),2)-$B127/2&lt;=U127,IF(ROUND(AVERAGE($C127,$E127,$G127,$I127,$K127,$M127,$O127,$Q127,$S127,$U127,$W127,$Y127,$AA127,$AC127,$AE127),2)+$B127/2&gt;U127,($G$5/$B$5),0),0))))</f>
        <v/>
      </c>
      <c r="W127" s="141" t="str">
        <f>IF($W$8="Habilitado",IF($A127="","",ROUND(VLOOKUP($A127,'Presupuesto Consolidado'!#REF!,6,FALSE),2)),"")</f>
        <v/>
      </c>
      <c r="X127" s="142" t="str">
        <f t="shared" ref="X127" si="1449">IF($A127="","",IF(W127="","",IF($K$4="Media aritmética",(W127&lt;=$B127)*($G$5/$B$5)+(W127&gt;$B127)*0,IF(ROUND(AVERAGE($C127,$E127,$G127,$I127,$K127,$M127,$O127,$Q127,$S127,$U127,$W127,$Y127,$AA127,$AC127,$AE127),2)-$B127/2&lt;=W127,IF(ROUND(AVERAGE($C127,$E127,$G127,$I127,$K127,$M127,$O127,$Q127,$S127,$U127,$W127,$Y127,$AA127,$AC127,$AE127),2)+$B127/2&gt;W127,($G$5/$B$5),0),0))))</f>
        <v/>
      </c>
      <c r="Y127" s="141" t="str">
        <f>IF($Y$8="Habilitado",IF($A127="","",ROUND(VLOOKUP($A127,'Presupuesto Consolidado'!#REF!,6,FALSE),2)),"")</f>
        <v/>
      </c>
      <c r="Z127" s="142" t="str">
        <f t="shared" ref="Z127" si="1450">IF($A127="","",IF(Y127="","",IF($K$4="Media aritmética",(Y127&lt;=$B127)*($G$5/$B$5)+(Y127&gt;$B127)*0,IF(ROUND(AVERAGE($C127,$E127,$G127,$I127,$K127,$M127,$O127,$Q127,$S127,$U127,$W127,$Y127,$AA127,$AC127,$AE127),2)-$B127/2&lt;=Y127,IF(ROUND(AVERAGE($C127,$E127,$G127,$I127,$K127,$M127,$O127,$Q127,$S127,$U127,$W127,$Y127,$AA127,$AC127,$AE127),2)+$B127/2&gt;Y127,($G$5/$B$5),0),0))))</f>
        <v/>
      </c>
      <c r="AA127" s="141" t="str">
        <f>IF($AA$8="Habilitado",IF($A127="","",ROUND(VLOOKUP($A127,'Presupuesto Consolidado'!#REF!,6,FALSE),2)),"")</f>
        <v/>
      </c>
      <c r="AB127" s="142" t="str">
        <f t="shared" ref="AB127" si="1451">IF($A127="","",IF(AA127="","",IF($K$4="Media aritmética",(AA127&lt;=$B127)*($G$5/$B$5)+(AA127&gt;$B127)*0,IF(ROUND(AVERAGE($C127,$E127,$G127,$I127,$K127,$M127,$O127,$Q127,$S127,$U127,$W127,$Y127,$AA127,$AC127,$AE127),2)-$B127/2&lt;=AA127,IF(ROUND(AVERAGE($C127,$E127,$G127,$I127,$K127,$M127,$O127,$Q127,$S127,$U127,$W127,$Y127,$AA127,$AC127,$AE127),2)+$B127/2&gt;AA127,($G$5/$B$5),0),0))))</f>
        <v/>
      </c>
      <c r="AC127" s="141" t="str">
        <f>IF($AC$8="Habilitado",IF($A127="","",ROUND(VLOOKUP($A127,'Presupuesto Consolidado'!#REF!,6,FALSE),2)),"")</f>
        <v/>
      </c>
      <c r="AD127" s="142" t="str">
        <f t="shared" ref="AD127" si="1452">IF($A127="","",IF(AC127="","",IF($K$4="Media aritmética",(AC127&lt;=$B127)*($G$5/$B$5)+(AC127&gt;$B127)*0,IF(ROUND(AVERAGE($C127,$E127,$G127,$I127,$K127,$M127,$O127,$Q127,$S127,$U127,$W127,$Y127,$AA127,$AC127,$AE127),2)-$B127/2&lt;=AC127,IF(ROUND(AVERAGE($C127,$E127,$G127,$I127,$K127,$M127,$O127,$Q127,$S127,$U127,$W127,$Y127,$AA127,$AC127,$AE127),2)+$B127/2&gt;AC127,($G$5/$B$5),0),0))))</f>
        <v/>
      </c>
      <c r="AE127" s="141" t="str">
        <f>IF($AE$8="Habilitado",IF($A127="","",ROUND(VLOOKUP($A127,'Presupuesto Consolidado'!#REF!,6,FALSE),2)),"")</f>
        <v/>
      </c>
      <c r="AF127" s="142" t="str">
        <f t="shared" ref="AF127" si="1453">IF($A127="","",IF(AE127="","",IF($K$4="Media aritmética",(AE127&lt;=$B127)*($G$5/$B$5)+(AE127&gt;$B127)*0,IF(ROUND(AVERAGE($C127,$E127,$G127,$I127,$K127,$M127,$O127,$Q127,$S127,$U127,$W127,$Y127,$AA127,$AC127,$AE127),2)-$B127/2&lt;=AE127,IF(ROUND(AVERAGE($C127,$E127,$G127,$I127,$K127,$M127,$O127,$Q127,$S127,$U127,$W127,$Y127,$AA127,$AC127,$AE127),2)+$B127/2&gt;AE127,($G$5/$B$5),0),0))))</f>
        <v/>
      </c>
    </row>
    <row r="128" spans="1:32" s="135" customFormat="1" ht="21" customHeight="1">
      <c r="A128" s="132" t="str">
        <f>+'Presupuesto Consolidado'!A144</f>
        <v>12.3.40</v>
      </c>
      <c r="B128" s="140">
        <f t="shared" ref="B128" si="1454">IF(A128="","",IF($K$4="Media aritmética",ROUND(AVERAGE(C128,E128,G128,I128,K128,M128,O128,Q128,S128,U128,W128,Y128,AA128,AC128,AE128),2),ROUND(_xlfn.STDEV.P(C128,E128,G128,I128,K128,M128,O128,Q128,S128,U128,W128,Y128,AA128,AC128,AE128),2)))</f>
        <v>310500</v>
      </c>
      <c r="C128" s="141">
        <f>IF($C$8="Habilitado",IF($A128="","",ROUND(VLOOKUP($A128,'Presupuesto Consolidado'!$A$9:$F$600,6,FALSE),2)),"")</f>
        <v>310500</v>
      </c>
      <c r="D128" s="142">
        <f t="shared" ref="D128" si="1455">IF($A128="","",IF(C128="","",IF($K$4="Media aritmética",(C128&lt;=$B128)*($G$5/$B$5)+(C128&gt;$B128)*0,IF(ROUND(AVERAGE($C128,$E128,$G128,$I128,$K128,$M128,$O128,$Q128,$S128,$U128,$W128,$Y128,$AA128,$AC128,$AE128),2)-$B128/2&lt;=C128,IF(ROUND(AVERAGE($C128,$E128,$G128,$I128,$K128,$M128,$O128,$Q128,$S128,$U128,$W128,$Y128,$AA128,$AC128,$AE128),2)+$B128/2&gt;C128,($G$5/$B$5),0),0))))</f>
        <v>0.45714285714285713</v>
      </c>
      <c r="E128" s="141" t="str">
        <f>IF($E$8="Habilitado",IF($A128="","",ROUND(VLOOKUP($A128,'Presupuesto Consolidado'!$I$9:$N$600,6,FALSE),2)),"")</f>
        <v/>
      </c>
      <c r="F128" s="142" t="str">
        <f t="shared" ref="F128" si="1456">IF($A128="","",IF(E128="","",IF($K$4="Media aritmética",(E128&lt;=$B128)*($G$5/$B$5)+(E128&gt;$B128)*0,IF(ROUND(AVERAGE($C128,$E128,$G128,$I128,$K128,$M128,$O128,$Q128,$S128,$U128,$W128,$Y128,$AA128,$AC128,$AE128),2)-$B128/2&lt;=E128,IF(ROUND(AVERAGE($C128,$E128,$G128,$I128,$K128,$M128,$O128,$Q128,$S128,$U128,$W128,$Y128,$AA128,$AC128,$AE128),2)+$B128/2&gt;E128,($G$5/$B$5),0),0))))</f>
        <v/>
      </c>
      <c r="G128" s="141" t="str">
        <f>IF($G$8="Habilitado",IF($A128="","",ROUND(VLOOKUP($A128,'Presupuesto Consolidado'!$Q$9:$V$600,6,FALSE),2)),"")</f>
        <v/>
      </c>
      <c r="H128" s="142" t="str">
        <f t="shared" ref="H128" si="1457">IF($A128="","",IF(G128="","",IF($K$4="Media aritmética",(G128&lt;=$B128)*($G$5/$B$5)+(G128&gt;$B128)*0,IF(ROUND(AVERAGE($C128,$E128,$G128,$I128,$K128,$M128,$O128,$Q128,$S128,$U128,$W128,$Y128,$AA128,$AC128,$AE128),2)-$B128/2&lt;=G128,IF(ROUND(AVERAGE($C128,$E128,$G128,$I128,$K128,$M128,$O128,$Q128,$S128,$U128,$W128,$Y128,$AA128,$AC128,$AE128),2)+$B128/2&gt;G128,($G$5/$B$5),0),0))))</f>
        <v/>
      </c>
      <c r="I128" s="141" t="str">
        <f>IF($I$8="Habilitado",IF($A128="","",ROUND(VLOOKUP($A128,'Presupuesto Consolidado'!$Y$9:$AD$600,6,FALSE),2)),"")</f>
        <v/>
      </c>
      <c r="J128" s="142" t="str">
        <f t="shared" ref="J128" si="1458">IF($A128="","",IF(I128="","",IF($K$4="Media aritmética",(I128&lt;=$B128)*($G$5/$B$5)+(I128&gt;$B128)*0,IF(ROUND(AVERAGE($C128,$E128,$G128,$I128,$K128,$M128,$O128,$Q128,$S128,$U128,$W128,$Y128,$AA128,$AC128,$AE128),2)-$B128/2&lt;=I128,IF(ROUND(AVERAGE($C128,$E128,$G128,$I128,$K128,$M128,$O128,$Q128,$S128,$U128,$W128,$Y128,$AA128,$AC128,$AE128),2)+$B128/2&gt;I128,($G$5/$B$5),0),0))))</f>
        <v/>
      </c>
      <c r="K128" s="141" t="str">
        <f>IF($K$8="Habilitado",IF($A128="","",ROUND(VLOOKUP($A128,'Presupuesto Consolidado'!#REF!,6,FALSE),2)),"")</f>
        <v/>
      </c>
      <c r="L128" s="142" t="str">
        <f t="shared" ref="L128" si="1459">IF($A128="","",IF(K128="","",IF($K$4="Media aritmética",(K128&lt;=$B128)*($G$5/$B$5)+(K128&gt;$B128)*0,IF(ROUND(AVERAGE($C128,$E128,$G128,$I128,$K128,$M128,$O128,$Q128,$S128,$U128,$W128,$Y128,$AA128,$AC128,$AE128),2)-$B128/2&lt;=K128,IF(ROUND(AVERAGE($C128,$E128,$G128,$I128,$K128,$M128,$O128,$Q128,$S128,$U128,$W128,$Y128,$AA128,$AC128,$AE128),2)+$B128/2&gt;K128,($G$5/$B$5),0),0))))</f>
        <v/>
      </c>
      <c r="M128" s="141" t="str">
        <f>IF($M$8="Habilitado",IF($A128="","",ROUND(VLOOKUP($A128,'Presupuesto Consolidado'!#REF!,6,FALSE),2)),"")</f>
        <v/>
      </c>
      <c r="N128" s="142" t="str">
        <f t="shared" ref="N128" si="1460">IF($A128="","",IF(M128="","",IF($K$4="Media aritmética",(M128&lt;=$B128)*($G$5/$B$5)+(M128&gt;$B128)*0,IF(ROUND(AVERAGE($C128,$E128,$G128,$I128,$K128,$M128,$O128,$Q128,$S128,$U128,$W128,$Y128,$AA128,$AC128,$AE128),2)-$B128/2&lt;=M128,IF(ROUND(AVERAGE($C128,$E128,$G128,$I128,$K128,$M128,$O128,$Q128,$S128,$U128,$W128,$Y128,$AA128,$AC128,$AE128),2)+$B128/2&gt;M128,($G$5/$B$5),0),0))))</f>
        <v/>
      </c>
      <c r="O128" s="141" t="str">
        <f>IF($O$8="Habilitado",IF($A128="","",ROUND(VLOOKUP($A128,'Presupuesto Consolidado'!#REF!,6,FALSE),2)),"")</f>
        <v/>
      </c>
      <c r="P128" s="142" t="str">
        <f t="shared" ref="P128" si="1461">IF($A128="","",IF(O128="","",IF($K$4="Media aritmética",(O128&lt;=$B128)*($G$5/$B$5)+(O128&gt;$B128)*0,IF(ROUND(AVERAGE($C128,$E128,$G128,$I128,$K128,$M128,$O128,$Q128,$S128,$U128,$W128,$Y128,$AA128,$AC128,$AE128),2)-$B128/2&lt;=O128,IF(ROUND(AVERAGE($C128,$E128,$G128,$I128,$K128,$M128,$O128,$Q128,$S128,$U128,$W128,$Y128,$AA128,$AC128,$AE128),2)+$B128/2&gt;O128,($G$5/$B$5),0),0))))</f>
        <v/>
      </c>
      <c r="Q128" s="141" t="str">
        <f>IF($Q$8="Habilitado",IF($A128="","",ROUND(VLOOKUP($A128,'Presupuesto Consolidado'!#REF!,6,FALSE),2)),"")</f>
        <v/>
      </c>
      <c r="R128" s="142" t="str">
        <f t="shared" ref="R128" si="1462">IF($A128="","",IF(Q128="","",IF($K$4="Media aritmética",(Q128&lt;=$B128)*($G$5/$B$5)+(Q128&gt;$B128)*0,IF(ROUND(AVERAGE($C128,$E128,$G128,$I128,$K128,$M128,$O128,$Q128,$S128,$U128,$W128,$Y128,$AA128,$AC128,$AE128),2)-$B128/2&lt;=Q128,IF(ROUND(AVERAGE($C128,$E128,$G128,$I128,$K128,$M128,$O128,$Q128,$S128,$U128,$W128,$Y128,$AA128,$AC128,$AE128),2)+$B128/2&gt;Q128,($G$5/$B$5),0),0))))</f>
        <v/>
      </c>
      <c r="S128" s="141" t="str">
        <f>IF($S$8="Habilitado",IF($A128="","",ROUND(VLOOKUP($A128,'Presupuesto Consolidado'!#REF!,6,FALSE),2)),"")</f>
        <v/>
      </c>
      <c r="T128" s="142" t="str">
        <f t="shared" ref="T128" si="1463">IF($A128="","",IF(S128="","",IF($K$4="Media aritmética",(S128&lt;=$B128)*($G$5/$B$5)+(S128&gt;$B128)*0,IF(ROUND(AVERAGE($C128,$E128,$G128,$I128,$K128,$M128,$O128,$Q128,$S128,$U128,$W128,$Y128,$AA128,$AC128,$AE128),2)-$B128/2&lt;=S128,IF(ROUND(AVERAGE($C128,$E128,$G128,$I128,$K128,$M128,$O128,$Q128,$S128,$U128,$W128,$Y128,$AA128,$AC128,$AE128),2)+$B128/2&gt;S128,($G$5/$B$5),0),0))))</f>
        <v/>
      </c>
      <c r="U128" s="141" t="str">
        <f>IF($U$8="Habilitado",IF($A128="","",ROUND(VLOOKUP($A128,'Presupuesto Consolidado'!#REF!,6,FALSE),2)),"")</f>
        <v/>
      </c>
      <c r="V128" s="142" t="str">
        <f t="shared" ref="V128" si="1464">IF($A128="","",IF(U128="","",IF($K$4="Media aritmética",(U128&lt;=$B128)*($G$5/$B$5)+(U128&gt;$B128)*0,IF(ROUND(AVERAGE($C128,$E128,$G128,$I128,$K128,$M128,$O128,$Q128,$S128,$U128,$W128,$Y128,$AA128,$AC128,$AE128),2)-$B128/2&lt;=U128,IF(ROUND(AVERAGE($C128,$E128,$G128,$I128,$K128,$M128,$O128,$Q128,$S128,$U128,$W128,$Y128,$AA128,$AC128,$AE128),2)+$B128/2&gt;U128,($G$5/$B$5),0),0))))</f>
        <v/>
      </c>
      <c r="W128" s="141" t="str">
        <f>IF($W$8="Habilitado",IF($A128="","",ROUND(VLOOKUP($A128,'Presupuesto Consolidado'!#REF!,6,FALSE),2)),"")</f>
        <v/>
      </c>
      <c r="X128" s="142" t="str">
        <f t="shared" ref="X128" si="1465">IF($A128="","",IF(W128="","",IF($K$4="Media aritmética",(W128&lt;=$B128)*($G$5/$B$5)+(W128&gt;$B128)*0,IF(ROUND(AVERAGE($C128,$E128,$G128,$I128,$K128,$M128,$O128,$Q128,$S128,$U128,$W128,$Y128,$AA128,$AC128,$AE128),2)-$B128/2&lt;=W128,IF(ROUND(AVERAGE($C128,$E128,$G128,$I128,$K128,$M128,$O128,$Q128,$S128,$U128,$W128,$Y128,$AA128,$AC128,$AE128),2)+$B128/2&gt;W128,($G$5/$B$5),0),0))))</f>
        <v/>
      </c>
      <c r="Y128" s="141" t="str">
        <f>IF($Y$8="Habilitado",IF($A128="","",ROUND(VLOOKUP($A128,'Presupuesto Consolidado'!#REF!,6,FALSE),2)),"")</f>
        <v/>
      </c>
      <c r="Z128" s="142" t="str">
        <f t="shared" ref="Z128" si="1466">IF($A128="","",IF(Y128="","",IF($K$4="Media aritmética",(Y128&lt;=$B128)*($G$5/$B$5)+(Y128&gt;$B128)*0,IF(ROUND(AVERAGE($C128,$E128,$G128,$I128,$K128,$M128,$O128,$Q128,$S128,$U128,$W128,$Y128,$AA128,$AC128,$AE128),2)-$B128/2&lt;=Y128,IF(ROUND(AVERAGE($C128,$E128,$G128,$I128,$K128,$M128,$O128,$Q128,$S128,$U128,$W128,$Y128,$AA128,$AC128,$AE128),2)+$B128/2&gt;Y128,($G$5/$B$5),0),0))))</f>
        <v/>
      </c>
      <c r="AA128" s="141" t="str">
        <f>IF($AA$8="Habilitado",IF($A128="","",ROUND(VLOOKUP($A128,'Presupuesto Consolidado'!#REF!,6,FALSE),2)),"")</f>
        <v/>
      </c>
      <c r="AB128" s="142" t="str">
        <f t="shared" ref="AB128" si="1467">IF($A128="","",IF(AA128="","",IF($K$4="Media aritmética",(AA128&lt;=$B128)*($G$5/$B$5)+(AA128&gt;$B128)*0,IF(ROUND(AVERAGE($C128,$E128,$G128,$I128,$K128,$M128,$O128,$Q128,$S128,$U128,$W128,$Y128,$AA128,$AC128,$AE128),2)-$B128/2&lt;=AA128,IF(ROUND(AVERAGE($C128,$E128,$G128,$I128,$K128,$M128,$O128,$Q128,$S128,$U128,$W128,$Y128,$AA128,$AC128,$AE128),2)+$B128/2&gt;AA128,($G$5/$B$5),0),0))))</f>
        <v/>
      </c>
      <c r="AC128" s="141" t="str">
        <f>IF($AC$8="Habilitado",IF($A128="","",ROUND(VLOOKUP($A128,'Presupuesto Consolidado'!#REF!,6,FALSE),2)),"")</f>
        <v/>
      </c>
      <c r="AD128" s="142" t="str">
        <f t="shared" ref="AD128" si="1468">IF($A128="","",IF(AC128="","",IF($K$4="Media aritmética",(AC128&lt;=$B128)*($G$5/$B$5)+(AC128&gt;$B128)*0,IF(ROUND(AVERAGE($C128,$E128,$G128,$I128,$K128,$M128,$O128,$Q128,$S128,$U128,$W128,$Y128,$AA128,$AC128,$AE128),2)-$B128/2&lt;=AC128,IF(ROUND(AVERAGE($C128,$E128,$G128,$I128,$K128,$M128,$O128,$Q128,$S128,$U128,$W128,$Y128,$AA128,$AC128,$AE128),2)+$B128/2&gt;AC128,($G$5/$B$5),0),0))))</f>
        <v/>
      </c>
      <c r="AE128" s="141" t="str">
        <f>IF($AE$8="Habilitado",IF($A128="","",ROUND(VLOOKUP($A128,'Presupuesto Consolidado'!#REF!,6,FALSE),2)),"")</f>
        <v/>
      </c>
      <c r="AF128" s="142" t="str">
        <f t="shared" ref="AF128" si="1469">IF($A128="","",IF(AE128="","",IF($K$4="Media aritmética",(AE128&lt;=$B128)*($G$5/$B$5)+(AE128&gt;$B128)*0,IF(ROUND(AVERAGE($C128,$E128,$G128,$I128,$K128,$M128,$O128,$Q128,$S128,$U128,$W128,$Y128,$AA128,$AC128,$AE128),2)-$B128/2&lt;=AE128,IF(ROUND(AVERAGE($C128,$E128,$G128,$I128,$K128,$M128,$O128,$Q128,$S128,$U128,$W128,$Y128,$AA128,$AC128,$AE128),2)+$B128/2&gt;AE128,($G$5/$B$5),0),0))))</f>
        <v/>
      </c>
    </row>
    <row r="129" spans="1:32" s="135" customFormat="1" ht="21" customHeight="1">
      <c r="A129" s="132" t="str">
        <f>+'Presupuesto Consolidado'!A145</f>
        <v>12.3.41</v>
      </c>
      <c r="B129" s="140">
        <f t="shared" ref="B129" si="1470">IF(A129="","",IF($K$4="Media aritmética",ROUND(AVERAGE(C129,E129,G129,I129,K129,M129,O129,Q129,S129,U129,W129,Y129,AA129,AC129,AE129),2),ROUND(_xlfn.STDEV.P(C129,E129,G129,I129,K129,M129,O129,Q129,S129,U129,W129,Y129,AA129,AC129,AE129),2)))</f>
        <v>652050</v>
      </c>
      <c r="C129" s="141">
        <f>IF($C$8="Habilitado",IF($A129="","",ROUND(VLOOKUP($A129,'Presupuesto Consolidado'!$A$9:$F$600,6,FALSE),2)),"")</f>
        <v>652050</v>
      </c>
      <c r="D129" s="142">
        <f t="shared" ref="D129" si="1471">IF($A129="","",IF(C129="","",IF($K$4="Media aritmética",(C129&lt;=$B129)*($G$5/$B$5)+(C129&gt;$B129)*0,IF(ROUND(AVERAGE($C129,$E129,$G129,$I129,$K129,$M129,$O129,$Q129,$S129,$U129,$W129,$Y129,$AA129,$AC129,$AE129),2)-$B129/2&lt;=C129,IF(ROUND(AVERAGE($C129,$E129,$G129,$I129,$K129,$M129,$O129,$Q129,$S129,$U129,$W129,$Y129,$AA129,$AC129,$AE129),2)+$B129/2&gt;C129,($G$5/$B$5),0),0))))</f>
        <v>0.45714285714285713</v>
      </c>
      <c r="E129" s="141" t="str">
        <f>IF($E$8="Habilitado",IF($A129="","",ROUND(VLOOKUP($A129,'Presupuesto Consolidado'!$I$9:$N$600,6,FALSE),2)),"")</f>
        <v/>
      </c>
      <c r="F129" s="142" t="str">
        <f t="shared" ref="F129" si="1472">IF($A129="","",IF(E129="","",IF($K$4="Media aritmética",(E129&lt;=$B129)*($G$5/$B$5)+(E129&gt;$B129)*0,IF(ROUND(AVERAGE($C129,$E129,$G129,$I129,$K129,$M129,$O129,$Q129,$S129,$U129,$W129,$Y129,$AA129,$AC129,$AE129),2)-$B129/2&lt;=E129,IF(ROUND(AVERAGE($C129,$E129,$G129,$I129,$K129,$M129,$O129,$Q129,$S129,$U129,$W129,$Y129,$AA129,$AC129,$AE129),2)+$B129/2&gt;E129,($G$5/$B$5),0),0))))</f>
        <v/>
      </c>
      <c r="G129" s="141" t="str">
        <f>IF($G$8="Habilitado",IF($A129="","",ROUND(VLOOKUP($A129,'Presupuesto Consolidado'!$Q$9:$V$600,6,FALSE),2)),"")</f>
        <v/>
      </c>
      <c r="H129" s="142" t="str">
        <f t="shared" ref="H129" si="1473">IF($A129="","",IF(G129="","",IF($K$4="Media aritmética",(G129&lt;=$B129)*($G$5/$B$5)+(G129&gt;$B129)*0,IF(ROUND(AVERAGE($C129,$E129,$G129,$I129,$K129,$M129,$O129,$Q129,$S129,$U129,$W129,$Y129,$AA129,$AC129,$AE129),2)-$B129/2&lt;=G129,IF(ROUND(AVERAGE($C129,$E129,$G129,$I129,$K129,$M129,$O129,$Q129,$S129,$U129,$W129,$Y129,$AA129,$AC129,$AE129),2)+$B129/2&gt;G129,($G$5/$B$5),0),0))))</f>
        <v/>
      </c>
      <c r="I129" s="141" t="str">
        <f>IF($I$8="Habilitado",IF($A129="","",ROUND(VLOOKUP($A129,'Presupuesto Consolidado'!$Y$9:$AD$600,6,FALSE),2)),"")</f>
        <v/>
      </c>
      <c r="J129" s="142" t="str">
        <f t="shared" ref="J129" si="1474">IF($A129="","",IF(I129="","",IF($K$4="Media aritmética",(I129&lt;=$B129)*($G$5/$B$5)+(I129&gt;$B129)*0,IF(ROUND(AVERAGE($C129,$E129,$G129,$I129,$K129,$M129,$O129,$Q129,$S129,$U129,$W129,$Y129,$AA129,$AC129,$AE129),2)-$B129/2&lt;=I129,IF(ROUND(AVERAGE($C129,$E129,$G129,$I129,$K129,$M129,$O129,$Q129,$S129,$U129,$W129,$Y129,$AA129,$AC129,$AE129),2)+$B129/2&gt;I129,($G$5/$B$5),0),0))))</f>
        <v/>
      </c>
      <c r="K129" s="141" t="str">
        <f>IF($K$8="Habilitado",IF($A129="","",ROUND(VLOOKUP($A129,'Presupuesto Consolidado'!#REF!,6,FALSE),2)),"")</f>
        <v/>
      </c>
      <c r="L129" s="142" t="str">
        <f t="shared" ref="L129" si="1475">IF($A129="","",IF(K129="","",IF($K$4="Media aritmética",(K129&lt;=$B129)*($G$5/$B$5)+(K129&gt;$B129)*0,IF(ROUND(AVERAGE($C129,$E129,$G129,$I129,$K129,$M129,$O129,$Q129,$S129,$U129,$W129,$Y129,$AA129,$AC129,$AE129),2)-$B129/2&lt;=K129,IF(ROUND(AVERAGE($C129,$E129,$G129,$I129,$K129,$M129,$O129,$Q129,$S129,$U129,$W129,$Y129,$AA129,$AC129,$AE129),2)+$B129/2&gt;K129,($G$5/$B$5),0),0))))</f>
        <v/>
      </c>
      <c r="M129" s="141" t="str">
        <f>IF($M$8="Habilitado",IF($A129="","",ROUND(VLOOKUP($A129,'Presupuesto Consolidado'!#REF!,6,FALSE),2)),"")</f>
        <v/>
      </c>
      <c r="N129" s="142" t="str">
        <f t="shared" ref="N129" si="1476">IF($A129="","",IF(M129="","",IF($K$4="Media aritmética",(M129&lt;=$B129)*($G$5/$B$5)+(M129&gt;$B129)*0,IF(ROUND(AVERAGE($C129,$E129,$G129,$I129,$K129,$M129,$O129,$Q129,$S129,$U129,$W129,$Y129,$AA129,$AC129,$AE129),2)-$B129/2&lt;=M129,IF(ROUND(AVERAGE($C129,$E129,$G129,$I129,$K129,$M129,$O129,$Q129,$S129,$U129,$W129,$Y129,$AA129,$AC129,$AE129),2)+$B129/2&gt;M129,($G$5/$B$5),0),0))))</f>
        <v/>
      </c>
      <c r="O129" s="141" t="str">
        <f>IF($O$8="Habilitado",IF($A129="","",ROUND(VLOOKUP($A129,'Presupuesto Consolidado'!#REF!,6,FALSE),2)),"")</f>
        <v/>
      </c>
      <c r="P129" s="142" t="str">
        <f t="shared" ref="P129" si="1477">IF($A129="","",IF(O129="","",IF($K$4="Media aritmética",(O129&lt;=$B129)*($G$5/$B$5)+(O129&gt;$B129)*0,IF(ROUND(AVERAGE($C129,$E129,$G129,$I129,$K129,$M129,$O129,$Q129,$S129,$U129,$W129,$Y129,$AA129,$AC129,$AE129),2)-$B129/2&lt;=O129,IF(ROUND(AVERAGE($C129,$E129,$G129,$I129,$K129,$M129,$O129,$Q129,$S129,$U129,$W129,$Y129,$AA129,$AC129,$AE129),2)+$B129/2&gt;O129,($G$5/$B$5),0),0))))</f>
        <v/>
      </c>
      <c r="Q129" s="141" t="str">
        <f>IF($Q$8="Habilitado",IF($A129="","",ROUND(VLOOKUP($A129,'Presupuesto Consolidado'!#REF!,6,FALSE),2)),"")</f>
        <v/>
      </c>
      <c r="R129" s="142" t="str">
        <f t="shared" ref="R129" si="1478">IF($A129="","",IF(Q129="","",IF($K$4="Media aritmética",(Q129&lt;=$B129)*($G$5/$B$5)+(Q129&gt;$B129)*0,IF(ROUND(AVERAGE($C129,$E129,$G129,$I129,$K129,$M129,$O129,$Q129,$S129,$U129,$W129,$Y129,$AA129,$AC129,$AE129),2)-$B129/2&lt;=Q129,IF(ROUND(AVERAGE($C129,$E129,$G129,$I129,$K129,$M129,$O129,$Q129,$S129,$U129,$W129,$Y129,$AA129,$AC129,$AE129),2)+$B129/2&gt;Q129,($G$5/$B$5),0),0))))</f>
        <v/>
      </c>
      <c r="S129" s="141" t="str">
        <f>IF($S$8="Habilitado",IF($A129="","",ROUND(VLOOKUP($A129,'Presupuesto Consolidado'!#REF!,6,FALSE),2)),"")</f>
        <v/>
      </c>
      <c r="T129" s="142" t="str">
        <f t="shared" ref="T129" si="1479">IF($A129="","",IF(S129="","",IF($K$4="Media aritmética",(S129&lt;=$B129)*($G$5/$B$5)+(S129&gt;$B129)*0,IF(ROUND(AVERAGE($C129,$E129,$G129,$I129,$K129,$M129,$O129,$Q129,$S129,$U129,$W129,$Y129,$AA129,$AC129,$AE129),2)-$B129/2&lt;=S129,IF(ROUND(AVERAGE($C129,$E129,$G129,$I129,$K129,$M129,$O129,$Q129,$S129,$U129,$W129,$Y129,$AA129,$AC129,$AE129),2)+$B129/2&gt;S129,($G$5/$B$5),0),0))))</f>
        <v/>
      </c>
      <c r="U129" s="141" t="str">
        <f>IF($U$8="Habilitado",IF($A129="","",ROUND(VLOOKUP($A129,'Presupuesto Consolidado'!#REF!,6,FALSE),2)),"")</f>
        <v/>
      </c>
      <c r="V129" s="142" t="str">
        <f t="shared" ref="V129" si="1480">IF($A129="","",IF(U129="","",IF($K$4="Media aritmética",(U129&lt;=$B129)*($G$5/$B$5)+(U129&gt;$B129)*0,IF(ROUND(AVERAGE($C129,$E129,$G129,$I129,$K129,$M129,$O129,$Q129,$S129,$U129,$W129,$Y129,$AA129,$AC129,$AE129),2)-$B129/2&lt;=U129,IF(ROUND(AVERAGE($C129,$E129,$G129,$I129,$K129,$M129,$O129,$Q129,$S129,$U129,$W129,$Y129,$AA129,$AC129,$AE129),2)+$B129/2&gt;U129,($G$5/$B$5),0),0))))</f>
        <v/>
      </c>
      <c r="W129" s="141" t="str">
        <f>IF($W$8="Habilitado",IF($A129="","",ROUND(VLOOKUP($A129,'Presupuesto Consolidado'!#REF!,6,FALSE),2)),"")</f>
        <v/>
      </c>
      <c r="X129" s="142" t="str">
        <f t="shared" ref="X129" si="1481">IF($A129="","",IF(W129="","",IF($K$4="Media aritmética",(W129&lt;=$B129)*($G$5/$B$5)+(W129&gt;$B129)*0,IF(ROUND(AVERAGE($C129,$E129,$G129,$I129,$K129,$M129,$O129,$Q129,$S129,$U129,$W129,$Y129,$AA129,$AC129,$AE129),2)-$B129/2&lt;=W129,IF(ROUND(AVERAGE($C129,$E129,$G129,$I129,$K129,$M129,$O129,$Q129,$S129,$U129,$W129,$Y129,$AA129,$AC129,$AE129),2)+$B129/2&gt;W129,($G$5/$B$5),0),0))))</f>
        <v/>
      </c>
      <c r="Y129" s="141" t="str">
        <f>IF($Y$8="Habilitado",IF($A129="","",ROUND(VLOOKUP($A129,'Presupuesto Consolidado'!#REF!,6,FALSE),2)),"")</f>
        <v/>
      </c>
      <c r="Z129" s="142" t="str">
        <f t="shared" ref="Z129" si="1482">IF($A129="","",IF(Y129="","",IF($K$4="Media aritmética",(Y129&lt;=$B129)*($G$5/$B$5)+(Y129&gt;$B129)*0,IF(ROUND(AVERAGE($C129,$E129,$G129,$I129,$K129,$M129,$O129,$Q129,$S129,$U129,$W129,$Y129,$AA129,$AC129,$AE129),2)-$B129/2&lt;=Y129,IF(ROUND(AVERAGE($C129,$E129,$G129,$I129,$K129,$M129,$O129,$Q129,$S129,$U129,$W129,$Y129,$AA129,$AC129,$AE129),2)+$B129/2&gt;Y129,($G$5/$B$5),0),0))))</f>
        <v/>
      </c>
      <c r="AA129" s="141" t="str">
        <f>IF($AA$8="Habilitado",IF($A129="","",ROUND(VLOOKUP($A129,'Presupuesto Consolidado'!#REF!,6,FALSE),2)),"")</f>
        <v/>
      </c>
      <c r="AB129" s="142" t="str">
        <f t="shared" ref="AB129" si="1483">IF($A129="","",IF(AA129="","",IF($K$4="Media aritmética",(AA129&lt;=$B129)*($G$5/$B$5)+(AA129&gt;$B129)*0,IF(ROUND(AVERAGE($C129,$E129,$G129,$I129,$K129,$M129,$O129,$Q129,$S129,$U129,$W129,$Y129,$AA129,$AC129,$AE129),2)-$B129/2&lt;=AA129,IF(ROUND(AVERAGE($C129,$E129,$G129,$I129,$K129,$M129,$O129,$Q129,$S129,$U129,$W129,$Y129,$AA129,$AC129,$AE129),2)+$B129/2&gt;AA129,($G$5/$B$5),0),0))))</f>
        <v/>
      </c>
      <c r="AC129" s="141" t="str">
        <f>IF($AC$8="Habilitado",IF($A129="","",ROUND(VLOOKUP($A129,'Presupuesto Consolidado'!#REF!,6,FALSE),2)),"")</f>
        <v/>
      </c>
      <c r="AD129" s="142" t="str">
        <f t="shared" ref="AD129" si="1484">IF($A129="","",IF(AC129="","",IF($K$4="Media aritmética",(AC129&lt;=$B129)*($G$5/$B$5)+(AC129&gt;$B129)*0,IF(ROUND(AVERAGE($C129,$E129,$G129,$I129,$K129,$M129,$O129,$Q129,$S129,$U129,$W129,$Y129,$AA129,$AC129,$AE129),2)-$B129/2&lt;=AC129,IF(ROUND(AVERAGE($C129,$E129,$G129,$I129,$K129,$M129,$O129,$Q129,$S129,$U129,$W129,$Y129,$AA129,$AC129,$AE129),2)+$B129/2&gt;AC129,($G$5/$B$5),0),0))))</f>
        <v/>
      </c>
      <c r="AE129" s="141" t="str">
        <f>IF($AE$8="Habilitado",IF($A129="","",ROUND(VLOOKUP($A129,'Presupuesto Consolidado'!#REF!,6,FALSE),2)),"")</f>
        <v/>
      </c>
      <c r="AF129" s="142" t="str">
        <f t="shared" ref="AF129" si="1485">IF($A129="","",IF(AE129="","",IF($K$4="Media aritmética",(AE129&lt;=$B129)*($G$5/$B$5)+(AE129&gt;$B129)*0,IF(ROUND(AVERAGE($C129,$E129,$G129,$I129,$K129,$M129,$O129,$Q129,$S129,$U129,$W129,$Y129,$AA129,$AC129,$AE129),2)-$B129/2&lt;=AE129,IF(ROUND(AVERAGE($C129,$E129,$G129,$I129,$K129,$M129,$O129,$Q129,$S129,$U129,$W129,$Y129,$AA129,$AC129,$AE129),2)+$B129/2&gt;AE129,($G$5/$B$5),0),0))))</f>
        <v/>
      </c>
    </row>
    <row r="130" spans="1:32" s="135" customFormat="1" ht="21" customHeight="1">
      <c r="A130" s="132" t="str">
        <f>+'Presupuesto Consolidado'!A146</f>
        <v>12.3.42</v>
      </c>
      <c r="B130" s="140">
        <f t="shared" ref="B130" si="1486">IF(A130="","",IF($K$4="Media aritmética",ROUND(AVERAGE(C130,E130,G130,I130,K130,M130,O130,Q130,S130,U130,W130,Y130,AA130,AC130,AE130),2),ROUND(_xlfn.STDEV.P(C130,E130,G130,I130,K130,M130,O130,Q130,S130,U130,W130,Y130,AA130,AC130,AE130),2)))</f>
        <v>455400</v>
      </c>
      <c r="C130" s="141">
        <f>IF($C$8="Habilitado",IF($A130="","",ROUND(VLOOKUP($A130,'Presupuesto Consolidado'!$A$9:$F$600,6,FALSE),2)),"")</f>
        <v>455400</v>
      </c>
      <c r="D130" s="142">
        <f t="shared" ref="D130" si="1487">IF($A130="","",IF(C130="","",IF($K$4="Media aritmética",(C130&lt;=$B130)*($G$5/$B$5)+(C130&gt;$B130)*0,IF(ROUND(AVERAGE($C130,$E130,$G130,$I130,$K130,$M130,$O130,$Q130,$S130,$U130,$W130,$Y130,$AA130,$AC130,$AE130),2)-$B130/2&lt;=C130,IF(ROUND(AVERAGE($C130,$E130,$G130,$I130,$K130,$M130,$O130,$Q130,$S130,$U130,$W130,$Y130,$AA130,$AC130,$AE130),2)+$B130/2&gt;C130,($G$5/$B$5),0),0))))</f>
        <v>0.45714285714285713</v>
      </c>
      <c r="E130" s="141" t="str">
        <f>IF($E$8="Habilitado",IF($A130="","",ROUND(VLOOKUP($A130,'Presupuesto Consolidado'!$I$9:$N$600,6,FALSE),2)),"")</f>
        <v/>
      </c>
      <c r="F130" s="142" t="str">
        <f t="shared" ref="F130" si="1488">IF($A130="","",IF(E130="","",IF($K$4="Media aritmética",(E130&lt;=$B130)*($G$5/$B$5)+(E130&gt;$B130)*0,IF(ROUND(AVERAGE($C130,$E130,$G130,$I130,$K130,$M130,$O130,$Q130,$S130,$U130,$W130,$Y130,$AA130,$AC130,$AE130),2)-$B130/2&lt;=E130,IF(ROUND(AVERAGE($C130,$E130,$G130,$I130,$K130,$M130,$O130,$Q130,$S130,$U130,$W130,$Y130,$AA130,$AC130,$AE130),2)+$B130/2&gt;E130,($G$5/$B$5),0),0))))</f>
        <v/>
      </c>
      <c r="G130" s="141" t="str">
        <f>IF($G$8="Habilitado",IF($A130="","",ROUND(VLOOKUP($A130,'Presupuesto Consolidado'!$Q$9:$V$600,6,FALSE),2)),"")</f>
        <v/>
      </c>
      <c r="H130" s="142" t="str">
        <f t="shared" ref="H130" si="1489">IF($A130="","",IF(G130="","",IF($K$4="Media aritmética",(G130&lt;=$B130)*($G$5/$B$5)+(G130&gt;$B130)*0,IF(ROUND(AVERAGE($C130,$E130,$G130,$I130,$K130,$M130,$O130,$Q130,$S130,$U130,$W130,$Y130,$AA130,$AC130,$AE130),2)-$B130/2&lt;=G130,IF(ROUND(AVERAGE($C130,$E130,$G130,$I130,$K130,$M130,$O130,$Q130,$S130,$U130,$W130,$Y130,$AA130,$AC130,$AE130),2)+$B130/2&gt;G130,($G$5/$B$5),0),0))))</f>
        <v/>
      </c>
      <c r="I130" s="141" t="str">
        <f>IF($I$8="Habilitado",IF($A130="","",ROUND(VLOOKUP($A130,'Presupuesto Consolidado'!$Y$9:$AD$600,6,FALSE),2)),"")</f>
        <v/>
      </c>
      <c r="J130" s="142" t="str">
        <f t="shared" ref="J130" si="1490">IF($A130="","",IF(I130="","",IF($K$4="Media aritmética",(I130&lt;=$B130)*($G$5/$B$5)+(I130&gt;$B130)*0,IF(ROUND(AVERAGE($C130,$E130,$G130,$I130,$K130,$M130,$O130,$Q130,$S130,$U130,$W130,$Y130,$AA130,$AC130,$AE130),2)-$B130/2&lt;=I130,IF(ROUND(AVERAGE($C130,$E130,$G130,$I130,$K130,$M130,$O130,$Q130,$S130,$U130,$W130,$Y130,$AA130,$AC130,$AE130),2)+$B130/2&gt;I130,($G$5/$B$5),0),0))))</f>
        <v/>
      </c>
      <c r="K130" s="141" t="str">
        <f>IF($K$8="Habilitado",IF($A130="","",ROUND(VLOOKUP($A130,'Presupuesto Consolidado'!#REF!,6,FALSE),2)),"")</f>
        <v/>
      </c>
      <c r="L130" s="142" t="str">
        <f t="shared" ref="L130" si="1491">IF($A130="","",IF(K130="","",IF($K$4="Media aritmética",(K130&lt;=$B130)*($G$5/$B$5)+(K130&gt;$B130)*0,IF(ROUND(AVERAGE($C130,$E130,$G130,$I130,$K130,$M130,$O130,$Q130,$S130,$U130,$W130,$Y130,$AA130,$AC130,$AE130),2)-$B130/2&lt;=K130,IF(ROUND(AVERAGE($C130,$E130,$G130,$I130,$K130,$M130,$O130,$Q130,$S130,$U130,$W130,$Y130,$AA130,$AC130,$AE130),2)+$B130/2&gt;K130,($G$5/$B$5),0),0))))</f>
        <v/>
      </c>
      <c r="M130" s="141" t="str">
        <f>IF($M$8="Habilitado",IF($A130="","",ROUND(VLOOKUP($A130,'Presupuesto Consolidado'!#REF!,6,FALSE),2)),"")</f>
        <v/>
      </c>
      <c r="N130" s="142" t="str">
        <f t="shared" ref="N130" si="1492">IF($A130="","",IF(M130="","",IF($K$4="Media aritmética",(M130&lt;=$B130)*($G$5/$B$5)+(M130&gt;$B130)*0,IF(ROUND(AVERAGE($C130,$E130,$G130,$I130,$K130,$M130,$O130,$Q130,$S130,$U130,$W130,$Y130,$AA130,$AC130,$AE130),2)-$B130/2&lt;=M130,IF(ROUND(AVERAGE($C130,$E130,$G130,$I130,$K130,$M130,$O130,$Q130,$S130,$U130,$W130,$Y130,$AA130,$AC130,$AE130),2)+$B130/2&gt;M130,($G$5/$B$5),0),0))))</f>
        <v/>
      </c>
      <c r="O130" s="141" t="str">
        <f>IF($O$8="Habilitado",IF($A130="","",ROUND(VLOOKUP($A130,'Presupuesto Consolidado'!#REF!,6,FALSE),2)),"")</f>
        <v/>
      </c>
      <c r="P130" s="142" t="str">
        <f t="shared" ref="P130" si="1493">IF($A130="","",IF(O130="","",IF($K$4="Media aritmética",(O130&lt;=$B130)*($G$5/$B$5)+(O130&gt;$B130)*0,IF(ROUND(AVERAGE($C130,$E130,$G130,$I130,$K130,$M130,$O130,$Q130,$S130,$U130,$W130,$Y130,$AA130,$AC130,$AE130),2)-$B130/2&lt;=O130,IF(ROUND(AVERAGE($C130,$E130,$G130,$I130,$K130,$M130,$O130,$Q130,$S130,$U130,$W130,$Y130,$AA130,$AC130,$AE130),2)+$B130/2&gt;O130,($G$5/$B$5),0),0))))</f>
        <v/>
      </c>
      <c r="Q130" s="141" t="str">
        <f>IF($Q$8="Habilitado",IF($A130="","",ROUND(VLOOKUP($A130,'Presupuesto Consolidado'!#REF!,6,FALSE),2)),"")</f>
        <v/>
      </c>
      <c r="R130" s="142" t="str">
        <f t="shared" ref="R130" si="1494">IF($A130="","",IF(Q130="","",IF($K$4="Media aritmética",(Q130&lt;=$B130)*($G$5/$B$5)+(Q130&gt;$B130)*0,IF(ROUND(AVERAGE($C130,$E130,$G130,$I130,$K130,$M130,$O130,$Q130,$S130,$U130,$W130,$Y130,$AA130,$AC130,$AE130),2)-$B130/2&lt;=Q130,IF(ROUND(AVERAGE($C130,$E130,$G130,$I130,$K130,$M130,$O130,$Q130,$S130,$U130,$W130,$Y130,$AA130,$AC130,$AE130),2)+$B130/2&gt;Q130,($G$5/$B$5),0),0))))</f>
        <v/>
      </c>
      <c r="S130" s="141" t="str">
        <f>IF($S$8="Habilitado",IF($A130="","",ROUND(VLOOKUP($A130,'Presupuesto Consolidado'!#REF!,6,FALSE),2)),"")</f>
        <v/>
      </c>
      <c r="T130" s="142" t="str">
        <f t="shared" ref="T130" si="1495">IF($A130="","",IF(S130="","",IF($K$4="Media aritmética",(S130&lt;=$B130)*($G$5/$B$5)+(S130&gt;$B130)*0,IF(ROUND(AVERAGE($C130,$E130,$G130,$I130,$K130,$M130,$O130,$Q130,$S130,$U130,$W130,$Y130,$AA130,$AC130,$AE130),2)-$B130/2&lt;=S130,IF(ROUND(AVERAGE($C130,$E130,$G130,$I130,$K130,$M130,$O130,$Q130,$S130,$U130,$W130,$Y130,$AA130,$AC130,$AE130),2)+$B130/2&gt;S130,($G$5/$B$5),0),0))))</f>
        <v/>
      </c>
      <c r="U130" s="141" t="str">
        <f>IF($U$8="Habilitado",IF($A130="","",ROUND(VLOOKUP($A130,'Presupuesto Consolidado'!#REF!,6,FALSE),2)),"")</f>
        <v/>
      </c>
      <c r="V130" s="142" t="str">
        <f t="shared" ref="V130" si="1496">IF($A130="","",IF(U130="","",IF($K$4="Media aritmética",(U130&lt;=$B130)*($G$5/$B$5)+(U130&gt;$B130)*0,IF(ROUND(AVERAGE($C130,$E130,$G130,$I130,$K130,$M130,$O130,$Q130,$S130,$U130,$W130,$Y130,$AA130,$AC130,$AE130),2)-$B130/2&lt;=U130,IF(ROUND(AVERAGE($C130,$E130,$G130,$I130,$K130,$M130,$O130,$Q130,$S130,$U130,$W130,$Y130,$AA130,$AC130,$AE130),2)+$B130/2&gt;U130,($G$5/$B$5),0),0))))</f>
        <v/>
      </c>
      <c r="W130" s="141" t="str">
        <f>IF($W$8="Habilitado",IF($A130="","",ROUND(VLOOKUP($A130,'Presupuesto Consolidado'!#REF!,6,FALSE),2)),"")</f>
        <v/>
      </c>
      <c r="X130" s="142" t="str">
        <f t="shared" ref="X130" si="1497">IF($A130="","",IF(W130="","",IF($K$4="Media aritmética",(W130&lt;=$B130)*($G$5/$B$5)+(W130&gt;$B130)*0,IF(ROUND(AVERAGE($C130,$E130,$G130,$I130,$K130,$M130,$O130,$Q130,$S130,$U130,$W130,$Y130,$AA130,$AC130,$AE130),2)-$B130/2&lt;=W130,IF(ROUND(AVERAGE($C130,$E130,$G130,$I130,$K130,$M130,$O130,$Q130,$S130,$U130,$W130,$Y130,$AA130,$AC130,$AE130),2)+$B130/2&gt;W130,($G$5/$B$5),0),0))))</f>
        <v/>
      </c>
      <c r="Y130" s="141" t="str">
        <f>IF($Y$8="Habilitado",IF($A130="","",ROUND(VLOOKUP($A130,'Presupuesto Consolidado'!#REF!,6,FALSE),2)),"")</f>
        <v/>
      </c>
      <c r="Z130" s="142" t="str">
        <f t="shared" ref="Z130" si="1498">IF($A130="","",IF(Y130="","",IF($K$4="Media aritmética",(Y130&lt;=$B130)*($G$5/$B$5)+(Y130&gt;$B130)*0,IF(ROUND(AVERAGE($C130,$E130,$G130,$I130,$K130,$M130,$O130,$Q130,$S130,$U130,$W130,$Y130,$AA130,$AC130,$AE130),2)-$B130/2&lt;=Y130,IF(ROUND(AVERAGE($C130,$E130,$G130,$I130,$K130,$M130,$O130,$Q130,$S130,$U130,$W130,$Y130,$AA130,$AC130,$AE130),2)+$B130/2&gt;Y130,($G$5/$B$5),0),0))))</f>
        <v/>
      </c>
      <c r="AA130" s="141" t="str">
        <f>IF($AA$8="Habilitado",IF($A130="","",ROUND(VLOOKUP($A130,'Presupuesto Consolidado'!#REF!,6,FALSE),2)),"")</f>
        <v/>
      </c>
      <c r="AB130" s="142" t="str">
        <f t="shared" ref="AB130" si="1499">IF($A130="","",IF(AA130="","",IF($K$4="Media aritmética",(AA130&lt;=$B130)*($G$5/$B$5)+(AA130&gt;$B130)*0,IF(ROUND(AVERAGE($C130,$E130,$G130,$I130,$K130,$M130,$O130,$Q130,$S130,$U130,$W130,$Y130,$AA130,$AC130,$AE130),2)-$B130/2&lt;=AA130,IF(ROUND(AVERAGE($C130,$E130,$G130,$I130,$K130,$M130,$O130,$Q130,$S130,$U130,$W130,$Y130,$AA130,$AC130,$AE130),2)+$B130/2&gt;AA130,($G$5/$B$5),0),0))))</f>
        <v/>
      </c>
      <c r="AC130" s="141" t="str">
        <f>IF($AC$8="Habilitado",IF($A130="","",ROUND(VLOOKUP($A130,'Presupuesto Consolidado'!#REF!,6,FALSE),2)),"")</f>
        <v/>
      </c>
      <c r="AD130" s="142" t="str">
        <f t="shared" ref="AD130" si="1500">IF($A130="","",IF(AC130="","",IF($K$4="Media aritmética",(AC130&lt;=$B130)*($G$5/$B$5)+(AC130&gt;$B130)*0,IF(ROUND(AVERAGE($C130,$E130,$G130,$I130,$K130,$M130,$O130,$Q130,$S130,$U130,$W130,$Y130,$AA130,$AC130,$AE130),2)-$B130/2&lt;=AC130,IF(ROUND(AVERAGE($C130,$E130,$G130,$I130,$K130,$M130,$O130,$Q130,$S130,$U130,$W130,$Y130,$AA130,$AC130,$AE130),2)+$B130/2&gt;AC130,($G$5/$B$5),0),0))))</f>
        <v/>
      </c>
      <c r="AE130" s="141" t="str">
        <f>IF($AE$8="Habilitado",IF($A130="","",ROUND(VLOOKUP($A130,'Presupuesto Consolidado'!#REF!,6,FALSE),2)),"")</f>
        <v/>
      </c>
      <c r="AF130" s="142" t="str">
        <f t="shared" ref="AF130" si="1501">IF($A130="","",IF(AE130="","",IF($K$4="Media aritmética",(AE130&lt;=$B130)*($G$5/$B$5)+(AE130&gt;$B130)*0,IF(ROUND(AVERAGE($C130,$E130,$G130,$I130,$K130,$M130,$O130,$Q130,$S130,$U130,$W130,$Y130,$AA130,$AC130,$AE130),2)-$B130/2&lt;=AE130,IF(ROUND(AVERAGE($C130,$E130,$G130,$I130,$K130,$M130,$O130,$Q130,$S130,$U130,$W130,$Y130,$AA130,$AC130,$AE130),2)+$B130/2&gt;AE130,($G$5/$B$5),0),0))))</f>
        <v/>
      </c>
    </row>
    <row r="131" spans="1:32" s="135" customFormat="1" ht="21" customHeight="1">
      <c r="A131" s="132" t="str">
        <f>+'Presupuesto Consolidado'!A147</f>
        <v>12.3.43</v>
      </c>
      <c r="B131" s="140">
        <f t="shared" ref="B131" si="1502">IF(A131="","",IF($K$4="Media aritmética",ROUND(AVERAGE(C131,E131,G131,I131,K131,M131,O131,Q131,S131,U131,W131,Y131,AA131,AC131,AE131),2),ROUND(_xlfn.STDEV.P(C131,E131,G131,I131,K131,M131,O131,Q131,S131,U131,W131,Y131,AA131,AC131,AE131),2)))</f>
        <v>579600</v>
      </c>
      <c r="C131" s="141">
        <f>IF($C$8="Habilitado",IF($A131="","",ROUND(VLOOKUP($A131,'Presupuesto Consolidado'!$A$9:$F$600,6,FALSE),2)),"")</f>
        <v>579600</v>
      </c>
      <c r="D131" s="142">
        <f t="shared" ref="D131" si="1503">IF($A131="","",IF(C131="","",IF($K$4="Media aritmética",(C131&lt;=$B131)*($G$5/$B$5)+(C131&gt;$B131)*0,IF(ROUND(AVERAGE($C131,$E131,$G131,$I131,$K131,$M131,$O131,$Q131,$S131,$U131,$W131,$Y131,$AA131,$AC131,$AE131),2)-$B131/2&lt;=C131,IF(ROUND(AVERAGE($C131,$E131,$G131,$I131,$K131,$M131,$O131,$Q131,$S131,$U131,$W131,$Y131,$AA131,$AC131,$AE131),2)+$B131/2&gt;C131,($G$5/$B$5),0),0))))</f>
        <v>0.45714285714285713</v>
      </c>
      <c r="E131" s="141" t="str">
        <f>IF($E$8="Habilitado",IF($A131="","",ROUND(VLOOKUP($A131,'Presupuesto Consolidado'!$I$9:$N$600,6,FALSE),2)),"")</f>
        <v/>
      </c>
      <c r="F131" s="142" t="str">
        <f t="shared" ref="F131" si="1504">IF($A131="","",IF(E131="","",IF($K$4="Media aritmética",(E131&lt;=$B131)*($G$5/$B$5)+(E131&gt;$B131)*0,IF(ROUND(AVERAGE($C131,$E131,$G131,$I131,$K131,$M131,$O131,$Q131,$S131,$U131,$W131,$Y131,$AA131,$AC131,$AE131),2)-$B131/2&lt;=E131,IF(ROUND(AVERAGE($C131,$E131,$G131,$I131,$K131,$M131,$O131,$Q131,$S131,$U131,$W131,$Y131,$AA131,$AC131,$AE131),2)+$B131/2&gt;E131,($G$5/$B$5),0),0))))</f>
        <v/>
      </c>
      <c r="G131" s="141" t="str">
        <f>IF($G$8="Habilitado",IF($A131="","",ROUND(VLOOKUP($A131,'Presupuesto Consolidado'!$Q$9:$V$600,6,FALSE),2)),"")</f>
        <v/>
      </c>
      <c r="H131" s="142" t="str">
        <f t="shared" ref="H131" si="1505">IF($A131="","",IF(G131="","",IF($K$4="Media aritmética",(G131&lt;=$B131)*($G$5/$B$5)+(G131&gt;$B131)*0,IF(ROUND(AVERAGE($C131,$E131,$G131,$I131,$K131,$M131,$O131,$Q131,$S131,$U131,$W131,$Y131,$AA131,$AC131,$AE131),2)-$B131/2&lt;=G131,IF(ROUND(AVERAGE($C131,$E131,$G131,$I131,$K131,$M131,$O131,$Q131,$S131,$U131,$W131,$Y131,$AA131,$AC131,$AE131),2)+$B131/2&gt;G131,($G$5/$B$5),0),0))))</f>
        <v/>
      </c>
      <c r="I131" s="141" t="str">
        <f>IF($I$8="Habilitado",IF($A131="","",ROUND(VLOOKUP($A131,'Presupuesto Consolidado'!$Y$9:$AD$600,6,FALSE),2)),"")</f>
        <v/>
      </c>
      <c r="J131" s="142" t="str">
        <f t="shared" ref="J131" si="1506">IF($A131="","",IF(I131="","",IF($K$4="Media aritmética",(I131&lt;=$B131)*($G$5/$B$5)+(I131&gt;$B131)*0,IF(ROUND(AVERAGE($C131,$E131,$G131,$I131,$K131,$M131,$O131,$Q131,$S131,$U131,$W131,$Y131,$AA131,$AC131,$AE131),2)-$B131/2&lt;=I131,IF(ROUND(AVERAGE($C131,$E131,$G131,$I131,$K131,$M131,$O131,$Q131,$S131,$U131,$W131,$Y131,$AA131,$AC131,$AE131),2)+$B131/2&gt;I131,($G$5/$B$5),0),0))))</f>
        <v/>
      </c>
      <c r="K131" s="141" t="str">
        <f>IF($K$8="Habilitado",IF($A131="","",ROUND(VLOOKUP($A131,'Presupuesto Consolidado'!#REF!,6,FALSE),2)),"")</f>
        <v/>
      </c>
      <c r="L131" s="142" t="str">
        <f t="shared" ref="L131" si="1507">IF($A131="","",IF(K131="","",IF($K$4="Media aritmética",(K131&lt;=$B131)*($G$5/$B$5)+(K131&gt;$B131)*0,IF(ROUND(AVERAGE($C131,$E131,$G131,$I131,$K131,$M131,$O131,$Q131,$S131,$U131,$W131,$Y131,$AA131,$AC131,$AE131),2)-$B131/2&lt;=K131,IF(ROUND(AVERAGE($C131,$E131,$G131,$I131,$K131,$M131,$O131,$Q131,$S131,$U131,$W131,$Y131,$AA131,$AC131,$AE131),2)+$B131/2&gt;K131,($G$5/$B$5),0),0))))</f>
        <v/>
      </c>
      <c r="M131" s="141" t="str">
        <f>IF($M$8="Habilitado",IF($A131="","",ROUND(VLOOKUP($A131,'Presupuesto Consolidado'!#REF!,6,FALSE),2)),"")</f>
        <v/>
      </c>
      <c r="N131" s="142" t="str">
        <f t="shared" ref="N131" si="1508">IF($A131="","",IF(M131="","",IF($K$4="Media aritmética",(M131&lt;=$B131)*($G$5/$B$5)+(M131&gt;$B131)*0,IF(ROUND(AVERAGE($C131,$E131,$G131,$I131,$K131,$M131,$O131,$Q131,$S131,$U131,$W131,$Y131,$AA131,$AC131,$AE131),2)-$B131/2&lt;=M131,IF(ROUND(AVERAGE($C131,$E131,$G131,$I131,$K131,$M131,$O131,$Q131,$S131,$U131,$W131,$Y131,$AA131,$AC131,$AE131),2)+$B131/2&gt;M131,($G$5/$B$5),0),0))))</f>
        <v/>
      </c>
      <c r="O131" s="141" t="str">
        <f>IF($O$8="Habilitado",IF($A131="","",ROUND(VLOOKUP($A131,'Presupuesto Consolidado'!#REF!,6,FALSE),2)),"")</f>
        <v/>
      </c>
      <c r="P131" s="142" t="str">
        <f t="shared" ref="P131" si="1509">IF($A131="","",IF(O131="","",IF($K$4="Media aritmética",(O131&lt;=$B131)*($G$5/$B$5)+(O131&gt;$B131)*0,IF(ROUND(AVERAGE($C131,$E131,$G131,$I131,$K131,$M131,$O131,$Q131,$S131,$U131,$W131,$Y131,$AA131,$AC131,$AE131),2)-$B131/2&lt;=O131,IF(ROUND(AVERAGE($C131,$E131,$G131,$I131,$K131,$M131,$O131,$Q131,$S131,$U131,$W131,$Y131,$AA131,$AC131,$AE131),2)+$B131/2&gt;O131,($G$5/$B$5),0),0))))</f>
        <v/>
      </c>
      <c r="Q131" s="141" t="str">
        <f>IF($Q$8="Habilitado",IF($A131="","",ROUND(VLOOKUP($A131,'Presupuesto Consolidado'!#REF!,6,FALSE),2)),"")</f>
        <v/>
      </c>
      <c r="R131" s="142" t="str">
        <f t="shared" ref="R131" si="1510">IF($A131="","",IF(Q131="","",IF($K$4="Media aritmética",(Q131&lt;=$B131)*($G$5/$B$5)+(Q131&gt;$B131)*0,IF(ROUND(AVERAGE($C131,$E131,$G131,$I131,$K131,$M131,$O131,$Q131,$S131,$U131,$W131,$Y131,$AA131,$AC131,$AE131),2)-$B131/2&lt;=Q131,IF(ROUND(AVERAGE($C131,$E131,$G131,$I131,$K131,$M131,$O131,$Q131,$S131,$U131,$W131,$Y131,$AA131,$AC131,$AE131),2)+$B131/2&gt;Q131,($G$5/$B$5),0),0))))</f>
        <v/>
      </c>
      <c r="S131" s="141" t="str">
        <f>IF($S$8="Habilitado",IF($A131="","",ROUND(VLOOKUP($A131,'Presupuesto Consolidado'!#REF!,6,FALSE),2)),"")</f>
        <v/>
      </c>
      <c r="T131" s="142" t="str">
        <f t="shared" ref="T131" si="1511">IF($A131="","",IF(S131="","",IF($K$4="Media aritmética",(S131&lt;=$B131)*($G$5/$B$5)+(S131&gt;$B131)*0,IF(ROUND(AVERAGE($C131,$E131,$G131,$I131,$K131,$M131,$O131,$Q131,$S131,$U131,$W131,$Y131,$AA131,$AC131,$AE131),2)-$B131/2&lt;=S131,IF(ROUND(AVERAGE($C131,$E131,$G131,$I131,$K131,$M131,$O131,$Q131,$S131,$U131,$W131,$Y131,$AA131,$AC131,$AE131),2)+$B131/2&gt;S131,($G$5/$B$5),0),0))))</f>
        <v/>
      </c>
      <c r="U131" s="141" t="str">
        <f>IF($U$8="Habilitado",IF($A131="","",ROUND(VLOOKUP($A131,'Presupuesto Consolidado'!#REF!,6,FALSE),2)),"")</f>
        <v/>
      </c>
      <c r="V131" s="142" t="str">
        <f t="shared" ref="V131" si="1512">IF($A131="","",IF(U131="","",IF($K$4="Media aritmética",(U131&lt;=$B131)*($G$5/$B$5)+(U131&gt;$B131)*0,IF(ROUND(AVERAGE($C131,$E131,$G131,$I131,$K131,$M131,$O131,$Q131,$S131,$U131,$W131,$Y131,$AA131,$AC131,$AE131),2)-$B131/2&lt;=U131,IF(ROUND(AVERAGE($C131,$E131,$G131,$I131,$K131,$M131,$O131,$Q131,$S131,$U131,$W131,$Y131,$AA131,$AC131,$AE131),2)+$B131/2&gt;U131,($G$5/$B$5),0),0))))</f>
        <v/>
      </c>
      <c r="W131" s="141" t="str">
        <f>IF($W$8="Habilitado",IF($A131="","",ROUND(VLOOKUP($A131,'Presupuesto Consolidado'!#REF!,6,FALSE),2)),"")</f>
        <v/>
      </c>
      <c r="X131" s="142" t="str">
        <f t="shared" ref="X131" si="1513">IF($A131="","",IF(W131="","",IF($K$4="Media aritmética",(W131&lt;=$B131)*($G$5/$B$5)+(W131&gt;$B131)*0,IF(ROUND(AVERAGE($C131,$E131,$G131,$I131,$K131,$M131,$O131,$Q131,$S131,$U131,$W131,$Y131,$AA131,$AC131,$AE131),2)-$B131/2&lt;=W131,IF(ROUND(AVERAGE($C131,$E131,$G131,$I131,$K131,$M131,$O131,$Q131,$S131,$U131,$W131,$Y131,$AA131,$AC131,$AE131),2)+$B131/2&gt;W131,($G$5/$B$5),0),0))))</f>
        <v/>
      </c>
      <c r="Y131" s="141" t="str">
        <f>IF($Y$8="Habilitado",IF($A131="","",ROUND(VLOOKUP($A131,'Presupuesto Consolidado'!#REF!,6,FALSE),2)),"")</f>
        <v/>
      </c>
      <c r="Z131" s="142" t="str">
        <f t="shared" ref="Z131" si="1514">IF($A131="","",IF(Y131="","",IF($K$4="Media aritmética",(Y131&lt;=$B131)*($G$5/$B$5)+(Y131&gt;$B131)*0,IF(ROUND(AVERAGE($C131,$E131,$G131,$I131,$K131,$M131,$O131,$Q131,$S131,$U131,$W131,$Y131,$AA131,$AC131,$AE131),2)-$B131/2&lt;=Y131,IF(ROUND(AVERAGE($C131,$E131,$G131,$I131,$K131,$M131,$O131,$Q131,$S131,$U131,$W131,$Y131,$AA131,$AC131,$AE131),2)+$B131/2&gt;Y131,($G$5/$B$5),0),0))))</f>
        <v/>
      </c>
      <c r="AA131" s="141" t="str">
        <f>IF($AA$8="Habilitado",IF($A131="","",ROUND(VLOOKUP($A131,'Presupuesto Consolidado'!#REF!,6,FALSE),2)),"")</f>
        <v/>
      </c>
      <c r="AB131" s="142" t="str">
        <f t="shared" ref="AB131" si="1515">IF($A131="","",IF(AA131="","",IF($K$4="Media aritmética",(AA131&lt;=$B131)*($G$5/$B$5)+(AA131&gt;$B131)*0,IF(ROUND(AVERAGE($C131,$E131,$G131,$I131,$K131,$M131,$O131,$Q131,$S131,$U131,$W131,$Y131,$AA131,$AC131,$AE131),2)-$B131/2&lt;=AA131,IF(ROUND(AVERAGE($C131,$E131,$G131,$I131,$K131,$M131,$O131,$Q131,$S131,$U131,$W131,$Y131,$AA131,$AC131,$AE131),2)+$B131/2&gt;AA131,($G$5/$B$5),0),0))))</f>
        <v/>
      </c>
      <c r="AC131" s="141" t="str">
        <f>IF($AC$8="Habilitado",IF($A131="","",ROUND(VLOOKUP($A131,'Presupuesto Consolidado'!#REF!,6,FALSE),2)),"")</f>
        <v/>
      </c>
      <c r="AD131" s="142" t="str">
        <f t="shared" ref="AD131" si="1516">IF($A131="","",IF(AC131="","",IF($K$4="Media aritmética",(AC131&lt;=$B131)*($G$5/$B$5)+(AC131&gt;$B131)*0,IF(ROUND(AVERAGE($C131,$E131,$G131,$I131,$K131,$M131,$O131,$Q131,$S131,$U131,$W131,$Y131,$AA131,$AC131,$AE131),2)-$B131/2&lt;=AC131,IF(ROUND(AVERAGE($C131,$E131,$G131,$I131,$K131,$M131,$O131,$Q131,$S131,$U131,$W131,$Y131,$AA131,$AC131,$AE131),2)+$B131/2&gt;AC131,($G$5/$B$5),0),0))))</f>
        <v/>
      </c>
      <c r="AE131" s="141" t="str">
        <f>IF($AE$8="Habilitado",IF($A131="","",ROUND(VLOOKUP($A131,'Presupuesto Consolidado'!#REF!,6,FALSE),2)),"")</f>
        <v/>
      </c>
      <c r="AF131" s="142" t="str">
        <f t="shared" ref="AF131" si="1517">IF($A131="","",IF(AE131="","",IF($K$4="Media aritmética",(AE131&lt;=$B131)*($G$5/$B$5)+(AE131&gt;$B131)*0,IF(ROUND(AVERAGE($C131,$E131,$G131,$I131,$K131,$M131,$O131,$Q131,$S131,$U131,$W131,$Y131,$AA131,$AC131,$AE131),2)-$B131/2&lt;=AE131,IF(ROUND(AVERAGE($C131,$E131,$G131,$I131,$K131,$M131,$O131,$Q131,$S131,$U131,$W131,$Y131,$AA131,$AC131,$AE131),2)+$B131/2&gt;AE131,($G$5/$B$5),0),0))))</f>
        <v/>
      </c>
    </row>
    <row r="132" spans="1:32" s="135" customFormat="1" ht="21" customHeight="1">
      <c r="A132" s="132" t="str">
        <f>+'Presupuesto Consolidado'!A153</f>
        <v>12.4.4</v>
      </c>
      <c r="B132" s="140">
        <f t="shared" ref="B132" si="1518">IF(A132="","",IF($K$4="Media aritmética",ROUND(AVERAGE(C132,E132,G132,I132,K132,M132,O132,Q132,S132,U132,W132,Y132,AA132,AC132,AE132),2),ROUND(_xlfn.STDEV.P(C132,E132,G132,I132,K132,M132,O132,Q132,S132,U132,W132,Y132,AA132,AC132,AE132),2)))</f>
        <v>1242000</v>
      </c>
      <c r="C132" s="141">
        <f>IF($C$8="Habilitado",IF($A132="","",ROUND(VLOOKUP($A132,'Presupuesto Consolidado'!$A$9:$F$600,6,FALSE),2)),"")</f>
        <v>1242000</v>
      </c>
      <c r="D132" s="142">
        <f t="shared" ref="D132" si="1519">IF($A132="","",IF(C132="","",IF($K$4="Media aritmética",(C132&lt;=$B132)*($G$5/$B$5)+(C132&gt;$B132)*0,IF(ROUND(AVERAGE($C132,$E132,$G132,$I132,$K132,$M132,$O132,$Q132,$S132,$U132,$W132,$Y132,$AA132,$AC132,$AE132),2)-$B132/2&lt;=C132,IF(ROUND(AVERAGE($C132,$E132,$G132,$I132,$K132,$M132,$O132,$Q132,$S132,$U132,$W132,$Y132,$AA132,$AC132,$AE132),2)+$B132/2&gt;C132,($G$5/$B$5),0),0))))</f>
        <v>0.45714285714285713</v>
      </c>
      <c r="E132" s="141" t="str">
        <f>IF($E$8="Habilitado",IF($A132="","",ROUND(VLOOKUP($A132,'Presupuesto Consolidado'!$I$9:$N$600,6,FALSE),2)),"")</f>
        <v/>
      </c>
      <c r="F132" s="142" t="str">
        <f t="shared" ref="F132" si="1520">IF($A132="","",IF(E132="","",IF($K$4="Media aritmética",(E132&lt;=$B132)*($G$5/$B$5)+(E132&gt;$B132)*0,IF(ROUND(AVERAGE($C132,$E132,$G132,$I132,$K132,$M132,$O132,$Q132,$S132,$U132,$W132,$Y132,$AA132,$AC132,$AE132),2)-$B132/2&lt;=E132,IF(ROUND(AVERAGE($C132,$E132,$G132,$I132,$K132,$M132,$O132,$Q132,$S132,$U132,$W132,$Y132,$AA132,$AC132,$AE132),2)+$B132/2&gt;E132,($G$5/$B$5),0),0))))</f>
        <v/>
      </c>
      <c r="G132" s="141" t="str">
        <f>IF($G$8="Habilitado",IF($A132="","",ROUND(VLOOKUP($A132,'Presupuesto Consolidado'!$Q$9:$V$600,6,FALSE),2)),"")</f>
        <v/>
      </c>
      <c r="H132" s="142" t="str">
        <f t="shared" ref="H132" si="1521">IF($A132="","",IF(G132="","",IF($K$4="Media aritmética",(G132&lt;=$B132)*($G$5/$B$5)+(G132&gt;$B132)*0,IF(ROUND(AVERAGE($C132,$E132,$G132,$I132,$K132,$M132,$O132,$Q132,$S132,$U132,$W132,$Y132,$AA132,$AC132,$AE132),2)-$B132/2&lt;=G132,IF(ROUND(AVERAGE($C132,$E132,$G132,$I132,$K132,$M132,$O132,$Q132,$S132,$U132,$W132,$Y132,$AA132,$AC132,$AE132),2)+$B132/2&gt;G132,($G$5/$B$5),0),0))))</f>
        <v/>
      </c>
      <c r="I132" s="141" t="str">
        <f>IF($I$8="Habilitado",IF($A132="","",ROUND(VLOOKUP($A132,'Presupuesto Consolidado'!$Y$9:$AD$600,6,FALSE),2)),"")</f>
        <v/>
      </c>
      <c r="J132" s="142" t="str">
        <f t="shared" ref="J132" si="1522">IF($A132="","",IF(I132="","",IF($K$4="Media aritmética",(I132&lt;=$B132)*($G$5/$B$5)+(I132&gt;$B132)*0,IF(ROUND(AVERAGE($C132,$E132,$G132,$I132,$K132,$M132,$O132,$Q132,$S132,$U132,$W132,$Y132,$AA132,$AC132,$AE132),2)-$B132/2&lt;=I132,IF(ROUND(AVERAGE($C132,$E132,$G132,$I132,$K132,$M132,$O132,$Q132,$S132,$U132,$W132,$Y132,$AA132,$AC132,$AE132),2)+$B132/2&gt;I132,($G$5/$B$5),0),0))))</f>
        <v/>
      </c>
      <c r="K132" s="141" t="str">
        <f>IF($K$8="Habilitado",IF($A132="","",ROUND(VLOOKUP($A132,'Presupuesto Consolidado'!#REF!,6,FALSE),2)),"")</f>
        <v/>
      </c>
      <c r="L132" s="142" t="str">
        <f t="shared" ref="L132" si="1523">IF($A132="","",IF(K132="","",IF($K$4="Media aritmética",(K132&lt;=$B132)*($G$5/$B$5)+(K132&gt;$B132)*0,IF(ROUND(AVERAGE($C132,$E132,$G132,$I132,$K132,$M132,$O132,$Q132,$S132,$U132,$W132,$Y132,$AA132,$AC132,$AE132),2)-$B132/2&lt;=K132,IF(ROUND(AVERAGE($C132,$E132,$G132,$I132,$K132,$M132,$O132,$Q132,$S132,$U132,$W132,$Y132,$AA132,$AC132,$AE132),2)+$B132/2&gt;K132,($G$5/$B$5),0),0))))</f>
        <v/>
      </c>
      <c r="M132" s="141" t="str">
        <f>IF($M$8="Habilitado",IF($A132="","",ROUND(VLOOKUP($A132,'Presupuesto Consolidado'!#REF!,6,FALSE),2)),"")</f>
        <v/>
      </c>
      <c r="N132" s="142" t="str">
        <f t="shared" ref="N132" si="1524">IF($A132="","",IF(M132="","",IF($K$4="Media aritmética",(M132&lt;=$B132)*($G$5/$B$5)+(M132&gt;$B132)*0,IF(ROUND(AVERAGE($C132,$E132,$G132,$I132,$K132,$M132,$O132,$Q132,$S132,$U132,$W132,$Y132,$AA132,$AC132,$AE132),2)-$B132/2&lt;=M132,IF(ROUND(AVERAGE($C132,$E132,$G132,$I132,$K132,$M132,$O132,$Q132,$S132,$U132,$W132,$Y132,$AA132,$AC132,$AE132),2)+$B132/2&gt;M132,($G$5/$B$5),0),0))))</f>
        <v/>
      </c>
      <c r="O132" s="141" t="str">
        <f>IF($O$8="Habilitado",IF($A132="","",ROUND(VLOOKUP($A132,'Presupuesto Consolidado'!#REF!,6,FALSE),2)),"")</f>
        <v/>
      </c>
      <c r="P132" s="142" t="str">
        <f t="shared" ref="P132" si="1525">IF($A132="","",IF(O132="","",IF($K$4="Media aritmética",(O132&lt;=$B132)*($G$5/$B$5)+(O132&gt;$B132)*0,IF(ROUND(AVERAGE($C132,$E132,$G132,$I132,$K132,$M132,$O132,$Q132,$S132,$U132,$W132,$Y132,$AA132,$AC132,$AE132),2)-$B132/2&lt;=O132,IF(ROUND(AVERAGE($C132,$E132,$G132,$I132,$K132,$M132,$O132,$Q132,$S132,$U132,$W132,$Y132,$AA132,$AC132,$AE132),2)+$B132/2&gt;O132,($G$5/$B$5),0),0))))</f>
        <v/>
      </c>
      <c r="Q132" s="141" t="str">
        <f>IF($Q$8="Habilitado",IF($A132="","",ROUND(VLOOKUP($A132,'Presupuesto Consolidado'!#REF!,6,FALSE),2)),"")</f>
        <v/>
      </c>
      <c r="R132" s="142" t="str">
        <f t="shared" ref="R132" si="1526">IF($A132="","",IF(Q132="","",IF($K$4="Media aritmética",(Q132&lt;=$B132)*($G$5/$B$5)+(Q132&gt;$B132)*0,IF(ROUND(AVERAGE($C132,$E132,$G132,$I132,$K132,$M132,$O132,$Q132,$S132,$U132,$W132,$Y132,$AA132,$AC132,$AE132),2)-$B132/2&lt;=Q132,IF(ROUND(AVERAGE($C132,$E132,$G132,$I132,$K132,$M132,$O132,$Q132,$S132,$U132,$W132,$Y132,$AA132,$AC132,$AE132),2)+$B132/2&gt;Q132,($G$5/$B$5),0),0))))</f>
        <v/>
      </c>
      <c r="S132" s="141" t="str">
        <f>IF($S$8="Habilitado",IF($A132="","",ROUND(VLOOKUP($A132,'Presupuesto Consolidado'!#REF!,6,FALSE),2)),"")</f>
        <v/>
      </c>
      <c r="T132" s="142" t="str">
        <f t="shared" ref="T132" si="1527">IF($A132="","",IF(S132="","",IF($K$4="Media aritmética",(S132&lt;=$B132)*($G$5/$B$5)+(S132&gt;$B132)*0,IF(ROUND(AVERAGE($C132,$E132,$G132,$I132,$K132,$M132,$O132,$Q132,$S132,$U132,$W132,$Y132,$AA132,$AC132,$AE132),2)-$B132/2&lt;=S132,IF(ROUND(AVERAGE($C132,$E132,$G132,$I132,$K132,$M132,$O132,$Q132,$S132,$U132,$W132,$Y132,$AA132,$AC132,$AE132),2)+$B132/2&gt;S132,($G$5/$B$5),0),0))))</f>
        <v/>
      </c>
      <c r="U132" s="141" t="str">
        <f>IF($U$8="Habilitado",IF($A132="","",ROUND(VLOOKUP($A132,'Presupuesto Consolidado'!#REF!,6,FALSE),2)),"")</f>
        <v/>
      </c>
      <c r="V132" s="142" t="str">
        <f t="shared" ref="V132" si="1528">IF($A132="","",IF(U132="","",IF($K$4="Media aritmética",(U132&lt;=$B132)*($G$5/$B$5)+(U132&gt;$B132)*0,IF(ROUND(AVERAGE($C132,$E132,$G132,$I132,$K132,$M132,$O132,$Q132,$S132,$U132,$W132,$Y132,$AA132,$AC132,$AE132),2)-$B132/2&lt;=U132,IF(ROUND(AVERAGE($C132,$E132,$G132,$I132,$K132,$M132,$O132,$Q132,$S132,$U132,$W132,$Y132,$AA132,$AC132,$AE132),2)+$B132/2&gt;U132,($G$5/$B$5),0),0))))</f>
        <v/>
      </c>
      <c r="W132" s="141" t="str">
        <f>IF($W$8="Habilitado",IF($A132="","",ROUND(VLOOKUP($A132,'Presupuesto Consolidado'!#REF!,6,FALSE),2)),"")</f>
        <v/>
      </c>
      <c r="X132" s="142" t="str">
        <f t="shared" ref="X132" si="1529">IF($A132="","",IF(W132="","",IF($K$4="Media aritmética",(W132&lt;=$B132)*($G$5/$B$5)+(W132&gt;$B132)*0,IF(ROUND(AVERAGE($C132,$E132,$G132,$I132,$K132,$M132,$O132,$Q132,$S132,$U132,$W132,$Y132,$AA132,$AC132,$AE132),2)-$B132/2&lt;=W132,IF(ROUND(AVERAGE($C132,$E132,$G132,$I132,$K132,$M132,$O132,$Q132,$S132,$U132,$W132,$Y132,$AA132,$AC132,$AE132),2)+$B132/2&gt;W132,($G$5/$B$5),0),0))))</f>
        <v/>
      </c>
      <c r="Y132" s="141" t="str">
        <f>IF($Y$8="Habilitado",IF($A132="","",ROUND(VLOOKUP($A132,'Presupuesto Consolidado'!#REF!,6,FALSE),2)),"")</f>
        <v/>
      </c>
      <c r="Z132" s="142" t="str">
        <f t="shared" ref="Z132" si="1530">IF($A132="","",IF(Y132="","",IF($K$4="Media aritmética",(Y132&lt;=$B132)*($G$5/$B$5)+(Y132&gt;$B132)*0,IF(ROUND(AVERAGE($C132,$E132,$G132,$I132,$K132,$M132,$O132,$Q132,$S132,$U132,$W132,$Y132,$AA132,$AC132,$AE132),2)-$B132/2&lt;=Y132,IF(ROUND(AVERAGE($C132,$E132,$G132,$I132,$K132,$M132,$O132,$Q132,$S132,$U132,$W132,$Y132,$AA132,$AC132,$AE132),2)+$B132/2&gt;Y132,($G$5/$B$5),0),0))))</f>
        <v/>
      </c>
      <c r="AA132" s="141" t="str">
        <f>IF($AA$8="Habilitado",IF($A132="","",ROUND(VLOOKUP($A132,'Presupuesto Consolidado'!#REF!,6,FALSE),2)),"")</f>
        <v/>
      </c>
      <c r="AB132" s="142" t="str">
        <f t="shared" ref="AB132" si="1531">IF($A132="","",IF(AA132="","",IF($K$4="Media aritmética",(AA132&lt;=$B132)*($G$5/$B$5)+(AA132&gt;$B132)*0,IF(ROUND(AVERAGE($C132,$E132,$G132,$I132,$K132,$M132,$O132,$Q132,$S132,$U132,$W132,$Y132,$AA132,$AC132,$AE132),2)-$B132/2&lt;=AA132,IF(ROUND(AVERAGE($C132,$E132,$G132,$I132,$K132,$M132,$O132,$Q132,$S132,$U132,$W132,$Y132,$AA132,$AC132,$AE132),2)+$B132/2&gt;AA132,($G$5/$B$5),0),0))))</f>
        <v/>
      </c>
      <c r="AC132" s="141" t="str">
        <f>IF($AC$8="Habilitado",IF($A132="","",ROUND(VLOOKUP($A132,'Presupuesto Consolidado'!#REF!,6,FALSE),2)),"")</f>
        <v/>
      </c>
      <c r="AD132" s="142" t="str">
        <f t="shared" ref="AD132" si="1532">IF($A132="","",IF(AC132="","",IF($K$4="Media aritmética",(AC132&lt;=$B132)*($G$5/$B$5)+(AC132&gt;$B132)*0,IF(ROUND(AVERAGE($C132,$E132,$G132,$I132,$K132,$M132,$O132,$Q132,$S132,$U132,$W132,$Y132,$AA132,$AC132,$AE132),2)-$B132/2&lt;=AC132,IF(ROUND(AVERAGE($C132,$E132,$G132,$I132,$K132,$M132,$O132,$Q132,$S132,$U132,$W132,$Y132,$AA132,$AC132,$AE132),2)+$B132/2&gt;AC132,($G$5/$B$5),0),0))))</f>
        <v/>
      </c>
      <c r="AE132" s="141" t="str">
        <f>IF($AE$8="Habilitado",IF($A132="","",ROUND(VLOOKUP($A132,'Presupuesto Consolidado'!#REF!,6,FALSE),2)),"")</f>
        <v/>
      </c>
      <c r="AF132" s="142" t="str">
        <f t="shared" ref="AF132" si="1533">IF($A132="","",IF(AE132="","",IF($K$4="Media aritmética",(AE132&lt;=$B132)*($G$5/$B$5)+(AE132&gt;$B132)*0,IF(ROUND(AVERAGE($C132,$E132,$G132,$I132,$K132,$M132,$O132,$Q132,$S132,$U132,$W132,$Y132,$AA132,$AC132,$AE132),2)-$B132/2&lt;=AE132,IF(ROUND(AVERAGE($C132,$E132,$G132,$I132,$K132,$M132,$O132,$Q132,$S132,$U132,$W132,$Y132,$AA132,$AC132,$AE132),2)+$B132/2&gt;AE132,($G$5/$B$5),0),0))))</f>
        <v/>
      </c>
    </row>
    <row r="133" spans="1:32" s="135" customFormat="1" ht="21" customHeight="1">
      <c r="A133" s="132" t="str">
        <f>+'Presupuesto Consolidado'!A155</f>
        <v>12.4.6</v>
      </c>
      <c r="B133" s="140">
        <f t="shared" ref="B133" si="1534">IF(A133="","",IF($K$4="Media aritmética",ROUND(AVERAGE(C133,E133,G133,I133,K133,M133,O133,Q133,S133,U133,W133,Y133,AA133,AC133,AE133),2),ROUND(_xlfn.STDEV.P(C133,E133,G133,I133,K133,M133,O133,Q133,S133,U133,W133,Y133,AA133,AC133,AE133),2)))</f>
        <v>2065860</v>
      </c>
      <c r="C133" s="141">
        <f>IF($C$8="Habilitado",IF($A133="","",ROUND(VLOOKUP($A133,'Presupuesto Consolidado'!$A$9:$F$600,6,FALSE),2)),"")</f>
        <v>2065860</v>
      </c>
      <c r="D133" s="142">
        <f t="shared" ref="D133" si="1535">IF($A133="","",IF(C133="","",IF($K$4="Media aritmética",(C133&lt;=$B133)*($G$5/$B$5)+(C133&gt;$B133)*0,IF(ROUND(AVERAGE($C133,$E133,$G133,$I133,$K133,$M133,$O133,$Q133,$S133,$U133,$W133,$Y133,$AA133,$AC133,$AE133),2)-$B133/2&lt;=C133,IF(ROUND(AVERAGE($C133,$E133,$G133,$I133,$K133,$M133,$O133,$Q133,$S133,$U133,$W133,$Y133,$AA133,$AC133,$AE133),2)+$B133/2&gt;C133,($G$5/$B$5),0),0))))</f>
        <v>0.45714285714285713</v>
      </c>
      <c r="E133" s="141" t="str">
        <f>IF($E$8="Habilitado",IF($A133="","",ROUND(VLOOKUP($A133,'Presupuesto Consolidado'!$I$9:$N$600,6,FALSE),2)),"")</f>
        <v/>
      </c>
      <c r="F133" s="142" t="str">
        <f t="shared" ref="F133" si="1536">IF($A133="","",IF(E133="","",IF($K$4="Media aritmética",(E133&lt;=$B133)*($G$5/$B$5)+(E133&gt;$B133)*0,IF(ROUND(AVERAGE($C133,$E133,$G133,$I133,$K133,$M133,$O133,$Q133,$S133,$U133,$W133,$Y133,$AA133,$AC133,$AE133),2)-$B133/2&lt;=E133,IF(ROUND(AVERAGE($C133,$E133,$G133,$I133,$K133,$M133,$O133,$Q133,$S133,$U133,$W133,$Y133,$AA133,$AC133,$AE133),2)+$B133/2&gt;E133,($G$5/$B$5),0),0))))</f>
        <v/>
      </c>
      <c r="G133" s="141" t="str">
        <f>IF($G$8="Habilitado",IF($A133="","",ROUND(VLOOKUP($A133,'Presupuesto Consolidado'!$Q$9:$V$600,6,FALSE),2)),"")</f>
        <v/>
      </c>
      <c r="H133" s="142" t="str">
        <f t="shared" ref="H133" si="1537">IF($A133="","",IF(G133="","",IF($K$4="Media aritmética",(G133&lt;=$B133)*($G$5/$B$5)+(G133&gt;$B133)*0,IF(ROUND(AVERAGE($C133,$E133,$G133,$I133,$K133,$M133,$O133,$Q133,$S133,$U133,$W133,$Y133,$AA133,$AC133,$AE133),2)-$B133/2&lt;=G133,IF(ROUND(AVERAGE($C133,$E133,$G133,$I133,$K133,$M133,$O133,$Q133,$S133,$U133,$W133,$Y133,$AA133,$AC133,$AE133),2)+$B133/2&gt;G133,($G$5/$B$5),0),0))))</f>
        <v/>
      </c>
      <c r="I133" s="141" t="str">
        <f>IF($I$8="Habilitado",IF($A133="","",ROUND(VLOOKUP($A133,'Presupuesto Consolidado'!$Y$9:$AD$600,6,FALSE),2)),"")</f>
        <v/>
      </c>
      <c r="J133" s="142" t="str">
        <f t="shared" ref="J133" si="1538">IF($A133="","",IF(I133="","",IF($K$4="Media aritmética",(I133&lt;=$B133)*($G$5/$B$5)+(I133&gt;$B133)*0,IF(ROUND(AVERAGE($C133,$E133,$G133,$I133,$K133,$M133,$O133,$Q133,$S133,$U133,$W133,$Y133,$AA133,$AC133,$AE133),2)-$B133/2&lt;=I133,IF(ROUND(AVERAGE($C133,$E133,$G133,$I133,$K133,$M133,$O133,$Q133,$S133,$U133,$W133,$Y133,$AA133,$AC133,$AE133),2)+$B133/2&gt;I133,($G$5/$B$5),0),0))))</f>
        <v/>
      </c>
      <c r="K133" s="141" t="str">
        <f>IF($K$8="Habilitado",IF($A133="","",ROUND(VLOOKUP($A133,'Presupuesto Consolidado'!#REF!,6,FALSE),2)),"")</f>
        <v/>
      </c>
      <c r="L133" s="142" t="str">
        <f t="shared" ref="L133" si="1539">IF($A133="","",IF(K133="","",IF($K$4="Media aritmética",(K133&lt;=$B133)*($G$5/$B$5)+(K133&gt;$B133)*0,IF(ROUND(AVERAGE($C133,$E133,$G133,$I133,$K133,$M133,$O133,$Q133,$S133,$U133,$W133,$Y133,$AA133,$AC133,$AE133),2)-$B133/2&lt;=K133,IF(ROUND(AVERAGE($C133,$E133,$G133,$I133,$K133,$M133,$O133,$Q133,$S133,$U133,$W133,$Y133,$AA133,$AC133,$AE133),2)+$B133/2&gt;K133,($G$5/$B$5),0),0))))</f>
        <v/>
      </c>
      <c r="M133" s="141" t="str">
        <f>IF($M$8="Habilitado",IF($A133="","",ROUND(VLOOKUP($A133,'Presupuesto Consolidado'!#REF!,6,FALSE),2)),"")</f>
        <v/>
      </c>
      <c r="N133" s="142" t="str">
        <f t="shared" ref="N133" si="1540">IF($A133="","",IF(M133="","",IF($K$4="Media aritmética",(M133&lt;=$B133)*($G$5/$B$5)+(M133&gt;$B133)*0,IF(ROUND(AVERAGE($C133,$E133,$G133,$I133,$K133,$M133,$O133,$Q133,$S133,$U133,$W133,$Y133,$AA133,$AC133,$AE133),2)-$B133/2&lt;=M133,IF(ROUND(AVERAGE($C133,$E133,$G133,$I133,$K133,$M133,$O133,$Q133,$S133,$U133,$W133,$Y133,$AA133,$AC133,$AE133),2)+$B133/2&gt;M133,($G$5/$B$5),0),0))))</f>
        <v/>
      </c>
      <c r="O133" s="141" t="str">
        <f>IF($O$8="Habilitado",IF($A133="","",ROUND(VLOOKUP($A133,'Presupuesto Consolidado'!#REF!,6,FALSE),2)),"")</f>
        <v/>
      </c>
      <c r="P133" s="142" t="str">
        <f t="shared" ref="P133" si="1541">IF($A133="","",IF(O133="","",IF($K$4="Media aritmética",(O133&lt;=$B133)*($G$5/$B$5)+(O133&gt;$B133)*0,IF(ROUND(AVERAGE($C133,$E133,$G133,$I133,$K133,$M133,$O133,$Q133,$S133,$U133,$W133,$Y133,$AA133,$AC133,$AE133),2)-$B133/2&lt;=O133,IF(ROUND(AVERAGE($C133,$E133,$G133,$I133,$K133,$M133,$O133,$Q133,$S133,$U133,$W133,$Y133,$AA133,$AC133,$AE133),2)+$B133/2&gt;O133,($G$5/$B$5),0),0))))</f>
        <v/>
      </c>
      <c r="Q133" s="141" t="str">
        <f>IF($Q$8="Habilitado",IF($A133="","",ROUND(VLOOKUP($A133,'Presupuesto Consolidado'!#REF!,6,FALSE),2)),"")</f>
        <v/>
      </c>
      <c r="R133" s="142" t="str">
        <f t="shared" ref="R133" si="1542">IF($A133="","",IF(Q133="","",IF($K$4="Media aritmética",(Q133&lt;=$B133)*($G$5/$B$5)+(Q133&gt;$B133)*0,IF(ROUND(AVERAGE($C133,$E133,$G133,$I133,$K133,$M133,$O133,$Q133,$S133,$U133,$W133,$Y133,$AA133,$AC133,$AE133),2)-$B133/2&lt;=Q133,IF(ROUND(AVERAGE($C133,$E133,$G133,$I133,$K133,$M133,$O133,$Q133,$S133,$U133,$W133,$Y133,$AA133,$AC133,$AE133),2)+$B133/2&gt;Q133,($G$5/$B$5),0),0))))</f>
        <v/>
      </c>
      <c r="S133" s="141" t="str">
        <f>IF($S$8="Habilitado",IF($A133="","",ROUND(VLOOKUP($A133,'Presupuesto Consolidado'!#REF!,6,FALSE),2)),"")</f>
        <v/>
      </c>
      <c r="T133" s="142" t="str">
        <f t="shared" ref="T133" si="1543">IF($A133="","",IF(S133="","",IF($K$4="Media aritmética",(S133&lt;=$B133)*($G$5/$B$5)+(S133&gt;$B133)*0,IF(ROUND(AVERAGE($C133,$E133,$G133,$I133,$K133,$M133,$O133,$Q133,$S133,$U133,$W133,$Y133,$AA133,$AC133,$AE133),2)-$B133/2&lt;=S133,IF(ROUND(AVERAGE($C133,$E133,$G133,$I133,$K133,$M133,$O133,$Q133,$S133,$U133,$W133,$Y133,$AA133,$AC133,$AE133),2)+$B133/2&gt;S133,($G$5/$B$5),0),0))))</f>
        <v/>
      </c>
      <c r="U133" s="141" t="str">
        <f>IF($U$8="Habilitado",IF($A133="","",ROUND(VLOOKUP($A133,'Presupuesto Consolidado'!#REF!,6,FALSE),2)),"")</f>
        <v/>
      </c>
      <c r="V133" s="142" t="str">
        <f t="shared" ref="V133" si="1544">IF($A133="","",IF(U133="","",IF($K$4="Media aritmética",(U133&lt;=$B133)*($G$5/$B$5)+(U133&gt;$B133)*0,IF(ROUND(AVERAGE($C133,$E133,$G133,$I133,$K133,$M133,$O133,$Q133,$S133,$U133,$W133,$Y133,$AA133,$AC133,$AE133),2)-$B133/2&lt;=U133,IF(ROUND(AVERAGE($C133,$E133,$G133,$I133,$K133,$M133,$O133,$Q133,$S133,$U133,$W133,$Y133,$AA133,$AC133,$AE133),2)+$B133/2&gt;U133,($G$5/$B$5),0),0))))</f>
        <v/>
      </c>
      <c r="W133" s="141" t="str">
        <f>IF($W$8="Habilitado",IF($A133="","",ROUND(VLOOKUP($A133,'Presupuesto Consolidado'!#REF!,6,FALSE),2)),"")</f>
        <v/>
      </c>
      <c r="X133" s="142" t="str">
        <f t="shared" ref="X133" si="1545">IF($A133="","",IF(W133="","",IF($K$4="Media aritmética",(W133&lt;=$B133)*($G$5/$B$5)+(W133&gt;$B133)*0,IF(ROUND(AVERAGE($C133,$E133,$G133,$I133,$K133,$M133,$O133,$Q133,$S133,$U133,$W133,$Y133,$AA133,$AC133,$AE133),2)-$B133/2&lt;=W133,IF(ROUND(AVERAGE($C133,$E133,$G133,$I133,$K133,$M133,$O133,$Q133,$S133,$U133,$W133,$Y133,$AA133,$AC133,$AE133),2)+$B133/2&gt;W133,($G$5/$B$5),0),0))))</f>
        <v/>
      </c>
      <c r="Y133" s="141" t="str">
        <f>IF($Y$8="Habilitado",IF($A133="","",ROUND(VLOOKUP($A133,'Presupuesto Consolidado'!#REF!,6,FALSE),2)),"")</f>
        <v/>
      </c>
      <c r="Z133" s="142" t="str">
        <f t="shared" ref="Z133" si="1546">IF($A133="","",IF(Y133="","",IF($K$4="Media aritmética",(Y133&lt;=$B133)*($G$5/$B$5)+(Y133&gt;$B133)*0,IF(ROUND(AVERAGE($C133,$E133,$G133,$I133,$K133,$M133,$O133,$Q133,$S133,$U133,$W133,$Y133,$AA133,$AC133,$AE133),2)-$B133/2&lt;=Y133,IF(ROUND(AVERAGE($C133,$E133,$G133,$I133,$K133,$M133,$O133,$Q133,$S133,$U133,$W133,$Y133,$AA133,$AC133,$AE133),2)+$B133/2&gt;Y133,($G$5/$B$5),0),0))))</f>
        <v/>
      </c>
      <c r="AA133" s="141" t="str">
        <f>IF($AA$8="Habilitado",IF($A133="","",ROUND(VLOOKUP($A133,'Presupuesto Consolidado'!#REF!,6,FALSE),2)),"")</f>
        <v/>
      </c>
      <c r="AB133" s="142" t="str">
        <f t="shared" ref="AB133" si="1547">IF($A133="","",IF(AA133="","",IF($K$4="Media aritmética",(AA133&lt;=$B133)*($G$5/$B$5)+(AA133&gt;$B133)*0,IF(ROUND(AVERAGE($C133,$E133,$G133,$I133,$K133,$M133,$O133,$Q133,$S133,$U133,$W133,$Y133,$AA133,$AC133,$AE133),2)-$B133/2&lt;=AA133,IF(ROUND(AVERAGE($C133,$E133,$G133,$I133,$K133,$M133,$O133,$Q133,$S133,$U133,$W133,$Y133,$AA133,$AC133,$AE133),2)+$B133/2&gt;AA133,($G$5/$B$5),0),0))))</f>
        <v/>
      </c>
      <c r="AC133" s="141" t="str">
        <f>IF($AC$8="Habilitado",IF($A133="","",ROUND(VLOOKUP($A133,'Presupuesto Consolidado'!#REF!,6,FALSE),2)),"")</f>
        <v/>
      </c>
      <c r="AD133" s="142" t="str">
        <f t="shared" ref="AD133" si="1548">IF($A133="","",IF(AC133="","",IF($K$4="Media aritmética",(AC133&lt;=$B133)*($G$5/$B$5)+(AC133&gt;$B133)*0,IF(ROUND(AVERAGE($C133,$E133,$G133,$I133,$K133,$M133,$O133,$Q133,$S133,$U133,$W133,$Y133,$AA133,$AC133,$AE133),2)-$B133/2&lt;=AC133,IF(ROUND(AVERAGE($C133,$E133,$G133,$I133,$K133,$M133,$O133,$Q133,$S133,$U133,$W133,$Y133,$AA133,$AC133,$AE133),2)+$B133/2&gt;AC133,($G$5/$B$5),0),0))))</f>
        <v/>
      </c>
      <c r="AE133" s="141" t="str">
        <f>IF($AE$8="Habilitado",IF($A133="","",ROUND(VLOOKUP($A133,'Presupuesto Consolidado'!#REF!,6,FALSE),2)),"")</f>
        <v/>
      </c>
      <c r="AF133" s="142" t="str">
        <f t="shared" ref="AF133" si="1549">IF($A133="","",IF(AE133="","",IF($K$4="Media aritmética",(AE133&lt;=$B133)*($G$5/$B$5)+(AE133&gt;$B133)*0,IF(ROUND(AVERAGE($C133,$E133,$G133,$I133,$K133,$M133,$O133,$Q133,$S133,$U133,$W133,$Y133,$AA133,$AC133,$AE133),2)-$B133/2&lt;=AE133,IF(ROUND(AVERAGE($C133,$E133,$G133,$I133,$K133,$M133,$O133,$Q133,$S133,$U133,$W133,$Y133,$AA133,$AC133,$AE133),2)+$B133/2&gt;AE133,($G$5/$B$5),0),0))))</f>
        <v/>
      </c>
    </row>
    <row r="134" spans="1:32" s="135" customFormat="1" ht="21" customHeight="1">
      <c r="A134" s="132" t="str">
        <f>+'Presupuesto Consolidado'!A156</f>
        <v>12.4.7</v>
      </c>
      <c r="B134" s="140">
        <f t="shared" ref="B134" si="1550">IF(A134="","",IF($K$4="Media aritmética",ROUND(AVERAGE(C134,E134,G134,I134,K134,M134,O134,Q134,S134,U134,W134,Y134,AA134,AC134,AE134),2),ROUND(_xlfn.STDEV.P(C134,E134,G134,I134,K134,M134,O134,Q134,S134,U134,W134,Y134,AA134,AC134,AE134),2)))</f>
        <v>1656000</v>
      </c>
      <c r="C134" s="141">
        <f>IF($C$8="Habilitado",IF($A134="","",ROUND(VLOOKUP($A134,'Presupuesto Consolidado'!$A$9:$F$600,6,FALSE),2)),"")</f>
        <v>1656000</v>
      </c>
      <c r="D134" s="142">
        <f t="shared" ref="D134" si="1551">IF($A134="","",IF(C134="","",IF($K$4="Media aritmética",(C134&lt;=$B134)*($G$5/$B$5)+(C134&gt;$B134)*0,IF(ROUND(AVERAGE($C134,$E134,$G134,$I134,$K134,$M134,$O134,$Q134,$S134,$U134,$W134,$Y134,$AA134,$AC134,$AE134),2)-$B134/2&lt;=C134,IF(ROUND(AVERAGE($C134,$E134,$G134,$I134,$K134,$M134,$O134,$Q134,$S134,$U134,$W134,$Y134,$AA134,$AC134,$AE134),2)+$B134/2&gt;C134,($G$5/$B$5),0),0))))</f>
        <v>0.45714285714285713</v>
      </c>
      <c r="E134" s="141" t="str">
        <f>IF($E$8="Habilitado",IF($A134="","",ROUND(VLOOKUP($A134,'Presupuesto Consolidado'!$I$9:$N$600,6,FALSE),2)),"")</f>
        <v/>
      </c>
      <c r="F134" s="142" t="str">
        <f t="shared" ref="F134" si="1552">IF($A134="","",IF(E134="","",IF($K$4="Media aritmética",(E134&lt;=$B134)*($G$5/$B$5)+(E134&gt;$B134)*0,IF(ROUND(AVERAGE($C134,$E134,$G134,$I134,$K134,$M134,$O134,$Q134,$S134,$U134,$W134,$Y134,$AA134,$AC134,$AE134),2)-$B134/2&lt;=E134,IF(ROUND(AVERAGE($C134,$E134,$G134,$I134,$K134,$M134,$O134,$Q134,$S134,$U134,$W134,$Y134,$AA134,$AC134,$AE134),2)+$B134/2&gt;E134,($G$5/$B$5),0),0))))</f>
        <v/>
      </c>
      <c r="G134" s="141" t="str">
        <f>IF($G$8="Habilitado",IF($A134="","",ROUND(VLOOKUP($A134,'Presupuesto Consolidado'!$Q$9:$V$600,6,FALSE),2)),"")</f>
        <v/>
      </c>
      <c r="H134" s="142" t="str">
        <f t="shared" ref="H134" si="1553">IF($A134="","",IF(G134="","",IF($K$4="Media aritmética",(G134&lt;=$B134)*($G$5/$B$5)+(G134&gt;$B134)*0,IF(ROUND(AVERAGE($C134,$E134,$G134,$I134,$K134,$M134,$O134,$Q134,$S134,$U134,$W134,$Y134,$AA134,$AC134,$AE134),2)-$B134/2&lt;=G134,IF(ROUND(AVERAGE($C134,$E134,$G134,$I134,$K134,$M134,$O134,$Q134,$S134,$U134,$W134,$Y134,$AA134,$AC134,$AE134),2)+$B134/2&gt;G134,($G$5/$B$5),0),0))))</f>
        <v/>
      </c>
      <c r="I134" s="141" t="str">
        <f>IF($I$8="Habilitado",IF($A134="","",ROUND(VLOOKUP($A134,'Presupuesto Consolidado'!$Y$9:$AD$600,6,FALSE),2)),"")</f>
        <v/>
      </c>
      <c r="J134" s="142" t="str">
        <f t="shared" ref="J134" si="1554">IF($A134="","",IF(I134="","",IF($K$4="Media aritmética",(I134&lt;=$B134)*($G$5/$B$5)+(I134&gt;$B134)*0,IF(ROUND(AVERAGE($C134,$E134,$G134,$I134,$K134,$M134,$O134,$Q134,$S134,$U134,$W134,$Y134,$AA134,$AC134,$AE134),2)-$B134/2&lt;=I134,IF(ROUND(AVERAGE($C134,$E134,$G134,$I134,$K134,$M134,$O134,$Q134,$S134,$U134,$W134,$Y134,$AA134,$AC134,$AE134),2)+$B134/2&gt;I134,($G$5/$B$5),0),0))))</f>
        <v/>
      </c>
      <c r="K134" s="141" t="str">
        <f>IF($K$8="Habilitado",IF($A134="","",ROUND(VLOOKUP($A134,'Presupuesto Consolidado'!#REF!,6,FALSE),2)),"")</f>
        <v/>
      </c>
      <c r="L134" s="142" t="str">
        <f t="shared" ref="L134" si="1555">IF($A134="","",IF(K134="","",IF($K$4="Media aritmética",(K134&lt;=$B134)*($G$5/$B$5)+(K134&gt;$B134)*0,IF(ROUND(AVERAGE($C134,$E134,$G134,$I134,$K134,$M134,$O134,$Q134,$S134,$U134,$W134,$Y134,$AA134,$AC134,$AE134),2)-$B134/2&lt;=K134,IF(ROUND(AVERAGE($C134,$E134,$G134,$I134,$K134,$M134,$O134,$Q134,$S134,$U134,$W134,$Y134,$AA134,$AC134,$AE134),2)+$B134/2&gt;K134,($G$5/$B$5),0),0))))</f>
        <v/>
      </c>
      <c r="M134" s="141" t="str">
        <f>IF($M$8="Habilitado",IF($A134="","",ROUND(VLOOKUP($A134,'Presupuesto Consolidado'!#REF!,6,FALSE),2)),"")</f>
        <v/>
      </c>
      <c r="N134" s="142" t="str">
        <f t="shared" ref="N134" si="1556">IF($A134="","",IF(M134="","",IF($K$4="Media aritmética",(M134&lt;=$B134)*($G$5/$B$5)+(M134&gt;$B134)*0,IF(ROUND(AVERAGE($C134,$E134,$G134,$I134,$K134,$M134,$O134,$Q134,$S134,$U134,$W134,$Y134,$AA134,$AC134,$AE134),2)-$B134/2&lt;=M134,IF(ROUND(AVERAGE($C134,$E134,$G134,$I134,$K134,$M134,$O134,$Q134,$S134,$U134,$W134,$Y134,$AA134,$AC134,$AE134),2)+$B134/2&gt;M134,($G$5/$B$5),0),0))))</f>
        <v/>
      </c>
      <c r="O134" s="141" t="str">
        <f>IF($O$8="Habilitado",IF($A134="","",ROUND(VLOOKUP($A134,'Presupuesto Consolidado'!#REF!,6,FALSE),2)),"")</f>
        <v/>
      </c>
      <c r="P134" s="142" t="str">
        <f t="shared" ref="P134" si="1557">IF($A134="","",IF(O134="","",IF($K$4="Media aritmética",(O134&lt;=$B134)*($G$5/$B$5)+(O134&gt;$B134)*0,IF(ROUND(AVERAGE($C134,$E134,$G134,$I134,$K134,$M134,$O134,$Q134,$S134,$U134,$W134,$Y134,$AA134,$AC134,$AE134),2)-$B134/2&lt;=O134,IF(ROUND(AVERAGE($C134,$E134,$G134,$I134,$K134,$M134,$O134,$Q134,$S134,$U134,$W134,$Y134,$AA134,$AC134,$AE134),2)+$B134/2&gt;O134,($G$5/$B$5),0),0))))</f>
        <v/>
      </c>
      <c r="Q134" s="141" t="str">
        <f>IF($Q$8="Habilitado",IF($A134="","",ROUND(VLOOKUP($A134,'Presupuesto Consolidado'!#REF!,6,FALSE),2)),"")</f>
        <v/>
      </c>
      <c r="R134" s="142" t="str">
        <f t="shared" ref="R134" si="1558">IF($A134="","",IF(Q134="","",IF($K$4="Media aritmética",(Q134&lt;=$B134)*($G$5/$B$5)+(Q134&gt;$B134)*0,IF(ROUND(AVERAGE($C134,$E134,$G134,$I134,$K134,$M134,$O134,$Q134,$S134,$U134,$W134,$Y134,$AA134,$AC134,$AE134),2)-$B134/2&lt;=Q134,IF(ROUND(AVERAGE($C134,$E134,$G134,$I134,$K134,$M134,$O134,$Q134,$S134,$U134,$W134,$Y134,$AA134,$AC134,$AE134),2)+$B134/2&gt;Q134,($G$5/$B$5),0),0))))</f>
        <v/>
      </c>
      <c r="S134" s="141" t="str">
        <f>IF($S$8="Habilitado",IF($A134="","",ROUND(VLOOKUP($A134,'Presupuesto Consolidado'!#REF!,6,FALSE),2)),"")</f>
        <v/>
      </c>
      <c r="T134" s="142" t="str">
        <f t="shared" ref="T134" si="1559">IF($A134="","",IF(S134="","",IF($K$4="Media aritmética",(S134&lt;=$B134)*($G$5/$B$5)+(S134&gt;$B134)*0,IF(ROUND(AVERAGE($C134,$E134,$G134,$I134,$K134,$M134,$O134,$Q134,$S134,$U134,$W134,$Y134,$AA134,$AC134,$AE134),2)-$B134/2&lt;=S134,IF(ROUND(AVERAGE($C134,$E134,$G134,$I134,$K134,$M134,$O134,$Q134,$S134,$U134,$W134,$Y134,$AA134,$AC134,$AE134),2)+$B134/2&gt;S134,($G$5/$B$5),0),0))))</f>
        <v/>
      </c>
      <c r="U134" s="141" t="str">
        <f>IF($U$8="Habilitado",IF($A134="","",ROUND(VLOOKUP($A134,'Presupuesto Consolidado'!#REF!,6,FALSE),2)),"")</f>
        <v/>
      </c>
      <c r="V134" s="142" t="str">
        <f t="shared" ref="V134" si="1560">IF($A134="","",IF(U134="","",IF($K$4="Media aritmética",(U134&lt;=$B134)*($G$5/$B$5)+(U134&gt;$B134)*0,IF(ROUND(AVERAGE($C134,$E134,$G134,$I134,$K134,$M134,$O134,$Q134,$S134,$U134,$W134,$Y134,$AA134,$AC134,$AE134),2)-$B134/2&lt;=U134,IF(ROUND(AVERAGE($C134,$E134,$G134,$I134,$K134,$M134,$O134,$Q134,$S134,$U134,$W134,$Y134,$AA134,$AC134,$AE134),2)+$B134/2&gt;U134,($G$5/$B$5),0),0))))</f>
        <v/>
      </c>
      <c r="W134" s="141" t="str">
        <f>IF($W$8="Habilitado",IF($A134="","",ROUND(VLOOKUP($A134,'Presupuesto Consolidado'!#REF!,6,FALSE),2)),"")</f>
        <v/>
      </c>
      <c r="X134" s="142" t="str">
        <f t="shared" ref="X134" si="1561">IF($A134="","",IF(W134="","",IF($K$4="Media aritmética",(W134&lt;=$B134)*($G$5/$B$5)+(W134&gt;$B134)*0,IF(ROUND(AVERAGE($C134,$E134,$G134,$I134,$K134,$M134,$O134,$Q134,$S134,$U134,$W134,$Y134,$AA134,$AC134,$AE134),2)-$B134/2&lt;=W134,IF(ROUND(AVERAGE($C134,$E134,$G134,$I134,$K134,$M134,$O134,$Q134,$S134,$U134,$W134,$Y134,$AA134,$AC134,$AE134),2)+$B134/2&gt;W134,($G$5/$B$5),0),0))))</f>
        <v/>
      </c>
      <c r="Y134" s="141" t="str">
        <f>IF($Y$8="Habilitado",IF($A134="","",ROUND(VLOOKUP($A134,'Presupuesto Consolidado'!#REF!,6,FALSE),2)),"")</f>
        <v/>
      </c>
      <c r="Z134" s="142" t="str">
        <f t="shared" ref="Z134" si="1562">IF($A134="","",IF(Y134="","",IF($K$4="Media aritmética",(Y134&lt;=$B134)*($G$5/$B$5)+(Y134&gt;$B134)*0,IF(ROUND(AVERAGE($C134,$E134,$G134,$I134,$K134,$M134,$O134,$Q134,$S134,$U134,$W134,$Y134,$AA134,$AC134,$AE134),2)-$B134/2&lt;=Y134,IF(ROUND(AVERAGE($C134,$E134,$G134,$I134,$K134,$M134,$O134,$Q134,$S134,$U134,$W134,$Y134,$AA134,$AC134,$AE134),2)+$B134/2&gt;Y134,($G$5/$B$5),0),0))))</f>
        <v/>
      </c>
      <c r="AA134" s="141" t="str">
        <f>IF($AA$8="Habilitado",IF($A134="","",ROUND(VLOOKUP($A134,'Presupuesto Consolidado'!#REF!,6,FALSE),2)),"")</f>
        <v/>
      </c>
      <c r="AB134" s="142" t="str">
        <f t="shared" ref="AB134" si="1563">IF($A134="","",IF(AA134="","",IF($K$4="Media aritmética",(AA134&lt;=$B134)*($G$5/$B$5)+(AA134&gt;$B134)*0,IF(ROUND(AVERAGE($C134,$E134,$G134,$I134,$K134,$M134,$O134,$Q134,$S134,$U134,$W134,$Y134,$AA134,$AC134,$AE134),2)-$B134/2&lt;=AA134,IF(ROUND(AVERAGE($C134,$E134,$G134,$I134,$K134,$M134,$O134,$Q134,$S134,$U134,$W134,$Y134,$AA134,$AC134,$AE134),2)+$B134/2&gt;AA134,($G$5/$B$5),0),0))))</f>
        <v/>
      </c>
      <c r="AC134" s="141" t="str">
        <f>IF($AC$8="Habilitado",IF($A134="","",ROUND(VLOOKUP($A134,'Presupuesto Consolidado'!#REF!,6,FALSE),2)),"")</f>
        <v/>
      </c>
      <c r="AD134" s="142" t="str">
        <f t="shared" ref="AD134" si="1564">IF($A134="","",IF(AC134="","",IF($K$4="Media aritmética",(AC134&lt;=$B134)*($G$5/$B$5)+(AC134&gt;$B134)*0,IF(ROUND(AVERAGE($C134,$E134,$G134,$I134,$K134,$M134,$O134,$Q134,$S134,$U134,$W134,$Y134,$AA134,$AC134,$AE134),2)-$B134/2&lt;=AC134,IF(ROUND(AVERAGE($C134,$E134,$G134,$I134,$K134,$M134,$O134,$Q134,$S134,$U134,$W134,$Y134,$AA134,$AC134,$AE134),2)+$B134/2&gt;AC134,($G$5/$B$5),0),0))))</f>
        <v/>
      </c>
      <c r="AE134" s="141" t="str">
        <f>IF($AE$8="Habilitado",IF($A134="","",ROUND(VLOOKUP($A134,'Presupuesto Consolidado'!#REF!,6,FALSE),2)),"")</f>
        <v/>
      </c>
      <c r="AF134" s="142" t="str">
        <f t="shared" ref="AF134" si="1565">IF($A134="","",IF(AE134="","",IF($K$4="Media aritmética",(AE134&lt;=$B134)*($G$5/$B$5)+(AE134&gt;$B134)*0,IF(ROUND(AVERAGE($C134,$E134,$G134,$I134,$K134,$M134,$O134,$Q134,$S134,$U134,$W134,$Y134,$AA134,$AC134,$AE134),2)-$B134/2&lt;=AE134,IF(ROUND(AVERAGE($C134,$E134,$G134,$I134,$K134,$M134,$O134,$Q134,$S134,$U134,$W134,$Y134,$AA134,$AC134,$AE134),2)+$B134/2&gt;AE134,($G$5/$B$5),0),0))))</f>
        <v/>
      </c>
    </row>
    <row r="135" spans="1:32" s="135" customFormat="1" ht="21" customHeight="1">
      <c r="A135" s="132" t="str">
        <f>+'Presupuesto Consolidado'!A157</f>
        <v>12.4.8</v>
      </c>
      <c r="B135" s="140">
        <f t="shared" ref="B135" si="1566">IF(A135="","",IF($K$4="Media aritmética",ROUND(AVERAGE(C135,E135,G135,I135,K135,M135,O135,Q135,S135,U135,W135,Y135,AA135,AC135,AE135),2),ROUND(_xlfn.STDEV.P(C135,E135,G135,I135,K135,M135,O135,Q135,S135,U135,W135,Y135,AA135,AC135,AE135),2)))</f>
        <v>782460</v>
      </c>
      <c r="C135" s="141">
        <f>IF($C$8="Habilitado",IF($A135="","",ROUND(VLOOKUP($A135,'Presupuesto Consolidado'!$A$9:$F$600,6,FALSE),2)),"")</f>
        <v>782460</v>
      </c>
      <c r="D135" s="142">
        <f t="shared" ref="D135" si="1567">IF($A135="","",IF(C135="","",IF($K$4="Media aritmética",(C135&lt;=$B135)*($G$5/$B$5)+(C135&gt;$B135)*0,IF(ROUND(AVERAGE($C135,$E135,$G135,$I135,$K135,$M135,$O135,$Q135,$S135,$U135,$W135,$Y135,$AA135,$AC135,$AE135),2)-$B135/2&lt;=C135,IF(ROUND(AVERAGE($C135,$E135,$G135,$I135,$K135,$M135,$O135,$Q135,$S135,$U135,$W135,$Y135,$AA135,$AC135,$AE135),2)+$B135/2&gt;C135,($G$5/$B$5),0),0))))</f>
        <v>0.45714285714285713</v>
      </c>
      <c r="E135" s="141" t="str">
        <f>IF($E$8="Habilitado",IF($A135="","",ROUND(VLOOKUP($A135,'Presupuesto Consolidado'!$I$9:$N$600,6,FALSE),2)),"")</f>
        <v/>
      </c>
      <c r="F135" s="142" t="str">
        <f t="shared" ref="F135" si="1568">IF($A135="","",IF(E135="","",IF($K$4="Media aritmética",(E135&lt;=$B135)*($G$5/$B$5)+(E135&gt;$B135)*0,IF(ROUND(AVERAGE($C135,$E135,$G135,$I135,$K135,$M135,$O135,$Q135,$S135,$U135,$W135,$Y135,$AA135,$AC135,$AE135),2)-$B135/2&lt;=E135,IF(ROUND(AVERAGE($C135,$E135,$G135,$I135,$K135,$M135,$O135,$Q135,$S135,$U135,$W135,$Y135,$AA135,$AC135,$AE135),2)+$B135/2&gt;E135,($G$5/$B$5),0),0))))</f>
        <v/>
      </c>
      <c r="G135" s="141" t="str">
        <f>IF($G$8="Habilitado",IF($A135="","",ROUND(VLOOKUP($A135,'Presupuesto Consolidado'!$Q$9:$V$600,6,FALSE),2)),"")</f>
        <v/>
      </c>
      <c r="H135" s="142" t="str">
        <f t="shared" ref="H135" si="1569">IF($A135="","",IF(G135="","",IF($K$4="Media aritmética",(G135&lt;=$B135)*($G$5/$B$5)+(G135&gt;$B135)*0,IF(ROUND(AVERAGE($C135,$E135,$G135,$I135,$K135,$M135,$O135,$Q135,$S135,$U135,$W135,$Y135,$AA135,$AC135,$AE135),2)-$B135/2&lt;=G135,IF(ROUND(AVERAGE($C135,$E135,$G135,$I135,$K135,$M135,$O135,$Q135,$S135,$U135,$W135,$Y135,$AA135,$AC135,$AE135),2)+$B135/2&gt;G135,($G$5/$B$5),0),0))))</f>
        <v/>
      </c>
      <c r="I135" s="141" t="str">
        <f>IF($I$8="Habilitado",IF($A135="","",ROUND(VLOOKUP($A135,'Presupuesto Consolidado'!$Y$9:$AD$600,6,FALSE),2)),"")</f>
        <v/>
      </c>
      <c r="J135" s="142" t="str">
        <f t="shared" ref="J135" si="1570">IF($A135="","",IF(I135="","",IF($K$4="Media aritmética",(I135&lt;=$B135)*($G$5/$B$5)+(I135&gt;$B135)*0,IF(ROUND(AVERAGE($C135,$E135,$G135,$I135,$K135,$M135,$O135,$Q135,$S135,$U135,$W135,$Y135,$AA135,$AC135,$AE135),2)-$B135/2&lt;=I135,IF(ROUND(AVERAGE($C135,$E135,$G135,$I135,$K135,$M135,$O135,$Q135,$S135,$U135,$W135,$Y135,$AA135,$AC135,$AE135),2)+$B135/2&gt;I135,($G$5/$B$5),0),0))))</f>
        <v/>
      </c>
      <c r="K135" s="141" t="str">
        <f>IF($K$8="Habilitado",IF($A135="","",ROUND(VLOOKUP($A135,'Presupuesto Consolidado'!#REF!,6,FALSE),2)),"")</f>
        <v/>
      </c>
      <c r="L135" s="142" t="str">
        <f t="shared" ref="L135" si="1571">IF($A135="","",IF(K135="","",IF($K$4="Media aritmética",(K135&lt;=$B135)*($G$5/$B$5)+(K135&gt;$B135)*0,IF(ROUND(AVERAGE($C135,$E135,$G135,$I135,$K135,$M135,$O135,$Q135,$S135,$U135,$W135,$Y135,$AA135,$AC135,$AE135),2)-$B135/2&lt;=K135,IF(ROUND(AVERAGE($C135,$E135,$G135,$I135,$K135,$M135,$O135,$Q135,$S135,$U135,$W135,$Y135,$AA135,$AC135,$AE135),2)+$B135/2&gt;K135,($G$5/$B$5),0),0))))</f>
        <v/>
      </c>
      <c r="M135" s="141" t="str">
        <f>IF($M$8="Habilitado",IF($A135="","",ROUND(VLOOKUP($A135,'Presupuesto Consolidado'!#REF!,6,FALSE),2)),"")</f>
        <v/>
      </c>
      <c r="N135" s="142" t="str">
        <f t="shared" ref="N135" si="1572">IF($A135="","",IF(M135="","",IF($K$4="Media aritmética",(M135&lt;=$B135)*($G$5/$B$5)+(M135&gt;$B135)*0,IF(ROUND(AVERAGE($C135,$E135,$G135,$I135,$K135,$M135,$O135,$Q135,$S135,$U135,$W135,$Y135,$AA135,$AC135,$AE135),2)-$B135/2&lt;=M135,IF(ROUND(AVERAGE($C135,$E135,$G135,$I135,$K135,$M135,$O135,$Q135,$S135,$U135,$W135,$Y135,$AA135,$AC135,$AE135),2)+$B135/2&gt;M135,($G$5/$B$5),0),0))))</f>
        <v/>
      </c>
      <c r="O135" s="141" t="str">
        <f>IF($O$8="Habilitado",IF($A135="","",ROUND(VLOOKUP($A135,'Presupuesto Consolidado'!#REF!,6,FALSE),2)),"")</f>
        <v/>
      </c>
      <c r="P135" s="142" t="str">
        <f t="shared" ref="P135" si="1573">IF($A135="","",IF(O135="","",IF($K$4="Media aritmética",(O135&lt;=$B135)*($G$5/$B$5)+(O135&gt;$B135)*0,IF(ROUND(AVERAGE($C135,$E135,$G135,$I135,$K135,$M135,$O135,$Q135,$S135,$U135,$W135,$Y135,$AA135,$AC135,$AE135),2)-$B135/2&lt;=O135,IF(ROUND(AVERAGE($C135,$E135,$G135,$I135,$K135,$M135,$O135,$Q135,$S135,$U135,$W135,$Y135,$AA135,$AC135,$AE135),2)+$B135/2&gt;O135,($G$5/$B$5),0),0))))</f>
        <v/>
      </c>
      <c r="Q135" s="141" t="str">
        <f>IF($Q$8="Habilitado",IF($A135="","",ROUND(VLOOKUP($A135,'Presupuesto Consolidado'!#REF!,6,FALSE),2)),"")</f>
        <v/>
      </c>
      <c r="R135" s="142" t="str">
        <f t="shared" ref="R135" si="1574">IF($A135="","",IF(Q135="","",IF($K$4="Media aritmética",(Q135&lt;=$B135)*($G$5/$B$5)+(Q135&gt;$B135)*0,IF(ROUND(AVERAGE($C135,$E135,$G135,$I135,$K135,$M135,$O135,$Q135,$S135,$U135,$W135,$Y135,$AA135,$AC135,$AE135),2)-$B135/2&lt;=Q135,IF(ROUND(AVERAGE($C135,$E135,$G135,$I135,$K135,$M135,$O135,$Q135,$S135,$U135,$W135,$Y135,$AA135,$AC135,$AE135),2)+$B135/2&gt;Q135,($G$5/$B$5),0),0))))</f>
        <v/>
      </c>
      <c r="S135" s="141" t="str">
        <f>IF($S$8="Habilitado",IF($A135="","",ROUND(VLOOKUP($A135,'Presupuesto Consolidado'!#REF!,6,FALSE),2)),"")</f>
        <v/>
      </c>
      <c r="T135" s="142" t="str">
        <f t="shared" ref="T135" si="1575">IF($A135="","",IF(S135="","",IF($K$4="Media aritmética",(S135&lt;=$B135)*($G$5/$B$5)+(S135&gt;$B135)*0,IF(ROUND(AVERAGE($C135,$E135,$G135,$I135,$K135,$M135,$O135,$Q135,$S135,$U135,$W135,$Y135,$AA135,$AC135,$AE135),2)-$B135/2&lt;=S135,IF(ROUND(AVERAGE($C135,$E135,$G135,$I135,$K135,$M135,$O135,$Q135,$S135,$U135,$W135,$Y135,$AA135,$AC135,$AE135),2)+$B135/2&gt;S135,($G$5/$B$5),0),0))))</f>
        <v/>
      </c>
      <c r="U135" s="141" t="str">
        <f>IF($U$8="Habilitado",IF($A135="","",ROUND(VLOOKUP($A135,'Presupuesto Consolidado'!#REF!,6,FALSE),2)),"")</f>
        <v/>
      </c>
      <c r="V135" s="142" t="str">
        <f t="shared" ref="V135" si="1576">IF($A135="","",IF(U135="","",IF($K$4="Media aritmética",(U135&lt;=$B135)*($G$5/$B$5)+(U135&gt;$B135)*0,IF(ROUND(AVERAGE($C135,$E135,$G135,$I135,$K135,$M135,$O135,$Q135,$S135,$U135,$W135,$Y135,$AA135,$AC135,$AE135),2)-$B135/2&lt;=U135,IF(ROUND(AVERAGE($C135,$E135,$G135,$I135,$K135,$M135,$O135,$Q135,$S135,$U135,$W135,$Y135,$AA135,$AC135,$AE135),2)+$B135/2&gt;U135,($G$5/$B$5),0),0))))</f>
        <v/>
      </c>
      <c r="W135" s="141" t="str">
        <f>IF($W$8="Habilitado",IF($A135="","",ROUND(VLOOKUP($A135,'Presupuesto Consolidado'!#REF!,6,FALSE),2)),"")</f>
        <v/>
      </c>
      <c r="X135" s="142" t="str">
        <f t="shared" ref="X135" si="1577">IF($A135="","",IF(W135="","",IF($K$4="Media aritmética",(W135&lt;=$B135)*($G$5/$B$5)+(W135&gt;$B135)*0,IF(ROUND(AVERAGE($C135,$E135,$G135,$I135,$K135,$M135,$O135,$Q135,$S135,$U135,$W135,$Y135,$AA135,$AC135,$AE135),2)-$B135/2&lt;=W135,IF(ROUND(AVERAGE($C135,$E135,$G135,$I135,$K135,$M135,$O135,$Q135,$S135,$U135,$W135,$Y135,$AA135,$AC135,$AE135),2)+$B135/2&gt;W135,($G$5/$B$5),0),0))))</f>
        <v/>
      </c>
      <c r="Y135" s="141" t="str">
        <f>IF($Y$8="Habilitado",IF($A135="","",ROUND(VLOOKUP($A135,'Presupuesto Consolidado'!#REF!,6,FALSE),2)),"")</f>
        <v/>
      </c>
      <c r="Z135" s="142" t="str">
        <f t="shared" ref="Z135" si="1578">IF($A135="","",IF(Y135="","",IF($K$4="Media aritmética",(Y135&lt;=$B135)*($G$5/$B$5)+(Y135&gt;$B135)*0,IF(ROUND(AVERAGE($C135,$E135,$G135,$I135,$K135,$M135,$O135,$Q135,$S135,$U135,$W135,$Y135,$AA135,$AC135,$AE135),2)-$B135/2&lt;=Y135,IF(ROUND(AVERAGE($C135,$E135,$G135,$I135,$K135,$M135,$O135,$Q135,$S135,$U135,$W135,$Y135,$AA135,$AC135,$AE135),2)+$B135/2&gt;Y135,($G$5/$B$5),0),0))))</f>
        <v/>
      </c>
      <c r="AA135" s="141" t="str">
        <f>IF($AA$8="Habilitado",IF($A135="","",ROUND(VLOOKUP($A135,'Presupuesto Consolidado'!#REF!,6,FALSE),2)),"")</f>
        <v/>
      </c>
      <c r="AB135" s="142" t="str">
        <f t="shared" ref="AB135" si="1579">IF($A135="","",IF(AA135="","",IF($K$4="Media aritmética",(AA135&lt;=$B135)*($G$5/$B$5)+(AA135&gt;$B135)*0,IF(ROUND(AVERAGE($C135,$E135,$G135,$I135,$K135,$M135,$O135,$Q135,$S135,$U135,$W135,$Y135,$AA135,$AC135,$AE135),2)-$B135/2&lt;=AA135,IF(ROUND(AVERAGE($C135,$E135,$G135,$I135,$K135,$M135,$O135,$Q135,$S135,$U135,$W135,$Y135,$AA135,$AC135,$AE135),2)+$B135/2&gt;AA135,($G$5/$B$5),0),0))))</f>
        <v/>
      </c>
      <c r="AC135" s="141" t="str">
        <f>IF($AC$8="Habilitado",IF($A135="","",ROUND(VLOOKUP($A135,'Presupuesto Consolidado'!#REF!,6,FALSE),2)),"")</f>
        <v/>
      </c>
      <c r="AD135" s="142" t="str">
        <f t="shared" ref="AD135" si="1580">IF($A135="","",IF(AC135="","",IF($K$4="Media aritmética",(AC135&lt;=$B135)*($G$5/$B$5)+(AC135&gt;$B135)*0,IF(ROUND(AVERAGE($C135,$E135,$G135,$I135,$K135,$M135,$O135,$Q135,$S135,$U135,$W135,$Y135,$AA135,$AC135,$AE135),2)-$B135/2&lt;=AC135,IF(ROUND(AVERAGE($C135,$E135,$G135,$I135,$K135,$M135,$O135,$Q135,$S135,$U135,$W135,$Y135,$AA135,$AC135,$AE135),2)+$B135/2&gt;AC135,($G$5/$B$5),0),0))))</f>
        <v/>
      </c>
      <c r="AE135" s="141" t="str">
        <f>IF($AE$8="Habilitado",IF($A135="","",ROUND(VLOOKUP($A135,'Presupuesto Consolidado'!#REF!,6,FALSE),2)),"")</f>
        <v/>
      </c>
      <c r="AF135" s="142" t="str">
        <f t="shared" ref="AF135" si="1581">IF($A135="","",IF(AE135="","",IF($K$4="Media aritmética",(AE135&lt;=$B135)*($G$5/$B$5)+(AE135&gt;$B135)*0,IF(ROUND(AVERAGE($C135,$E135,$G135,$I135,$K135,$M135,$O135,$Q135,$S135,$U135,$W135,$Y135,$AA135,$AC135,$AE135),2)-$B135/2&lt;=AE135,IF(ROUND(AVERAGE($C135,$E135,$G135,$I135,$K135,$M135,$O135,$Q135,$S135,$U135,$W135,$Y135,$AA135,$AC135,$AE135),2)+$B135/2&gt;AE135,($G$5/$B$5),0),0))))</f>
        <v/>
      </c>
    </row>
    <row r="136" spans="1:32" s="135" customFormat="1" ht="21" customHeight="1">
      <c r="A136" s="132" t="str">
        <f>+'Presupuesto Consolidado'!A160</f>
        <v>12.4.10</v>
      </c>
      <c r="B136" s="140">
        <f t="shared" ref="B136" si="1582">IF(A136="","",IF($K$4="Media aritmética",ROUND(AVERAGE(C136,E136,G136,I136,K136,M136,O136,Q136,S136,U136,W136,Y136,AA136,AC136,AE136),2),ROUND(_xlfn.STDEV.P(C136,E136,G136,I136,K136,M136,O136,Q136,S136,U136,W136,Y136,AA136,AC136,AE136),2)))</f>
        <v>1966500</v>
      </c>
      <c r="C136" s="141">
        <f>IF($C$8="Habilitado",IF($A136="","",ROUND(VLOOKUP($A136,'Presupuesto Consolidado'!$A$9:$F$600,6,FALSE),2)),"")</f>
        <v>1966500</v>
      </c>
      <c r="D136" s="142">
        <f t="shared" ref="D136" si="1583">IF($A136="","",IF(C136="","",IF($K$4="Media aritmética",(C136&lt;=$B136)*($G$5/$B$5)+(C136&gt;$B136)*0,IF(ROUND(AVERAGE($C136,$E136,$G136,$I136,$K136,$M136,$O136,$Q136,$S136,$U136,$W136,$Y136,$AA136,$AC136,$AE136),2)-$B136/2&lt;=C136,IF(ROUND(AVERAGE($C136,$E136,$G136,$I136,$K136,$M136,$O136,$Q136,$S136,$U136,$W136,$Y136,$AA136,$AC136,$AE136),2)+$B136/2&gt;C136,($G$5/$B$5),0),0))))</f>
        <v>0.45714285714285713</v>
      </c>
      <c r="E136" s="141" t="str">
        <f>IF($E$8="Habilitado",IF($A136="","",ROUND(VLOOKUP($A136,'Presupuesto Consolidado'!$I$9:$N$600,6,FALSE),2)),"")</f>
        <v/>
      </c>
      <c r="F136" s="142" t="str">
        <f t="shared" ref="F136" si="1584">IF($A136="","",IF(E136="","",IF($K$4="Media aritmética",(E136&lt;=$B136)*($G$5/$B$5)+(E136&gt;$B136)*0,IF(ROUND(AVERAGE($C136,$E136,$G136,$I136,$K136,$M136,$O136,$Q136,$S136,$U136,$W136,$Y136,$AA136,$AC136,$AE136),2)-$B136/2&lt;=E136,IF(ROUND(AVERAGE($C136,$E136,$G136,$I136,$K136,$M136,$O136,$Q136,$S136,$U136,$W136,$Y136,$AA136,$AC136,$AE136),2)+$B136/2&gt;E136,($G$5/$B$5),0),0))))</f>
        <v/>
      </c>
      <c r="G136" s="141" t="str">
        <f>IF($G$8="Habilitado",IF($A136="","",ROUND(VLOOKUP($A136,'Presupuesto Consolidado'!$Q$9:$V$600,6,FALSE),2)),"")</f>
        <v/>
      </c>
      <c r="H136" s="142" t="str">
        <f t="shared" ref="H136" si="1585">IF($A136="","",IF(G136="","",IF($K$4="Media aritmética",(G136&lt;=$B136)*($G$5/$B$5)+(G136&gt;$B136)*0,IF(ROUND(AVERAGE($C136,$E136,$G136,$I136,$K136,$M136,$O136,$Q136,$S136,$U136,$W136,$Y136,$AA136,$AC136,$AE136),2)-$B136/2&lt;=G136,IF(ROUND(AVERAGE($C136,$E136,$G136,$I136,$K136,$M136,$O136,$Q136,$S136,$U136,$W136,$Y136,$AA136,$AC136,$AE136),2)+$B136/2&gt;G136,($G$5/$B$5),0),0))))</f>
        <v/>
      </c>
      <c r="I136" s="141" t="str">
        <f>IF($I$8="Habilitado",IF($A136="","",ROUND(VLOOKUP($A136,'Presupuesto Consolidado'!$Y$9:$AD$600,6,FALSE),2)),"")</f>
        <v/>
      </c>
      <c r="J136" s="142" t="str">
        <f t="shared" ref="J136" si="1586">IF($A136="","",IF(I136="","",IF($K$4="Media aritmética",(I136&lt;=$B136)*($G$5/$B$5)+(I136&gt;$B136)*0,IF(ROUND(AVERAGE($C136,$E136,$G136,$I136,$K136,$M136,$O136,$Q136,$S136,$U136,$W136,$Y136,$AA136,$AC136,$AE136),2)-$B136/2&lt;=I136,IF(ROUND(AVERAGE($C136,$E136,$G136,$I136,$K136,$M136,$O136,$Q136,$S136,$U136,$W136,$Y136,$AA136,$AC136,$AE136),2)+$B136/2&gt;I136,($G$5/$B$5),0),0))))</f>
        <v/>
      </c>
      <c r="K136" s="141" t="str">
        <f>IF($K$8="Habilitado",IF($A136="","",ROUND(VLOOKUP($A136,'Presupuesto Consolidado'!#REF!,6,FALSE),2)),"")</f>
        <v/>
      </c>
      <c r="L136" s="142" t="str">
        <f t="shared" ref="L136" si="1587">IF($A136="","",IF(K136="","",IF($K$4="Media aritmética",(K136&lt;=$B136)*($G$5/$B$5)+(K136&gt;$B136)*0,IF(ROUND(AVERAGE($C136,$E136,$G136,$I136,$K136,$M136,$O136,$Q136,$S136,$U136,$W136,$Y136,$AA136,$AC136,$AE136),2)-$B136/2&lt;=K136,IF(ROUND(AVERAGE($C136,$E136,$G136,$I136,$K136,$M136,$O136,$Q136,$S136,$U136,$W136,$Y136,$AA136,$AC136,$AE136),2)+$B136/2&gt;K136,($G$5/$B$5),0),0))))</f>
        <v/>
      </c>
      <c r="M136" s="141" t="str">
        <f>IF($M$8="Habilitado",IF($A136="","",ROUND(VLOOKUP($A136,'Presupuesto Consolidado'!#REF!,6,FALSE),2)),"")</f>
        <v/>
      </c>
      <c r="N136" s="142" t="str">
        <f t="shared" ref="N136" si="1588">IF($A136="","",IF(M136="","",IF($K$4="Media aritmética",(M136&lt;=$B136)*($G$5/$B$5)+(M136&gt;$B136)*0,IF(ROUND(AVERAGE($C136,$E136,$G136,$I136,$K136,$M136,$O136,$Q136,$S136,$U136,$W136,$Y136,$AA136,$AC136,$AE136),2)-$B136/2&lt;=M136,IF(ROUND(AVERAGE($C136,$E136,$G136,$I136,$K136,$M136,$O136,$Q136,$S136,$U136,$W136,$Y136,$AA136,$AC136,$AE136),2)+$B136/2&gt;M136,($G$5/$B$5),0),0))))</f>
        <v/>
      </c>
      <c r="O136" s="141" t="str">
        <f>IF($O$8="Habilitado",IF($A136="","",ROUND(VLOOKUP($A136,'Presupuesto Consolidado'!#REF!,6,FALSE),2)),"")</f>
        <v/>
      </c>
      <c r="P136" s="142" t="str">
        <f t="shared" ref="P136" si="1589">IF($A136="","",IF(O136="","",IF($K$4="Media aritmética",(O136&lt;=$B136)*($G$5/$B$5)+(O136&gt;$B136)*0,IF(ROUND(AVERAGE($C136,$E136,$G136,$I136,$K136,$M136,$O136,$Q136,$S136,$U136,$W136,$Y136,$AA136,$AC136,$AE136),2)-$B136/2&lt;=O136,IF(ROUND(AVERAGE($C136,$E136,$G136,$I136,$K136,$M136,$O136,$Q136,$S136,$U136,$W136,$Y136,$AA136,$AC136,$AE136),2)+$B136/2&gt;O136,($G$5/$B$5),0),0))))</f>
        <v/>
      </c>
      <c r="Q136" s="141" t="str">
        <f>IF($Q$8="Habilitado",IF($A136="","",ROUND(VLOOKUP($A136,'Presupuesto Consolidado'!#REF!,6,FALSE),2)),"")</f>
        <v/>
      </c>
      <c r="R136" s="142" t="str">
        <f t="shared" ref="R136" si="1590">IF($A136="","",IF(Q136="","",IF($K$4="Media aritmética",(Q136&lt;=$B136)*($G$5/$B$5)+(Q136&gt;$B136)*0,IF(ROUND(AVERAGE($C136,$E136,$G136,$I136,$K136,$M136,$O136,$Q136,$S136,$U136,$W136,$Y136,$AA136,$AC136,$AE136),2)-$B136/2&lt;=Q136,IF(ROUND(AVERAGE($C136,$E136,$G136,$I136,$K136,$M136,$O136,$Q136,$S136,$U136,$W136,$Y136,$AA136,$AC136,$AE136),2)+$B136/2&gt;Q136,($G$5/$B$5),0),0))))</f>
        <v/>
      </c>
      <c r="S136" s="141" t="str">
        <f>IF($S$8="Habilitado",IF($A136="","",ROUND(VLOOKUP($A136,'Presupuesto Consolidado'!#REF!,6,FALSE),2)),"")</f>
        <v/>
      </c>
      <c r="T136" s="142" t="str">
        <f t="shared" ref="T136" si="1591">IF($A136="","",IF(S136="","",IF($K$4="Media aritmética",(S136&lt;=$B136)*($G$5/$B$5)+(S136&gt;$B136)*0,IF(ROUND(AVERAGE($C136,$E136,$G136,$I136,$K136,$M136,$O136,$Q136,$S136,$U136,$W136,$Y136,$AA136,$AC136,$AE136),2)-$B136/2&lt;=S136,IF(ROUND(AVERAGE($C136,$E136,$G136,$I136,$K136,$M136,$O136,$Q136,$S136,$U136,$W136,$Y136,$AA136,$AC136,$AE136),2)+$B136/2&gt;S136,($G$5/$B$5),0),0))))</f>
        <v/>
      </c>
      <c r="U136" s="141" t="str">
        <f>IF($U$8="Habilitado",IF($A136="","",ROUND(VLOOKUP($A136,'Presupuesto Consolidado'!#REF!,6,FALSE),2)),"")</f>
        <v/>
      </c>
      <c r="V136" s="142" t="str">
        <f t="shared" ref="V136" si="1592">IF($A136="","",IF(U136="","",IF($K$4="Media aritmética",(U136&lt;=$B136)*($G$5/$B$5)+(U136&gt;$B136)*0,IF(ROUND(AVERAGE($C136,$E136,$G136,$I136,$K136,$M136,$O136,$Q136,$S136,$U136,$W136,$Y136,$AA136,$AC136,$AE136),2)-$B136/2&lt;=U136,IF(ROUND(AVERAGE($C136,$E136,$G136,$I136,$K136,$M136,$O136,$Q136,$S136,$U136,$W136,$Y136,$AA136,$AC136,$AE136),2)+$B136/2&gt;U136,($G$5/$B$5),0),0))))</f>
        <v/>
      </c>
      <c r="W136" s="141" t="str">
        <f>IF($W$8="Habilitado",IF($A136="","",ROUND(VLOOKUP($A136,'Presupuesto Consolidado'!#REF!,6,FALSE),2)),"")</f>
        <v/>
      </c>
      <c r="X136" s="142" t="str">
        <f t="shared" ref="X136" si="1593">IF($A136="","",IF(W136="","",IF($K$4="Media aritmética",(W136&lt;=$B136)*($G$5/$B$5)+(W136&gt;$B136)*0,IF(ROUND(AVERAGE($C136,$E136,$G136,$I136,$K136,$M136,$O136,$Q136,$S136,$U136,$W136,$Y136,$AA136,$AC136,$AE136),2)-$B136/2&lt;=W136,IF(ROUND(AVERAGE($C136,$E136,$G136,$I136,$K136,$M136,$O136,$Q136,$S136,$U136,$W136,$Y136,$AA136,$AC136,$AE136),2)+$B136/2&gt;W136,($G$5/$B$5),0),0))))</f>
        <v/>
      </c>
      <c r="Y136" s="141" t="str">
        <f>IF($Y$8="Habilitado",IF($A136="","",ROUND(VLOOKUP($A136,'Presupuesto Consolidado'!#REF!,6,FALSE),2)),"")</f>
        <v/>
      </c>
      <c r="Z136" s="142" t="str">
        <f t="shared" ref="Z136" si="1594">IF($A136="","",IF(Y136="","",IF($K$4="Media aritmética",(Y136&lt;=$B136)*($G$5/$B$5)+(Y136&gt;$B136)*0,IF(ROUND(AVERAGE($C136,$E136,$G136,$I136,$K136,$M136,$O136,$Q136,$S136,$U136,$W136,$Y136,$AA136,$AC136,$AE136),2)-$B136/2&lt;=Y136,IF(ROUND(AVERAGE($C136,$E136,$G136,$I136,$K136,$M136,$O136,$Q136,$S136,$U136,$W136,$Y136,$AA136,$AC136,$AE136),2)+$B136/2&gt;Y136,($G$5/$B$5),0),0))))</f>
        <v/>
      </c>
      <c r="AA136" s="141" t="str">
        <f>IF($AA$8="Habilitado",IF($A136="","",ROUND(VLOOKUP($A136,'Presupuesto Consolidado'!#REF!,6,FALSE),2)),"")</f>
        <v/>
      </c>
      <c r="AB136" s="142" t="str">
        <f t="shared" ref="AB136" si="1595">IF($A136="","",IF(AA136="","",IF($K$4="Media aritmética",(AA136&lt;=$B136)*($G$5/$B$5)+(AA136&gt;$B136)*0,IF(ROUND(AVERAGE($C136,$E136,$G136,$I136,$K136,$M136,$O136,$Q136,$S136,$U136,$W136,$Y136,$AA136,$AC136,$AE136),2)-$B136/2&lt;=AA136,IF(ROUND(AVERAGE($C136,$E136,$G136,$I136,$K136,$M136,$O136,$Q136,$S136,$U136,$W136,$Y136,$AA136,$AC136,$AE136),2)+$B136/2&gt;AA136,($G$5/$B$5),0),0))))</f>
        <v/>
      </c>
      <c r="AC136" s="141" t="str">
        <f>IF($AC$8="Habilitado",IF($A136="","",ROUND(VLOOKUP($A136,'Presupuesto Consolidado'!#REF!,6,FALSE),2)),"")</f>
        <v/>
      </c>
      <c r="AD136" s="142" t="str">
        <f t="shared" ref="AD136" si="1596">IF($A136="","",IF(AC136="","",IF($K$4="Media aritmética",(AC136&lt;=$B136)*($G$5/$B$5)+(AC136&gt;$B136)*0,IF(ROUND(AVERAGE($C136,$E136,$G136,$I136,$K136,$M136,$O136,$Q136,$S136,$U136,$W136,$Y136,$AA136,$AC136,$AE136),2)-$B136/2&lt;=AC136,IF(ROUND(AVERAGE($C136,$E136,$G136,$I136,$K136,$M136,$O136,$Q136,$S136,$U136,$W136,$Y136,$AA136,$AC136,$AE136),2)+$B136/2&gt;AC136,($G$5/$B$5),0),0))))</f>
        <v/>
      </c>
      <c r="AE136" s="141" t="str">
        <f>IF($AE$8="Habilitado",IF($A136="","",ROUND(VLOOKUP($A136,'Presupuesto Consolidado'!#REF!,6,FALSE),2)),"")</f>
        <v/>
      </c>
      <c r="AF136" s="142" t="str">
        <f t="shared" ref="AF136" si="1597">IF($A136="","",IF(AE136="","",IF($K$4="Media aritmética",(AE136&lt;=$B136)*($G$5/$B$5)+(AE136&gt;$B136)*0,IF(ROUND(AVERAGE($C136,$E136,$G136,$I136,$K136,$M136,$O136,$Q136,$S136,$U136,$W136,$Y136,$AA136,$AC136,$AE136),2)-$B136/2&lt;=AE136,IF(ROUND(AVERAGE($C136,$E136,$G136,$I136,$K136,$M136,$O136,$Q136,$S136,$U136,$W136,$Y136,$AA136,$AC136,$AE136),2)+$B136/2&gt;AE136,($G$5/$B$5),0),0))))</f>
        <v/>
      </c>
    </row>
    <row r="137" spans="1:32" s="135" customFormat="1" ht="21" customHeight="1">
      <c r="A137" s="132" t="str">
        <f>+'Presupuesto Consolidado'!A161</f>
        <v>12.4.11</v>
      </c>
      <c r="B137" s="140">
        <f t="shared" ref="B137" si="1598">IF(A137="","",IF($K$4="Media aritmética",ROUND(AVERAGE(C137,E137,G137,I137,K137,M137,O137,Q137,S137,U137,W137,Y137,AA137,AC137,AE137),2),ROUND(_xlfn.STDEV.P(C137,E137,G137,I137,K137,M137,O137,Q137,S137,U137,W137,Y137,AA137,AC137,AE137),2)))</f>
        <v>1386900</v>
      </c>
      <c r="C137" s="141">
        <f>IF($C$8="Habilitado",IF($A137="","",ROUND(VLOOKUP($A137,'Presupuesto Consolidado'!$A$9:$F$600,6,FALSE),2)),"")</f>
        <v>1386900</v>
      </c>
      <c r="D137" s="142">
        <f t="shared" ref="D137" si="1599">IF($A137="","",IF(C137="","",IF($K$4="Media aritmética",(C137&lt;=$B137)*($G$5/$B$5)+(C137&gt;$B137)*0,IF(ROUND(AVERAGE($C137,$E137,$G137,$I137,$K137,$M137,$O137,$Q137,$S137,$U137,$W137,$Y137,$AA137,$AC137,$AE137),2)-$B137/2&lt;=C137,IF(ROUND(AVERAGE($C137,$E137,$G137,$I137,$K137,$M137,$O137,$Q137,$S137,$U137,$W137,$Y137,$AA137,$AC137,$AE137),2)+$B137/2&gt;C137,($G$5/$B$5),0),0))))</f>
        <v>0.45714285714285713</v>
      </c>
      <c r="E137" s="141" t="str">
        <f>IF($E$8="Habilitado",IF($A137="","",ROUND(VLOOKUP($A137,'Presupuesto Consolidado'!$I$9:$N$600,6,FALSE),2)),"")</f>
        <v/>
      </c>
      <c r="F137" s="142" t="str">
        <f t="shared" ref="F137" si="1600">IF($A137="","",IF(E137="","",IF($K$4="Media aritmética",(E137&lt;=$B137)*($G$5/$B$5)+(E137&gt;$B137)*0,IF(ROUND(AVERAGE($C137,$E137,$G137,$I137,$K137,$M137,$O137,$Q137,$S137,$U137,$W137,$Y137,$AA137,$AC137,$AE137),2)-$B137/2&lt;=E137,IF(ROUND(AVERAGE($C137,$E137,$G137,$I137,$K137,$M137,$O137,$Q137,$S137,$U137,$W137,$Y137,$AA137,$AC137,$AE137),2)+$B137/2&gt;E137,($G$5/$B$5),0),0))))</f>
        <v/>
      </c>
      <c r="G137" s="141" t="str">
        <f>IF($G$8="Habilitado",IF($A137="","",ROUND(VLOOKUP($A137,'Presupuesto Consolidado'!$Q$9:$V$600,6,FALSE),2)),"")</f>
        <v/>
      </c>
      <c r="H137" s="142" t="str">
        <f t="shared" ref="H137" si="1601">IF($A137="","",IF(G137="","",IF($K$4="Media aritmética",(G137&lt;=$B137)*($G$5/$B$5)+(G137&gt;$B137)*0,IF(ROUND(AVERAGE($C137,$E137,$G137,$I137,$K137,$M137,$O137,$Q137,$S137,$U137,$W137,$Y137,$AA137,$AC137,$AE137),2)-$B137/2&lt;=G137,IF(ROUND(AVERAGE($C137,$E137,$G137,$I137,$K137,$M137,$O137,$Q137,$S137,$U137,$W137,$Y137,$AA137,$AC137,$AE137),2)+$B137/2&gt;G137,($G$5/$B$5),0),0))))</f>
        <v/>
      </c>
      <c r="I137" s="141" t="str">
        <f>IF($I$8="Habilitado",IF($A137="","",ROUND(VLOOKUP($A137,'Presupuesto Consolidado'!$Y$9:$AD$600,6,FALSE),2)),"")</f>
        <v/>
      </c>
      <c r="J137" s="142" t="str">
        <f t="shared" ref="J137" si="1602">IF($A137="","",IF(I137="","",IF($K$4="Media aritmética",(I137&lt;=$B137)*($G$5/$B$5)+(I137&gt;$B137)*0,IF(ROUND(AVERAGE($C137,$E137,$G137,$I137,$K137,$M137,$O137,$Q137,$S137,$U137,$W137,$Y137,$AA137,$AC137,$AE137),2)-$B137/2&lt;=I137,IF(ROUND(AVERAGE($C137,$E137,$G137,$I137,$K137,$M137,$O137,$Q137,$S137,$U137,$W137,$Y137,$AA137,$AC137,$AE137),2)+$B137/2&gt;I137,($G$5/$B$5),0),0))))</f>
        <v/>
      </c>
      <c r="K137" s="141" t="str">
        <f>IF($K$8="Habilitado",IF($A137="","",ROUND(VLOOKUP($A137,'Presupuesto Consolidado'!#REF!,6,FALSE),2)),"")</f>
        <v/>
      </c>
      <c r="L137" s="142" t="str">
        <f t="shared" ref="L137" si="1603">IF($A137="","",IF(K137="","",IF($K$4="Media aritmética",(K137&lt;=$B137)*($G$5/$B$5)+(K137&gt;$B137)*0,IF(ROUND(AVERAGE($C137,$E137,$G137,$I137,$K137,$M137,$O137,$Q137,$S137,$U137,$W137,$Y137,$AA137,$AC137,$AE137),2)-$B137/2&lt;=K137,IF(ROUND(AVERAGE($C137,$E137,$G137,$I137,$K137,$M137,$O137,$Q137,$S137,$U137,$W137,$Y137,$AA137,$AC137,$AE137),2)+$B137/2&gt;K137,($G$5/$B$5),0),0))))</f>
        <v/>
      </c>
      <c r="M137" s="141" t="str">
        <f>IF($M$8="Habilitado",IF($A137="","",ROUND(VLOOKUP($A137,'Presupuesto Consolidado'!#REF!,6,FALSE),2)),"")</f>
        <v/>
      </c>
      <c r="N137" s="142" t="str">
        <f t="shared" ref="N137" si="1604">IF($A137="","",IF(M137="","",IF($K$4="Media aritmética",(M137&lt;=$B137)*($G$5/$B$5)+(M137&gt;$B137)*0,IF(ROUND(AVERAGE($C137,$E137,$G137,$I137,$K137,$M137,$O137,$Q137,$S137,$U137,$W137,$Y137,$AA137,$AC137,$AE137),2)-$B137/2&lt;=M137,IF(ROUND(AVERAGE($C137,$E137,$G137,$I137,$K137,$M137,$O137,$Q137,$S137,$U137,$W137,$Y137,$AA137,$AC137,$AE137),2)+$B137/2&gt;M137,($G$5/$B$5),0),0))))</f>
        <v/>
      </c>
      <c r="O137" s="141" t="str">
        <f>IF($O$8="Habilitado",IF($A137="","",ROUND(VLOOKUP($A137,'Presupuesto Consolidado'!#REF!,6,FALSE),2)),"")</f>
        <v/>
      </c>
      <c r="P137" s="142" t="str">
        <f t="shared" ref="P137" si="1605">IF($A137="","",IF(O137="","",IF($K$4="Media aritmética",(O137&lt;=$B137)*($G$5/$B$5)+(O137&gt;$B137)*0,IF(ROUND(AVERAGE($C137,$E137,$G137,$I137,$K137,$M137,$O137,$Q137,$S137,$U137,$W137,$Y137,$AA137,$AC137,$AE137),2)-$B137/2&lt;=O137,IF(ROUND(AVERAGE($C137,$E137,$G137,$I137,$K137,$M137,$O137,$Q137,$S137,$U137,$W137,$Y137,$AA137,$AC137,$AE137),2)+$B137/2&gt;O137,($G$5/$B$5),0),0))))</f>
        <v/>
      </c>
      <c r="Q137" s="141" t="str">
        <f>IF($Q$8="Habilitado",IF($A137="","",ROUND(VLOOKUP($A137,'Presupuesto Consolidado'!#REF!,6,FALSE),2)),"")</f>
        <v/>
      </c>
      <c r="R137" s="142" t="str">
        <f t="shared" ref="R137" si="1606">IF($A137="","",IF(Q137="","",IF($K$4="Media aritmética",(Q137&lt;=$B137)*($G$5/$B$5)+(Q137&gt;$B137)*0,IF(ROUND(AVERAGE($C137,$E137,$G137,$I137,$K137,$M137,$O137,$Q137,$S137,$U137,$W137,$Y137,$AA137,$AC137,$AE137),2)-$B137/2&lt;=Q137,IF(ROUND(AVERAGE($C137,$E137,$G137,$I137,$K137,$M137,$O137,$Q137,$S137,$U137,$W137,$Y137,$AA137,$AC137,$AE137),2)+$B137/2&gt;Q137,($G$5/$B$5),0),0))))</f>
        <v/>
      </c>
      <c r="S137" s="141" t="str">
        <f>IF($S$8="Habilitado",IF($A137="","",ROUND(VLOOKUP($A137,'Presupuesto Consolidado'!#REF!,6,FALSE),2)),"")</f>
        <v/>
      </c>
      <c r="T137" s="142" t="str">
        <f t="shared" ref="T137" si="1607">IF($A137="","",IF(S137="","",IF($K$4="Media aritmética",(S137&lt;=$B137)*($G$5/$B$5)+(S137&gt;$B137)*0,IF(ROUND(AVERAGE($C137,$E137,$G137,$I137,$K137,$M137,$O137,$Q137,$S137,$U137,$W137,$Y137,$AA137,$AC137,$AE137),2)-$B137/2&lt;=S137,IF(ROUND(AVERAGE($C137,$E137,$G137,$I137,$K137,$M137,$O137,$Q137,$S137,$U137,$W137,$Y137,$AA137,$AC137,$AE137),2)+$B137/2&gt;S137,($G$5/$B$5),0),0))))</f>
        <v/>
      </c>
      <c r="U137" s="141" t="str">
        <f>IF($U$8="Habilitado",IF($A137="","",ROUND(VLOOKUP($A137,'Presupuesto Consolidado'!#REF!,6,FALSE),2)),"")</f>
        <v/>
      </c>
      <c r="V137" s="142" t="str">
        <f t="shared" ref="V137" si="1608">IF($A137="","",IF(U137="","",IF($K$4="Media aritmética",(U137&lt;=$B137)*($G$5/$B$5)+(U137&gt;$B137)*0,IF(ROUND(AVERAGE($C137,$E137,$G137,$I137,$K137,$M137,$O137,$Q137,$S137,$U137,$W137,$Y137,$AA137,$AC137,$AE137),2)-$B137/2&lt;=U137,IF(ROUND(AVERAGE($C137,$E137,$G137,$I137,$K137,$M137,$O137,$Q137,$S137,$U137,$W137,$Y137,$AA137,$AC137,$AE137),2)+$B137/2&gt;U137,($G$5/$B$5),0),0))))</f>
        <v/>
      </c>
      <c r="W137" s="141" t="str">
        <f>IF($W$8="Habilitado",IF($A137="","",ROUND(VLOOKUP($A137,'Presupuesto Consolidado'!#REF!,6,FALSE),2)),"")</f>
        <v/>
      </c>
      <c r="X137" s="142" t="str">
        <f t="shared" ref="X137" si="1609">IF($A137="","",IF(W137="","",IF($K$4="Media aritmética",(W137&lt;=$B137)*($G$5/$B$5)+(W137&gt;$B137)*0,IF(ROUND(AVERAGE($C137,$E137,$G137,$I137,$K137,$M137,$O137,$Q137,$S137,$U137,$W137,$Y137,$AA137,$AC137,$AE137),2)-$B137/2&lt;=W137,IF(ROUND(AVERAGE($C137,$E137,$G137,$I137,$K137,$M137,$O137,$Q137,$S137,$U137,$W137,$Y137,$AA137,$AC137,$AE137),2)+$B137/2&gt;W137,($G$5/$B$5),0),0))))</f>
        <v/>
      </c>
      <c r="Y137" s="141" t="str">
        <f>IF($Y$8="Habilitado",IF($A137="","",ROUND(VLOOKUP($A137,'Presupuesto Consolidado'!#REF!,6,FALSE),2)),"")</f>
        <v/>
      </c>
      <c r="Z137" s="142" t="str">
        <f t="shared" ref="Z137" si="1610">IF($A137="","",IF(Y137="","",IF($K$4="Media aritmética",(Y137&lt;=$B137)*($G$5/$B$5)+(Y137&gt;$B137)*0,IF(ROUND(AVERAGE($C137,$E137,$G137,$I137,$K137,$M137,$O137,$Q137,$S137,$U137,$W137,$Y137,$AA137,$AC137,$AE137),2)-$B137/2&lt;=Y137,IF(ROUND(AVERAGE($C137,$E137,$G137,$I137,$K137,$M137,$O137,$Q137,$S137,$U137,$W137,$Y137,$AA137,$AC137,$AE137),2)+$B137/2&gt;Y137,($G$5/$B$5),0),0))))</f>
        <v/>
      </c>
      <c r="AA137" s="141" t="str">
        <f>IF($AA$8="Habilitado",IF($A137="","",ROUND(VLOOKUP($A137,'Presupuesto Consolidado'!#REF!,6,FALSE),2)),"")</f>
        <v/>
      </c>
      <c r="AB137" s="142" t="str">
        <f t="shared" ref="AB137" si="1611">IF($A137="","",IF(AA137="","",IF($K$4="Media aritmética",(AA137&lt;=$B137)*($G$5/$B$5)+(AA137&gt;$B137)*0,IF(ROUND(AVERAGE($C137,$E137,$G137,$I137,$K137,$M137,$O137,$Q137,$S137,$U137,$W137,$Y137,$AA137,$AC137,$AE137),2)-$B137/2&lt;=AA137,IF(ROUND(AVERAGE($C137,$E137,$G137,$I137,$K137,$M137,$O137,$Q137,$S137,$U137,$W137,$Y137,$AA137,$AC137,$AE137),2)+$B137/2&gt;AA137,($G$5/$B$5),0),0))))</f>
        <v/>
      </c>
      <c r="AC137" s="141" t="str">
        <f>IF($AC$8="Habilitado",IF($A137="","",ROUND(VLOOKUP($A137,'Presupuesto Consolidado'!#REF!,6,FALSE),2)),"")</f>
        <v/>
      </c>
      <c r="AD137" s="142" t="str">
        <f t="shared" ref="AD137" si="1612">IF($A137="","",IF(AC137="","",IF($K$4="Media aritmética",(AC137&lt;=$B137)*($G$5/$B$5)+(AC137&gt;$B137)*0,IF(ROUND(AVERAGE($C137,$E137,$G137,$I137,$K137,$M137,$O137,$Q137,$S137,$U137,$W137,$Y137,$AA137,$AC137,$AE137),2)-$B137/2&lt;=AC137,IF(ROUND(AVERAGE($C137,$E137,$G137,$I137,$K137,$M137,$O137,$Q137,$S137,$U137,$W137,$Y137,$AA137,$AC137,$AE137),2)+$B137/2&gt;AC137,($G$5/$B$5),0),0))))</f>
        <v/>
      </c>
      <c r="AE137" s="141" t="str">
        <f>IF($AE$8="Habilitado",IF($A137="","",ROUND(VLOOKUP($A137,'Presupuesto Consolidado'!#REF!,6,FALSE),2)),"")</f>
        <v/>
      </c>
      <c r="AF137" s="142" t="str">
        <f t="shared" ref="AF137" si="1613">IF($A137="","",IF(AE137="","",IF($K$4="Media aritmética",(AE137&lt;=$B137)*($G$5/$B$5)+(AE137&gt;$B137)*0,IF(ROUND(AVERAGE($C137,$E137,$G137,$I137,$K137,$M137,$O137,$Q137,$S137,$U137,$W137,$Y137,$AA137,$AC137,$AE137),2)-$B137/2&lt;=AE137,IF(ROUND(AVERAGE($C137,$E137,$G137,$I137,$K137,$M137,$O137,$Q137,$S137,$U137,$W137,$Y137,$AA137,$AC137,$AE137),2)+$B137/2&gt;AE137,($G$5/$B$5),0),0))))</f>
        <v/>
      </c>
    </row>
    <row r="138" spans="1:32" s="135" customFormat="1" ht="21" customHeight="1">
      <c r="A138" s="132" t="str">
        <f>+'Presupuesto Consolidado'!A162</f>
        <v>12.4.12</v>
      </c>
      <c r="B138" s="140">
        <f t="shared" ref="B138" si="1614">IF(A138="","",IF($K$4="Media aritmética",ROUND(AVERAGE(C138,E138,G138,I138,K138,M138,O138,Q138,S138,U138,W138,Y138,AA138,AC138,AE138),2),ROUND(_xlfn.STDEV.P(C138,E138,G138,I138,K138,M138,O138,Q138,S138,U138,W138,Y138,AA138,AC138,AE138),2)))</f>
        <v>2614410</v>
      </c>
      <c r="C138" s="141">
        <f>IF($C$8="Habilitado",IF($A138="","",ROUND(VLOOKUP($A138,'Presupuesto Consolidado'!$A$9:$F$600,6,FALSE),2)),"")</f>
        <v>2614410</v>
      </c>
      <c r="D138" s="142">
        <f t="shared" ref="D138" si="1615">IF($A138="","",IF(C138="","",IF($K$4="Media aritmética",(C138&lt;=$B138)*($G$5/$B$5)+(C138&gt;$B138)*0,IF(ROUND(AVERAGE($C138,$E138,$G138,$I138,$K138,$M138,$O138,$Q138,$S138,$U138,$W138,$Y138,$AA138,$AC138,$AE138),2)-$B138/2&lt;=C138,IF(ROUND(AVERAGE($C138,$E138,$G138,$I138,$K138,$M138,$O138,$Q138,$S138,$U138,$W138,$Y138,$AA138,$AC138,$AE138),2)+$B138/2&gt;C138,($G$5/$B$5),0),0))))</f>
        <v>0.45714285714285713</v>
      </c>
      <c r="E138" s="141" t="str">
        <f>IF($E$8="Habilitado",IF($A138="","",ROUND(VLOOKUP($A138,'Presupuesto Consolidado'!$I$9:$N$600,6,FALSE),2)),"")</f>
        <v/>
      </c>
      <c r="F138" s="142" t="str">
        <f t="shared" ref="F138" si="1616">IF($A138="","",IF(E138="","",IF($K$4="Media aritmética",(E138&lt;=$B138)*($G$5/$B$5)+(E138&gt;$B138)*0,IF(ROUND(AVERAGE($C138,$E138,$G138,$I138,$K138,$M138,$O138,$Q138,$S138,$U138,$W138,$Y138,$AA138,$AC138,$AE138),2)-$B138/2&lt;=E138,IF(ROUND(AVERAGE($C138,$E138,$G138,$I138,$K138,$M138,$O138,$Q138,$S138,$U138,$W138,$Y138,$AA138,$AC138,$AE138),2)+$B138/2&gt;E138,($G$5/$B$5),0),0))))</f>
        <v/>
      </c>
      <c r="G138" s="141" t="str">
        <f>IF($G$8="Habilitado",IF($A138="","",ROUND(VLOOKUP($A138,'Presupuesto Consolidado'!$Q$9:$V$600,6,FALSE),2)),"")</f>
        <v/>
      </c>
      <c r="H138" s="142" t="str">
        <f t="shared" ref="H138" si="1617">IF($A138="","",IF(G138="","",IF($K$4="Media aritmética",(G138&lt;=$B138)*($G$5/$B$5)+(G138&gt;$B138)*0,IF(ROUND(AVERAGE($C138,$E138,$G138,$I138,$K138,$M138,$O138,$Q138,$S138,$U138,$W138,$Y138,$AA138,$AC138,$AE138),2)-$B138/2&lt;=G138,IF(ROUND(AVERAGE($C138,$E138,$G138,$I138,$K138,$M138,$O138,$Q138,$S138,$U138,$W138,$Y138,$AA138,$AC138,$AE138),2)+$B138/2&gt;G138,($G$5/$B$5),0),0))))</f>
        <v/>
      </c>
      <c r="I138" s="141" t="str">
        <f>IF($I$8="Habilitado",IF($A138="","",ROUND(VLOOKUP($A138,'Presupuesto Consolidado'!$Y$9:$AD$600,6,FALSE),2)),"")</f>
        <v/>
      </c>
      <c r="J138" s="142" t="str">
        <f t="shared" ref="J138" si="1618">IF($A138="","",IF(I138="","",IF($K$4="Media aritmética",(I138&lt;=$B138)*($G$5/$B$5)+(I138&gt;$B138)*0,IF(ROUND(AVERAGE($C138,$E138,$G138,$I138,$K138,$M138,$O138,$Q138,$S138,$U138,$W138,$Y138,$AA138,$AC138,$AE138),2)-$B138/2&lt;=I138,IF(ROUND(AVERAGE($C138,$E138,$G138,$I138,$K138,$M138,$O138,$Q138,$S138,$U138,$W138,$Y138,$AA138,$AC138,$AE138),2)+$B138/2&gt;I138,($G$5/$B$5),0),0))))</f>
        <v/>
      </c>
      <c r="K138" s="141" t="str">
        <f>IF($K$8="Habilitado",IF($A138="","",ROUND(VLOOKUP($A138,'Presupuesto Consolidado'!#REF!,6,FALSE),2)),"")</f>
        <v/>
      </c>
      <c r="L138" s="142" t="str">
        <f t="shared" ref="L138" si="1619">IF($A138="","",IF(K138="","",IF($K$4="Media aritmética",(K138&lt;=$B138)*($G$5/$B$5)+(K138&gt;$B138)*0,IF(ROUND(AVERAGE($C138,$E138,$G138,$I138,$K138,$M138,$O138,$Q138,$S138,$U138,$W138,$Y138,$AA138,$AC138,$AE138),2)-$B138/2&lt;=K138,IF(ROUND(AVERAGE($C138,$E138,$G138,$I138,$K138,$M138,$O138,$Q138,$S138,$U138,$W138,$Y138,$AA138,$AC138,$AE138),2)+$B138/2&gt;K138,($G$5/$B$5),0),0))))</f>
        <v/>
      </c>
      <c r="M138" s="141" t="str">
        <f>IF($M$8="Habilitado",IF($A138="","",ROUND(VLOOKUP($A138,'Presupuesto Consolidado'!#REF!,6,FALSE),2)),"")</f>
        <v/>
      </c>
      <c r="N138" s="142" t="str">
        <f t="shared" ref="N138" si="1620">IF($A138="","",IF(M138="","",IF($K$4="Media aritmética",(M138&lt;=$B138)*($G$5/$B$5)+(M138&gt;$B138)*0,IF(ROUND(AVERAGE($C138,$E138,$G138,$I138,$K138,$M138,$O138,$Q138,$S138,$U138,$W138,$Y138,$AA138,$AC138,$AE138),2)-$B138/2&lt;=M138,IF(ROUND(AVERAGE($C138,$E138,$G138,$I138,$K138,$M138,$O138,$Q138,$S138,$U138,$W138,$Y138,$AA138,$AC138,$AE138),2)+$B138/2&gt;M138,($G$5/$B$5),0),0))))</f>
        <v/>
      </c>
      <c r="O138" s="141" t="str">
        <f>IF($O$8="Habilitado",IF($A138="","",ROUND(VLOOKUP($A138,'Presupuesto Consolidado'!#REF!,6,FALSE),2)),"")</f>
        <v/>
      </c>
      <c r="P138" s="142" t="str">
        <f t="shared" ref="P138" si="1621">IF($A138="","",IF(O138="","",IF($K$4="Media aritmética",(O138&lt;=$B138)*($G$5/$B$5)+(O138&gt;$B138)*0,IF(ROUND(AVERAGE($C138,$E138,$G138,$I138,$K138,$M138,$O138,$Q138,$S138,$U138,$W138,$Y138,$AA138,$AC138,$AE138),2)-$B138/2&lt;=O138,IF(ROUND(AVERAGE($C138,$E138,$G138,$I138,$K138,$M138,$O138,$Q138,$S138,$U138,$W138,$Y138,$AA138,$AC138,$AE138),2)+$B138/2&gt;O138,($G$5/$B$5),0),0))))</f>
        <v/>
      </c>
      <c r="Q138" s="141" t="str">
        <f>IF($Q$8="Habilitado",IF($A138="","",ROUND(VLOOKUP($A138,'Presupuesto Consolidado'!#REF!,6,FALSE),2)),"")</f>
        <v/>
      </c>
      <c r="R138" s="142" t="str">
        <f t="shared" ref="R138" si="1622">IF($A138="","",IF(Q138="","",IF($K$4="Media aritmética",(Q138&lt;=$B138)*($G$5/$B$5)+(Q138&gt;$B138)*0,IF(ROUND(AVERAGE($C138,$E138,$G138,$I138,$K138,$M138,$O138,$Q138,$S138,$U138,$W138,$Y138,$AA138,$AC138,$AE138),2)-$B138/2&lt;=Q138,IF(ROUND(AVERAGE($C138,$E138,$G138,$I138,$K138,$M138,$O138,$Q138,$S138,$U138,$W138,$Y138,$AA138,$AC138,$AE138),2)+$B138/2&gt;Q138,($G$5/$B$5),0),0))))</f>
        <v/>
      </c>
      <c r="S138" s="141" t="str">
        <f>IF($S$8="Habilitado",IF($A138="","",ROUND(VLOOKUP($A138,'Presupuesto Consolidado'!#REF!,6,FALSE),2)),"")</f>
        <v/>
      </c>
      <c r="T138" s="142" t="str">
        <f t="shared" ref="T138" si="1623">IF($A138="","",IF(S138="","",IF($K$4="Media aritmética",(S138&lt;=$B138)*($G$5/$B$5)+(S138&gt;$B138)*0,IF(ROUND(AVERAGE($C138,$E138,$G138,$I138,$K138,$M138,$O138,$Q138,$S138,$U138,$W138,$Y138,$AA138,$AC138,$AE138),2)-$B138/2&lt;=S138,IF(ROUND(AVERAGE($C138,$E138,$G138,$I138,$K138,$M138,$O138,$Q138,$S138,$U138,$W138,$Y138,$AA138,$AC138,$AE138),2)+$B138/2&gt;S138,($G$5/$B$5),0),0))))</f>
        <v/>
      </c>
      <c r="U138" s="141" t="str">
        <f>IF($U$8="Habilitado",IF($A138="","",ROUND(VLOOKUP($A138,'Presupuesto Consolidado'!#REF!,6,FALSE),2)),"")</f>
        <v/>
      </c>
      <c r="V138" s="142" t="str">
        <f t="shared" ref="V138" si="1624">IF($A138="","",IF(U138="","",IF($K$4="Media aritmética",(U138&lt;=$B138)*($G$5/$B$5)+(U138&gt;$B138)*0,IF(ROUND(AVERAGE($C138,$E138,$G138,$I138,$K138,$M138,$O138,$Q138,$S138,$U138,$W138,$Y138,$AA138,$AC138,$AE138),2)-$B138/2&lt;=U138,IF(ROUND(AVERAGE($C138,$E138,$G138,$I138,$K138,$M138,$O138,$Q138,$S138,$U138,$W138,$Y138,$AA138,$AC138,$AE138),2)+$B138/2&gt;U138,($G$5/$B$5),0),0))))</f>
        <v/>
      </c>
      <c r="W138" s="141" t="str">
        <f>IF($W$8="Habilitado",IF($A138="","",ROUND(VLOOKUP($A138,'Presupuesto Consolidado'!#REF!,6,FALSE),2)),"")</f>
        <v/>
      </c>
      <c r="X138" s="142" t="str">
        <f t="shared" ref="X138" si="1625">IF($A138="","",IF(W138="","",IF($K$4="Media aritmética",(W138&lt;=$B138)*($G$5/$B$5)+(W138&gt;$B138)*0,IF(ROUND(AVERAGE($C138,$E138,$G138,$I138,$K138,$M138,$O138,$Q138,$S138,$U138,$W138,$Y138,$AA138,$AC138,$AE138),2)-$B138/2&lt;=W138,IF(ROUND(AVERAGE($C138,$E138,$G138,$I138,$K138,$M138,$O138,$Q138,$S138,$U138,$W138,$Y138,$AA138,$AC138,$AE138),2)+$B138/2&gt;W138,($G$5/$B$5),0),0))))</f>
        <v/>
      </c>
      <c r="Y138" s="141" t="str">
        <f>IF($Y$8="Habilitado",IF($A138="","",ROUND(VLOOKUP($A138,'Presupuesto Consolidado'!#REF!,6,FALSE),2)),"")</f>
        <v/>
      </c>
      <c r="Z138" s="142" t="str">
        <f t="shared" ref="Z138" si="1626">IF($A138="","",IF(Y138="","",IF($K$4="Media aritmética",(Y138&lt;=$B138)*($G$5/$B$5)+(Y138&gt;$B138)*0,IF(ROUND(AVERAGE($C138,$E138,$G138,$I138,$K138,$M138,$O138,$Q138,$S138,$U138,$W138,$Y138,$AA138,$AC138,$AE138),2)-$B138/2&lt;=Y138,IF(ROUND(AVERAGE($C138,$E138,$G138,$I138,$K138,$M138,$O138,$Q138,$S138,$U138,$W138,$Y138,$AA138,$AC138,$AE138),2)+$B138/2&gt;Y138,($G$5/$B$5),0),0))))</f>
        <v/>
      </c>
      <c r="AA138" s="141" t="str">
        <f>IF($AA$8="Habilitado",IF($A138="","",ROUND(VLOOKUP($A138,'Presupuesto Consolidado'!#REF!,6,FALSE),2)),"")</f>
        <v/>
      </c>
      <c r="AB138" s="142" t="str">
        <f t="shared" ref="AB138" si="1627">IF($A138="","",IF(AA138="","",IF($K$4="Media aritmética",(AA138&lt;=$B138)*($G$5/$B$5)+(AA138&gt;$B138)*0,IF(ROUND(AVERAGE($C138,$E138,$G138,$I138,$K138,$M138,$O138,$Q138,$S138,$U138,$W138,$Y138,$AA138,$AC138,$AE138),2)-$B138/2&lt;=AA138,IF(ROUND(AVERAGE($C138,$E138,$G138,$I138,$K138,$M138,$O138,$Q138,$S138,$U138,$W138,$Y138,$AA138,$AC138,$AE138),2)+$B138/2&gt;AA138,($G$5/$B$5),0),0))))</f>
        <v/>
      </c>
      <c r="AC138" s="141" t="str">
        <f>IF($AC$8="Habilitado",IF($A138="","",ROUND(VLOOKUP($A138,'Presupuesto Consolidado'!#REF!,6,FALSE),2)),"")</f>
        <v/>
      </c>
      <c r="AD138" s="142" t="str">
        <f t="shared" ref="AD138" si="1628">IF($A138="","",IF(AC138="","",IF($K$4="Media aritmética",(AC138&lt;=$B138)*($G$5/$B$5)+(AC138&gt;$B138)*0,IF(ROUND(AVERAGE($C138,$E138,$G138,$I138,$K138,$M138,$O138,$Q138,$S138,$U138,$W138,$Y138,$AA138,$AC138,$AE138),2)-$B138/2&lt;=AC138,IF(ROUND(AVERAGE($C138,$E138,$G138,$I138,$K138,$M138,$O138,$Q138,$S138,$U138,$W138,$Y138,$AA138,$AC138,$AE138),2)+$B138/2&gt;AC138,($G$5/$B$5),0),0))))</f>
        <v/>
      </c>
      <c r="AE138" s="141" t="str">
        <f>IF($AE$8="Habilitado",IF($A138="","",ROUND(VLOOKUP($A138,'Presupuesto Consolidado'!#REF!,6,FALSE),2)),"")</f>
        <v/>
      </c>
      <c r="AF138" s="142" t="str">
        <f t="shared" ref="AF138" si="1629">IF($A138="","",IF(AE138="","",IF($K$4="Media aritmética",(AE138&lt;=$B138)*($G$5/$B$5)+(AE138&gt;$B138)*0,IF(ROUND(AVERAGE($C138,$E138,$G138,$I138,$K138,$M138,$O138,$Q138,$S138,$U138,$W138,$Y138,$AA138,$AC138,$AE138),2)-$B138/2&lt;=AE138,IF(ROUND(AVERAGE($C138,$E138,$G138,$I138,$K138,$M138,$O138,$Q138,$S138,$U138,$W138,$Y138,$AA138,$AC138,$AE138),2)+$B138/2&gt;AE138,($G$5/$B$5),0),0))))</f>
        <v/>
      </c>
    </row>
    <row r="139" spans="1:32" s="135" customFormat="1" ht="21" customHeight="1">
      <c r="A139" s="132" t="str">
        <f>+'Presupuesto Consolidado'!A163</f>
        <v>12.4.13</v>
      </c>
      <c r="B139" s="140">
        <f t="shared" ref="B139" si="1630">IF(A139="","",IF($K$4="Media aritmética",ROUND(AVERAGE(C139,E139,G139,I139,K139,M139,O139,Q139,S139,U139,W139,Y139,AA139,AC139,AE139),2),ROUND(_xlfn.STDEV.P(C139,E139,G139,I139,K139,M139,O139,Q139,S139,U139,W139,Y139,AA139,AC139,AE139),2)))</f>
        <v>1397250</v>
      </c>
      <c r="C139" s="141">
        <f>IF($C$8="Habilitado",IF($A139="","",ROUND(VLOOKUP($A139,'Presupuesto Consolidado'!$A$9:$F$600,6,FALSE),2)),"")</f>
        <v>1397250</v>
      </c>
      <c r="D139" s="142">
        <f t="shared" ref="D139" si="1631">IF($A139="","",IF(C139="","",IF($K$4="Media aritmética",(C139&lt;=$B139)*($G$5/$B$5)+(C139&gt;$B139)*0,IF(ROUND(AVERAGE($C139,$E139,$G139,$I139,$K139,$M139,$O139,$Q139,$S139,$U139,$W139,$Y139,$AA139,$AC139,$AE139),2)-$B139/2&lt;=C139,IF(ROUND(AVERAGE($C139,$E139,$G139,$I139,$K139,$M139,$O139,$Q139,$S139,$U139,$W139,$Y139,$AA139,$AC139,$AE139),2)+$B139/2&gt;C139,($G$5/$B$5),0),0))))</f>
        <v>0.45714285714285713</v>
      </c>
      <c r="E139" s="141" t="str">
        <f>IF($E$8="Habilitado",IF($A139="","",ROUND(VLOOKUP($A139,'Presupuesto Consolidado'!$I$9:$N$600,6,FALSE),2)),"")</f>
        <v/>
      </c>
      <c r="F139" s="142" t="str">
        <f t="shared" ref="F139" si="1632">IF($A139="","",IF(E139="","",IF($K$4="Media aritmética",(E139&lt;=$B139)*($G$5/$B$5)+(E139&gt;$B139)*0,IF(ROUND(AVERAGE($C139,$E139,$G139,$I139,$K139,$M139,$O139,$Q139,$S139,$U139,$W139,$Y139,$AA139,$AC139,$AE139),2)-$B139/2&lt;=E139,IF(ROUND(AVERAGE($C139,$E139,$G139,$I139,$K139,$M139,$O139,$Q139,$S139,$U139,$W139,$Y139,$AA139,$AC139,$AE139),2)+$B139/2&gt;E139,($G$5/$B$5),0),0))))</f>
        <v/>
      </c>
      <c r="G139" s="141" t="str">
        <f>IF($G$8="Habilitado",IF($A139="","",ROUND(VLOOKUP($A139,'Presupuesto Consolidado'!$Q$9:$V$600,6,FALSE),2)),"")</f>
        <v/>
      </c>
      <c r="H139" s="142" t="str">
        <f t="shared" ref="H139" si="1633">IF($A139="","",IF(G139="","",IF($K$4="Media aritmética",(G139&lt;=$B139)*($G$5/$B$5)+(G139&gt;$B139)*0,IF(ROUND(AVERAGE($C139,$E139,$G139,$I139,$K139,$M139,$O139,$Q139,$S139,$U139,$W139,$Y139,$AA139,$AC139,$AE139),2)-$B139/2&lt;=G139,IF(ROUND(AVERAGE($C139,$E139,$G139,$I139,$K139,$M139,$O139,$Q139,$S139,$U139,$W139,$Y139,$AA139,$AC139,$AE139),2)+$B139/2&gt;G139,($G$5/$B$5),0),0))))</f>
        <v/>
      </c>
      <c r="I139" s="141" t="str">
        <f>IF($I$8="Habilitado",IF($A139="","",ROUND(VLOOKUP($A139,'Presupuesto Consolidado'!$Y$9:$AD$600,6,FALSE),2)),"")</f>
        <v/>
      </c>
      <c r="J139" s="142" t="str">
        <f t="shared" ref="J139" si="1634">IF($A139="","",IF(I139="","",IF($K$4="Media aritmética",(I139&lt;=$B139)*($G$5/$B$5)+(I139&gt;$B139)*0,IF(ROUND(AVERAGE($C139,$E139,$G139,$I139,$K139,$M139,$O139,$Q139,$S139,$U139,$W139,$Y139,$AA139,$AC139,$AE139),2)-$B139/2&lt;=I139,IF(ROUND(AVERAGE($C139,$E139,$G139,$I139,$K139,$M139,$O139,$Q139,$S139,$U139,$W139,$Y139,$AA139,$AC139,$AE139),2)+$B139/2&gt;I139,($G$5/$B$5),0),0))))</f>
        <v/>
      </c>
      <c r="K139" s="141" t="str">
        <f>IF($K$8="Habilitado",IF($A139="","",ROUND(VLOOKUP($A139,'Presupuesto Consolidado'!#REF!,6,FALSE),2)),"")</f>
        <v/>
      </c>
      <c r="L139" s="142" t="str">
        <f t="shared" ref="L139" si="1635">IF($A139="","",IF(K139="","",IF($K$4="Media aritmética",(K139&lt;=$B139)*($G$5/$B$5)+(K139&gt;$B139)*0,IF(ROUND(AVERAGE($C139,$E139,$G139,$I139,$K139,$M139,$O139,$Q139,$S139,$U139,$W139,$Y139,$AA139,$AC139,$AE139),2)-$B139/2&lt;=K139,IF(ROUND(AVERAGE($C139,$E139,$G139,$I139,$K139,$M139,$O139,$Q139,$S139,$U139,$W139,$Y139,$AA139,$AC139,$AE139),2)+$B139/2&gt;K139,($G$5/$B$5),0),0))))</f>
        <v/>
      </c>
      <c r="M139" s="141" t="str">
        <f>IF($M$8="Habilitado",IF($A139="","",ROUND(VLOOKUP($A139,'Presupuesto Consolidado'!#REF!,6,FALSE),2)),"")</f>
        <v/>
      </c>
      <c r="N139" s="142" t="str">
        <f t="shared" ref="N139" si="1636">IF($A139="","",IF(M139="","",IF($K$4="Media aritmética",(M139&lt;=$B139)*($G$5/$B$5)+(M139&gt;$B139)*0,IF(ROUND(AVERAGE($C139,$E139,$G139,$I139,$K139,$M139,$O139,$Q139,$S139,$U139,$W139,$Y139,$AA139,$AC139,$AE139),2)-$B139/2&lt;=M139,IF(ROUND(AVERAGE($C139,$E139,$G139,$I139,$K139,$M139,$O139,$Q139,$S139,$U139,$W139,$Y139,$AA139,$AC139,$AE139),2)+$B139/2&gt;M139,($G$5/$B$5),0),0))))</f>
        <v/>
      </c>
      <c r="O139" s="141" t="str">
        <f>IF($O$8="Habilitado",IF($A139="","",ROUND(VLOOKUP($A139,'Presupuesto Consolidado'!#REF!,6,FALSE),2)),"")</f>
        <v/>
      </c>
      <c r="P139" s="142" t="str">
        <f t="shared" ref="P139" si="1637">IF($A139="","",IF(O139="","",IF($K$4="Media aritmética",(O139&lt;=$B139)*($G$5/$B$5)+(O139&gt;$B139)*0,IF(ROUND(AVERAGE($C139,$E139,$G139,$I139,$K139,$M139,$O139,$Q139,$S139,$U139,$W139,$Y139,$AA139,$AC139,$AE139),2)-$B139/2&lt;=O139,IF(ROUND(AVERAGE($C139,$E139,$G139,$I139,$K139,$M139,$O139,$Q139,$S139,$U139,$W139,$Y139,$AA139,$AC139,$AE139),2)+$B139/2&gt;O139,($G$5/$B$5),0),0))))</f>
        <v/>
      </c>
      <c r="Q139" s="141" t="str">
        <f>IF($Q$8="Habilitado",IF($A139="","",ROUND(VLOOKUP($A139,'Presupuesto Consolidado'!#REF!,6,FALSE),2)),"")</f>
        <v/>
      </c>
      <c r="R139" s="142" t="str">
        <f t="shared" ref="R139" si="1638">IF($A139="","",IF(Q139="","",IF($K$4="Media aritmética",(Q139&lt;=$B139)*($G$5/$B$5)+(Q139&gt;$B139)*0,IF(ROUND(AVERAGE($C139,$E139,$G139,$I139,$K139,$M139,$O139,$Q139,$S139,$U139,$W139,$Y139,$AA139,$AC139,$AE139),2)-$B139/2&lt;=Q139,IF(ROUND(AVERAGE($C139,$E139,$G139,$I139,$K139,$M139,$O139,$Q139,$S139,$U139,$W139,$Y139,$AA139,$AC139,$AE139),2)+$B139/2&gt;Q139,($G$5/$B$5),0),0))))</f>
        <v/>
      </c>
      <c r="S139" s="141" t="str">
        <f>IF($S$8="Habilitado",IF($A139="","",ROUND(VLOOKUP($A139,'Presupuesto Consolidado'!#REF!,6,FALSE),2)),"")</f>
        <v/>
      </c>
      <c r="T139" s="142" t="str">
        <f t="shared" ref="T139" si="1639">IF($A139="","",IF(S139="","",IF($K$4="Media aritmética",(S139&lt;=$B139)*($G$5/$B$5)+(S139&gt;$B139)*0,IF(ROUND(AVERAGE($C139,$E139,$G139,$I139,$K139,$M139,$O139,$Q139,$S139,$U139,$W139,$Y139,$AA139,$AC139,$AE139),2)-$B139/2&lt;=S139,IF(ROUND(AVERAGE($C139,$E139,$G139,$I139,$K139,$M139,$O139,$Q139,$S139,$U139,$W139,$Y139,$AA139,$AC139,$AE139),2)+$B139/2&gt;S139,($G$5/$B$5),0),0))))</f>
        <v/>
      </c>
      <c r="U139" s="141" t="str">
        <f>IF($U$8="Habilitado",IF($A139="","",ROUND(VLOOKUP($A139,'Presupuesto Consolidado'!#REF!,6,FALSE),2)),"")</f>
        <v/>
      </c>
      <c r="V139" s="142" t="str">
        <f t="shared" ref="V139" si="1640">IF($A139="","",IF(U139="","",IF($K$4="Media aritmética",(U139&lt;=$B139)*($G$5/$B$5)+(U139&gt;$B139)*0,IF(ROUND(AVERAGE($C139,$E139,$G139,$I139,$K139,$M139,$O139,$Q139,$S139,$U139,$W139,$Y139,$AA139,$AC139,$AE139),2)-$B139/2&lt;=U139,IF(ROUND(AVERAGE($C139,$E139,$G139,$I139,$K139,$M139,$O139,$Q139,$S139,$U139,$W139,$Y139,$AA139,$AC139,$AE139),2)+$B139/2&gt;U139,($G$5/$B$5),0),0))))</f>
        <v/>
      </c>
      <c r="W139" s="141" t="str">
        <f>IF($W$8="Habilitado",IF($A139="","",ROUND(VLOOKUP($A139,'Presupuesto Consolidado'!#REF!,6,FALSE),2)),"")</f>
        <v/>
      </c>
      <c r="X139" s="142" t="str">
        <f t="shared" ref="X139" si="1641">IF($A139="","",IF(W139="","",IF($K$4="Media aritmética",(W139&lt;=$B139)*($G$5/$B$5)+(W139&gt;$B139)*0,IF(ROUND(AVERAGE($C139,$E139,$G139,$I139,$K139,$M139,$O139,$Q139,$S139,$U139,$W139,$Y139,$AA139,$AC139,$AE139),2)-$B139/2&lt;=W139,IF(ROUND(AVERAGE($C139,$E139,$G139,$I139,$K139,$M139,$O139,$Q139,$S139,$U139,$W139,$Y139,$AA139,$AC139,$AE139),2)+$B139/2&gt;W139,($G$5/$B$5),0),0))))</f>
        <v/>
      </c>
      <c r="Y139" s="141" t="str">
        <f>IF($Y$8="Habilitado",IF($A139="","",ROUND(VLOOKUP($A139,'Presupuesto Consolidado'!#REF!,6,FALSE),2)),"")</f>
        <v/>
      </c>
      <c r="Z139" s="142" t="str">
        <f t="shared" ref="Z139" si="1642">IF($A139="","",IF(Y139="","",IF($K$4="Media aritmética",(Y139&lt;=$B139)*($G$5/$B$5)+(Y139&gt;$B139)*0,IF(ROUND(AVERAGE($C139,$E139,$G139,$I139,$K139,$M139,$O139,$Q139,$S139,$U139,$W139,$Y139,$AA139,$AC139,$AE139),2)-$B139/2&lt;=Y139,IF(ROUND(AVERAGE($C139,$E139,$G139,$I139,$K139,$M139,$O139,$Q139,$S139,$U139,$W139,$Y139,$AA139,$AC139,$AE139),2)+$B139/2&gt;Y139,($G$5/$B$5),0),0))))</f>
        <v/>
      </c>
      <c r="AA139" s="141" t="str">
        <f>IF($AA$8="Habilitado",IF($A139="","",ROUND(VLOOKUP($A139,'Presupuesto Consolidado'!#REF!,6,FALSE),2)),"")</f>
        <v/>
      </c>
      <c r="AB139" s="142" t="str">
        <f t="shared" ref="AB139" si="1643">IF($A139="","",IF(AA139="","",IF($K$4="Media aritmética",(AA139&lt;=$B139)*($G$5/$B$5)+(AA139&gt;$B139)*0,IF(ROUND(AVERAGE($C139,$E139,$G139,$I139,$K139,$M139,$O139,$Q139,$S139,$U139,$W139,$Y139,$AA139,$AC139,$AE139),2)-$B139/2&lt;=AA139,IF(ROUND(AVERAGE($C139,$E139,$G139,$I139,$K139,$M139,$O139,$Q139,$S139,$U139,$W139,$Y139,$AA139,$AC139,$AE139),2)+$B139/2&gt;AA139,($G$5/$B$5),0),0))))</f>
        <v/>
      </c>
      <c r="AC139" s="141" t="str">
        <f>IF($AC$8="Habilitado",IF($A139="","",ROUND(VLOOKUP($A139,'Presupuesto Consolidado'!#REF!,6,FALSE),2)),"")</f>
        <v/>
      </c>
      <c r="AD139" s="142" t="str">
        <f t="shared" ref="AD139" si="1644">IF($A139="","",IF(AC139="","",IF($K$4="Media aritmética",(AC139&lt;=$B139)*($G$5/$B$5)+(AC139&gt;$B139)*0,IF(ROUND(AVERAGE($C139,$E139,$G139,$I139,$K139,$M139,$O139,$Q139,$S139,$U139,$W139,$Y139,$AA139,$AC139,$AE139),2)-$B139/2&lt;=AC139,IF(ROUND(AVERAGE($C139,$E139,$G139,$I139,$K139,$M139,$O139,$Q139,$S139,$U139,$W139,$Y139,$AA139,$AC139,$AE139),2)+$B139/2&gt;AC139,($G$5/$B$5),0),0))))</f>
        <v/>
      </c>
      <c r="AE139" s="141" t="str">
        <f>IF($AE$8="Habilitado",IF($A139="","",ROUND(VLOOKUP($A139,'Presupuesto Consolidado'!#REF!,6,FALSE),2)),"")</f>
        <v/>
      </c>
      <c r="AF139" s="142" t="str">
        <f t="shared" ref="AF139" si="1645">IF($A139="","",IF(AE139="","",IF($K$4="Media aritmética",(AE139&lt;=$B139)*($G$5/$B$5)+(AE139&gt;$B139)*0,IF(ROUND(AVERAGE($C139,$E139,$G139,$I139,$K139,$M139,$O139,$Q139,$S139,$U139,$W139,$Y139,$AA139,$AC139,$AE139),2)-$B139/2&lt;=AE139,IF(ROUND(AVERAGE($C139,$E139,$G139,$I139,$K139,$M139,$O139,$Q139,$S139,$U139,$W139,$Y139,$AA139,$AC139,$AE139),2)+$B139/2&gt;AE139,($G$5/$B$5),0),0))))</f>
        <v/>
      </c>
    </row>
    <row r="140" spans="1:32" s="135" customFormat="1" ht="21" customHeight="1">
      <c r="A140" s="132" t="str">
        <f>+'Presupuesto Consolidado'!A164</f>
        <v>12.4.14</v>
      </c>
      <c r="B140" s="140">
        <f t="shared" ref="B140" si="1646">IF(A140="","",IF($K$4="Media aritmética",ROUND(AVERAGE(C140,E140,G140,I140,K140,M140,O140,Q140,S140,U140,W140,Y140,AA140,AC140,AE140),2),ROUND(_xlfn.STDEV.P(C140,E140,G140,I140,K140,M140,O140,Q140,S140,U140,W140,Y140,AA140,AC140,AE140),2)))</f>
        <v>486450</v>
      </c>
      <c r="C140" s="141">
        <f>IF($C$8="Habilitado",IF($A140="","",ROUND(VLOOKUP($A140,'Presupuesto Consolidado'!$A$9:$F$600,6,FALSE),2)),"")</f>
        <v>486450</v>
      </c>
      <c r="D140" s="142">
        <f t="shared" ref="D140" si="1647">IF($A140="","",IF(C140="","",IF($K$4="Media aritmética",(C140&lt;=$B140)*($G$5/$B$5)+(C140&gt;$B140)*0,IF(ROUND(AVERAGE($C140,$E140,$G140,$I140,$K140,$M140,$O140,$Q140,$S140,$U140,$W140,$Y140,$AA140,$AC140,$AE140),2)-$B140/2&lt;=C140,IF(ROUND(AVERAGE($C140,$E140,$G140,$I140,$K140,$M140,$O140,$Q140,$S140,$U140,$W140,$Y140,$AA140,$AC140,$AE140),2)+$B140/2&gt;C140,($G$5/$B$5),0),0))))</f>
        <v>0.45714285714285713</v>
      </c>
      <c r="E140" s="141" t="str">
        <f>IF($E$8="Habilitado",IF($A140="","",ROUND(VLOOKUP($A140,'Presupuesto Consolidado'!$I$9:$N$600,6,FALSE),2)),"")</f>
        <v/>
      </c>
      <c r="F140" s="142" t="str">
        <f t="shared" ref="F140" si="1648">IF($A140="","",IF(E140="","",IF($K$4="Media aritmética",(E140&lt;=$B140)*($G$5/$B$5)+(E140&gt;$B140)*0,IF(ROUND(AVERAGE($C140,$E140,$G140,$I140,$K140,$M140,$O140,$Q140,$S140,$U140,$W140,$Y140,$AA140,$AC140,$AE140),2)-$B140/2&lt;=E140,IF(ROUND(AVERAGE($C140,$E140,$G140,$I140,$K140,$M140,$O140,$Q140,$S140,$U140,$W140,$Y140,$AA140,$AC140,$AE140),2)+$B140/2&gt;E140,($G$5/$B$5),0),0))))</f>
        <v/>
      </c>
      <c r="G140" s="141" t="str">
        <f>IF($G$8="Habilitado",IF($A140="","",ROUND(VLOOKUP($A140,'Presupuesto Consolidado'!$Q$9:$V$600,6,FALSE),2)),"")</f>
        <v/>
      </c>
      <c r="H140" s="142" t="str">
        <f t="shared" ref="H140" si="1649">IF($A140="","",IF(G140="","",IF($K$4="Media aritmética",(G140&lt;=$B140)*($G$5/$B$5)+(G140&gt;$B140)*0,IF(ROUND(AVERAGE($C140,$E140,$G140,$I140,$K140,$M140,$O140,$Q140,$S140,$U140,$W140,$Y140,$AA140,$AC140,$AE140),2)-$B140/2&lt;=G140,IF(ROUND(AVERAGE($C140,$E140,$G140,$I140,$K140,$M140,$O140,$Q140,$S140,$U140,$W140,$Y140,$AA140,$AC140,$AE140),2)+$B140/2&gt;G140,($G$5/$B$5),0),0))))</f>
        <v/>
      </c>
      <c r="I140" s="141" t="str">
        <f>IF($I$8="Habilitado",IF($A140="","",ROUND(VLOOKUP($A140,'Presupuesto Consolidado'!$Y$9:$AD$600,6,FALSE),2)),"")</f>
        <v/>
      </c>
      <c r="J140" s="142" t="str">
        <f t="shared" ref="J140" si="1650">IF($A140="","",IF(I140="","",IF($K$4="Media aritmética",(I140&lt;=$B140)*($G$5/$B$5)+(I140&gt;$B140)*0,IF(ROUND(AVERAGE($C140,$E140,$G140,$I140,$K140,$M140,$O140,$Q140,$S140,$U140,$W140,$Y140,$AA140,$AC140,$AE140),2)-$B140/2&lt;=I140,IF(ROUND(AVERAGE($C140,$E140,$G140,$I140,$K140,$M140,$O140,$Q140,$S140,$U140,$W140,$Y140,$AA140,$AC140,$AE140),2)+$B140/2&gt;I140,($G$5/$B$5),0),0))))</f>
        <v/>
      </c>
      <c r="K140" s="141" t="str">
        <f>IF($K$8="Habilitado",IF($A140="","",ROUND(VLOOKUP($A140,'Presupuesto Consolidado'!#REF!,6,FALSE),2)),"")</f>
        <v/>
      </c>
      <c r="L140" s="142" t="str">
        <f t="shared" ref="L140" si="1651">IF($A140="","",IF(K140="","",IF($K$4="Media aritmética",(K140&lt;=$B140)*($G$5/$B$5)+(K140&gt;$B140)*0,IF(ROUND(AVERAGE($C140,$E140,$G140,$I140,$K140,$M140,$O140,$Q140,$S140,$U140,$W140,$Y140,$AA140,$AC140,$AE140),2)-$B140/2&lt;=K140,IF(ROUND(AVERAGE($C140,$E140,$G140,$I140,$K140,$M140,$O140,$Q140,$S140,$U140,$W140,$Y140,$AA140,$AC140,$AE140),2)+$B140/2&gt;K140,($G$5/$B$5),0),0))))</f>
        <v/>
      </c>
      <c r="M140" s="141" t="str">
        <f>IF($M$8="Habilitado",IF($A140="","",ROUND(VLOOKUP($A140,'Presupuesto Consolidado'!#REF!,6,FALSE),2)),"")</f>
        <v/>
      </c>
      <c r="N140" s="142" t="str">
        <f t="shared" ref="N140" si="1652">IF($A140="","",IF(M140="","",IF($K$4="Media aritmética",(M140&lt;=$B140)*($G$5/$B$5)+(M140&gt;$B140)*0,IF(ROUND(AVERAGE($C140,$E140,$G140,$I140,$K140,$M140,$O140,$Q140,$S140,$U140,$W140,$Y140,$AA140,$AC140,$AE140),2)-$B140/2&lt;=M140,IF(ROUND(AVERAGE($C140,$E140,$G140,$I140,$K140,$M140,$O140,$Q140,$S140,$U140,$W140,$Y140,$AA140,$AC140,$AE140),2)+$B140/2&gt;M140,($G$5/$B$5),0),0))))</f>
        <v/>
      </c>
      <c r="O140" s="141" t="str">
        <f>IF($O$8="Habilitado",IF($A140="","",ROUND(VLOOKUP($A140,'Presupuesto Consolidado'!#REF!,6,FALSE),2)),"")</f>
        <v/>
      </c>
      <c r="P140" s="142" t="str">
        <f t="shared" ref="P140" si="1653">IF($A140="","",IF(O140="","",IF($K$4="Media aritmética",(O140&lt;=$B140)*($G$5/$B$5)+(O140&gt;$B140)*0,IF(ROUND(AVERAGE($C140,$E140,$G140,$I140,$K140,$M140,$O140,$Q140,$S140,$U140,$W140,$Y140,$AA140,$AC140,$AE140),2)-$B140/2&lt;=O140,IF(ROUND(AVERAGE($C140,$E140,$G140,$I140,$K140,$M140,$O140,$Q140,$S140,$U140,$W140,$Y140,$AA140,$AC140,$AE140),2)+$B140/2&gt;O140,($G$5/$B$5),0),0))))</f>
        <v/>
      </c>
      <c r="Q140" s="141" t="str">
        <f>IF($Q$8="Habilitado",IF($A140="","",ROUND(VLOOKUP($A140,'Presupuesto Consolidado'!#REF!,6,FALSE),2)),"")</f>
        <v/>
      </c>
      <c r="R140" s="142" t="str">
        <f t="shared" ref="R140" si="1654">IF($A140="","",IF(Q140="","",IF($K$4="Media aritmética",(Q140&lt;=$B140)*($G$5/$B$5)+(Q140&gt;$B140)*0,IF(ROUND(AVERAGE($C140,$E140,$G140,$I140,$K140,$M140,$O140,$Q140,$S140,$U140,$W140,$Y140,$AA140,$AC140,$AE140),2)-$B140/2&lt;=Q140,IF(ROUND(AVERAGE($C140,$E140,$G140,$I140,$K140,$M140,$O140,$Q140,$S140,$U140,$W140,$Y140,$AA140,$AC140,$AE140),2)+$B140/2&gt;Q140,($G$5/$B$5),0),0))))</f>
        <v/>
      </c>
      <c r="S140" s="141" t="str">
        <f>IF($S$8="Habilitado",IF($A140="","",ROUND(VLOOKUP($A140,'Presupuesto Consolidado'!#REF!,6,FALSE),2)),"")</f>
        <v/>
      </c>
      <c r="T140" s="142" t="str">
        <f t="shared" ref="T140" si="1655">IF($A140="","",IF(S140="","",IF($K$4="Media aritmética",(S140&lt;=$B140)*($G$5/$B$5)+(S140&gt;$B140)*0,IF(ROUND(AVERAGE($C140,$E140,$G140,$I140,$K140,$M140,$O140,$Q140,$S140,$U140,$W140,$Y140,$AA140,$AC140,$AE140),2)-$B140/2&lt;=S140,IF(ROUND(AVERAGE($C140,$E140,$G140,$I140,$K140,$M140,$O140,$Q140,$S140,$U140,$W140,$Y140,$AA140,$AC140,$AE140),2)+$B140/2&gt;S140,($G$5/$B$5),0),0))))</f>
        <v/>
      </c>
      <c r="U140" s="141" t="str">
        <f>IF($U$8="Habilitado",IF($A140="","",ROUND(VLOOKUP($A140,'Presupuesto Consolidado'!#REF!,6,FALSE),2)),"")</f>
        <v/>
      </c>
      <c r="V140" s="142" t="str">
        <f t="shared" ref="V140" si="1656">IF($A140="","",IF(U140="","",IF($K$4="Media aritmética",(U140&lt;=$B140)*($G$5/$B$5)+(U140&gt;$B140)*0,IF(ROUND(AVERAGE($C140,$E140,$G140,$I140,$K140,$M140,$O140,$Q140,$S140,$U140,$W140,$Y140,$AA140,$AC140,$AE140),2)-$B140/2&lt;=U140,IF(ROUND(AVERAGE($C140,$E140,$G140,$I140,$K140,$M140,$O140,$Q140,$S140,$U140,$W140,$Y140,$AA140,$AC140,$AE140),2)+$B140/2&gt;U140,($G$5/$B$5),0),0))))</f>
        <v/>
      </c>
      <c r="W140" s="141" t="str">
        <f>IF($W$8="Habilitado",IF($A140="","",ROUND(VLOOKUP($A140,'Presupuesto Consolidado'!#REF!,6,FALSE),2)),"")</f>
        <v/>
      </c>
      <c r="X140" s="142" t="str">
        <f t="shared" ref="X140" si="1657">IF($A140="","",IF(W140="","",IF($K$4="Media aritmética",(W140&lt;=$B140)*($G$5/$B$5)+(W140&gt;$B140)*0,IF(ROUND(AVERAGE($C140,$E140,$G140,$I140,$K140,$M140,$O140,$Q140,$S140,$U140,$W140,$Y140,$AA140,$AC140,$AE140),2)-$B140/2&lt;=W140,IF(ROUND(AVERAGE($C140,$E140,$G140,$I140,$K140,$M140,$O140,$Q140,$S140,$U140,$W140,$Y140,$AA140,$AC140,$AE140),2)+$B140/2&gt;W140,($G$5/$B$5),0),0))))</f>
        <v/>
      </c>
      <c r="Y140" s="141" t="str">
        <f>IF($Y$8="Habilitado",IF($A140="","",ROUND(VLOOKUP($A140,'Presupuesto Consolidado'!#REF!,6,FALSE),2)),"")</f>
        <v/>
      </c>
      <c r="Z140" s="142" t="str">
        <f t="shared" ref="Z140" si="1658">IF($A140="","",IF(Y140="","",IF($K$4="Media aritmética",(Y140&lt;=$B140)*($G$5/$B$5)+(Y140&gt;$B140)*0,IF(ROUND(AVERAGE($C140,$E140,$G140,$I140,$K140,$M140,$O140,$Q140,$S140,$U140,$W140,$Y140,$AA140,$AC140,$AE140),2)-$B140/2&lt;=Y140,IF(ROUND(AVERAGE($C140,$E140,$G140,$I140,$K140,$M140,$O140,$Q140,$S140,$U140,$W140,$Y140,$AA140,$AC140,$AE140),2)+$B140/2&gt;Y140,($G$5/$B$5),0),0))))</f>
        <v/>
      </c>
      <c r="AA140" s="141" t="str">
        <f>IF($AA$8="Habilitado",IF($A140="","",ROUND(VLOOKUP($A140,'Presupuesto Consolidado'!#REF!,6,FALSE),2)),"")</f>
        <v/>
      </c>
      <c r="AB140" s="142" t="str">
        <f t="shared" ref="AB140" si="1659">IF($A140="","",IF(AA140="","",IF($K$4="Media aritmética",(AA140&lt;=$B140)*($G$5/$B$5)+(AA140&gt;$B140)*0,IF(ROUND(AVERAGE($C140,$E140,$G140,$I140,$K140,$M140,$O140,$Q140,$S140,$U140,$W140,$Y140,$AA140,$AC140,$AE140),2)-$B140/2&lt;=AA140,IF(ROUND(AVERAGE($C140,$E140,$G140,$I140,$K140,$M140,$O140,$Q140,$S140,$U140,$W140,$Y140,$AA140,$AC140,$AE140),2)+$B140/2&gt;AA140,($G$5/$B$5),0),0))))</f>
        <v/>
      </c>
      <c r="AC140" s="141" t="str">
        <f>IF($AC$8="Habilitado",IF($A140="","",ROUND(VLOOKUP($A140,'Presupuesto Consolidado'!#REF!,6,FALSE),2)),"")</f>
        <v/>
      </c>
      <c r="AD140" s="142" t="str">
        <f t="shared" ref="AD140" si="1660">IF($A140="","",IF(AC140="","",IF($K$4="Media aritmética",(AC140&lt;=$B140)*($G$5/$B$5)+(AC140&gt;$B140)*0,IF(ROUND(AVERAGE($C140,$E140,$G140,$I140,$K140,$M140,$O140,$Q140,$S140,$U140,$W140,$Y140,$AA140,$AC140,$AE140),2)-$B140/2&lt;=AC140,IF(ROUND(AVERAGE($C140,$E140,$G140,$I140,$K140,$M140,$O140,$Q140,$S140,$U140,$W140,$Y140,$AA140,$AC140,$AE140),2)+$B140/2&gt;AC140,($G$5/$B$5),0),0))))</f>
        <v/>
      </c>
      <c r="AE140" s="141" t="str">
        <f>IF($AE$8="Habilitado",IF($A140="","",ROUND(VLOOKUP($A140,'Presupuesto Consolidado'!#REF!,6,FALSE),2)),"")</f>
        <v/>
      </c>
      <c r="AF140" s="142" t="str">
        <f t="shared" ref="AF140" si="1661">IF($A140="","",IF(AE140="","",IF($K$4="Media aritmética",(AE140&lt;=$B140)*($G$5/$B$5)+(AE140&gt;$B140)*0,IF(ROUND(AVERAGE($C140,$E140,$G140,$I140,$K140,$M140,$O140,$Q140,$S140,$U140,$W140,$Y140,$AA140,$AC140,$AE140),2)-$B140/2&lt;=AE140,IF(ROUND(AVERAGE($C140,$E140,$G140,$I140,$K140,$M140,$O140,$Q140,$S140,$U140,$W140,$Y140,$AA140,$AC140,$AE140),2)+$B140/2&gt;AE140,($G$5/$B$5),0),0))))</f>
        <v/>
      </c>
    </row>
    <row r="141" spans="1:32" s="135" customFormat="1" ht="21" customHeight="1">
      <c r="A141" s="132" t="str">
        <f>+'Presupuesto Consolidado'!A165</f>
        <v>12.4.15</v>
      </c>
      <c r="B141" s="140">
        <f t="shared" ref="B141" si="1662">IF(A141="","",IF($K$4="Media aritmética",ROUND(AVERAGE(C141,E141,G141,I141,K141,M141,O141,Q141,S141,U141,W141,Y141,AA141,AC141,AE141),2),ROUND(_xlfn.STDEV.P(C141,E141,G141,I141,K141,M141,O141,Q141,S141,U141,W141,Y141,AA141,AC141,AE141),2)))</f>
        <v>2210030</v>
      </c>
      <c r="C141" s="141">
        <f>IF($C$8="Habilitado",IF($A141="","",ROUND(VLOOKUP($A141,'Presupuesto Consolidado'!$A$9:$F$600,6,FALSE),2)),"")</f>
        <v>2210030</v>
      </c>
      <c r="D141" s="142">
        <f t="shared" ref="D141" si="1663">IF($A141="","",IF(C141="","",IF($K$4="Media aritmética",(C141&lt;=$B141)*($G$5/$B$5)+(C141&gt;$B141)*0,IF(ROUND(AVERAGE($C141,$E141,$G141,$I141,$K141,$M141,$O141,$Q141,$S141,$U141,$W141,$Y141,$AA141,$AC141,$AE141),2)-$B141/2&lt;=C141,IF(ROUND(AVERAGE($C141,$E141,$G141,$I141,$K141,$M141,$O141,$Q141,$S141,$U141,$W141,$Y141,$AA141,$AC141,$AE141),2)+$B141/2&gt;C141,($G$5/$B$5),0),0))))</f>
        <v>0.45714285714285713</v>
      </c>
      <c r="E141" s="141" t="str">
        <f>IF($E$8="Habilitado",IF($A141="","",ROUND(VLOOKUP($A141,'Presupuesto Consolidado'!$I$9:$N$600,6,FALSE),2)),"")</f>
        <v/>
      </c>
      <c r="F141" s="142" t="str">
        <f t="shared" ref="F141" si="1664">IF($A141="","",IF(E141="","",IF($K$4="Media aritmética",(E141&lt;=$B141)*($G$5/$B$5)+(E141&gt;$B141)*0,IF(ROUND(AVERAGE($C141,$E141,$G141,$I141,$K141,$M141,$O141,$Q141,$S141,$U141,$W141,$Y141,$AA141,$AC141,$AE141),2)-$B141/2&lt;=E141,IF(ROUND(AVERAGE($C141,$E141,$G141,$I141,$K141,$M141,$O141,$Q141,$S141,$U141,$W141,$Y141,$AA141,$AC141,$AE141),2)+$B141/2&gt;E141,($G$5/$B$5),0),0))))</f>
        <v/>
      </c>
      <c r="G141" s="141" t="str">
        <f>IF($G$8="Habilitado",IF($A141="","",ROUND(VLOOKUP($A141,'Presupuesto Consolidado'!$Q$9:$V$600,6,FALSE),2)),"")</f>
        <v/>
      </c>
      <c r="H141" s="142" t="str">
        <f t="shared" ref="H141" si="1665">IF($A141="","",IF(G141="","",IF($K$4="Media aritmética",(G141&lt;=$B141)*($G$5/$B$5)+(G141&gt;$B141)*0,IF(ROUND(AVERAGE($C141,$E141,$G141,$I141,$K141,$M141,$O141,$Q141,$S141,$U141,$W141,$Y141,$AA141,$AC141,$AE141),2)-$B141/2&lt;=G141,IF(ROUND(AVERAGE($C141,$E141,$G141,$I141,$K141,$M141,$O141,$Q141,$S141,$U141,$W141,$Y141,$AA141,$AC141,$AE141),2)+$B141/2&gt;G141,($G$5/$B$5),0),0))))</f>
        <v/>
      </c>
      <c r="I141" s="141" t="str">
        <f>IF($I$8="Habilitado",IF($A141="","",ROUND(VLOOKUP($A141,'Presupuesto Consolidado'!$Y$9:$AD$600,6,FALSE),2)),"")</f>
        <v/>
      </c>
      <c r="J141" s="142" t="str">
        <f t="shared" ref="J141" si="1666">IF($A141="","",IF(I141="","",IF($K$4="Media aritmética",(I141&lt;=$B141)*($G$5/$B$5)+(I141&gt;$B141)*0,IF(ROUND(AVERAGE($C141,$E141,$G141,$I141,$K141,$M141,$O141,$Q141,$S141,$U141,$W141,$Y141,$AA141,$AC141,$AE141),2)-$B141/2&lt;=I141,IF(ROUND(AVERAGE($C141,$E141,$G141,$I141,$K141,$M141,$O141,$Q141,$S141,$U141,$W141,$Y141,$AA141,$AC141,$AE141),2)+$B141/2&gt;I141,($G$5/$B$5),0),0))))</f>
        <v/>
      </c>
      <c r="K141" s="141" t="str">
        <f>IF($K$8="Habilitado",IF($A141="","",ROUND(VLOOKUP($A141,'Presupuesto Consolidado'!#REF!,6,FALSE),2)),"")</f>
        <v/>
      </c>
      <c r="L141" s="142" t="str">
        <f t="shared" ref="L141" si="1667">IF($A141="","",IF(K141="","",IF($K$4="Media aritmética",(K141&lt;=$B141)*($G$5/$B$5)+(K141&gt;$B141)*0,IF(ROUND(AVERAGE($C141,$E141,$G141,$I141,$K141,$M141,$O141,$Q141,$S141,$U141,$W141,$Y141,$AA141,$AC141,$AE141),2)-$B141/2&lt;=K141,IF(ROUND(AVERAGE($C141,$E141,$G141,$I141,$K141,$M141,$O141,$Q141,$S141,$U141,$W141,$Y141,$AA141,$AC141,$AE141),2)+$B141/2&gt;K141,($G$5/$B$5),0),0))))</f>
        <v/>
      </c>
      <c r="M141" s="141" t="str">
        <f>IF($M$8="Habilitado",IF($A141="","",ROUND(VLOOKUP($A141,'Presupuesto Consolidado'!#REF!,6,FALSE),2)),"")</f>
        <v/>
      </c>
      <c r="N141" s="142" t="str">
        <f t="shared" ref="N141" si="1668">IF($A141="","",IF(M141="","",IF($K$4="Media aritmética",(M141&lt;=$B141)*($G$5/$B$5)+(M141&gt;$B141)*0,IF(ROUND(AVERAGE($C141,$E141,$G141,$I141,$K141,$M141,$O141,$Q141,$S141,$U141,$W141,$Y141,$AA141,$AC141,$AE141),2)-$B141/2&lt;=M141,IF(ROUND(AVERAGE($C141,$E141,$G141,$I141,$K141,$M141,$O141,$Q141,$S141,$U141,$W141,$Y141,$AA141,$AC141,$AE141),2)+$B141/2&gt;M141,($G$5/$B$5),0),0))))</f>
        <v/>
      </c>
      <c r="O141" s="141" t="str">
        <f>IF($O$8="Habilitado",IF($A141="","",ROUND(VLOOKUP($A141,'Presupuesto Consolidado'!#REF!,6,FALSE),2)),"")</f>
        <v/>
      </c>
      <c r="P141" s="142" t="str">
        <f t="shared" ref="P141" si="1669">IF($A141="","",IF(O141="","",IF($K$4="Media aritmética",(O141&lt;=$B141)*($G$5/$B$5)+(O141&gt;$B141)*0,IF(ROUND(AVERAGE($C141,$E141,$G141,$I141,$K141,$M141,$O141,$Q141,$S141,$U141,$W141,$Y141,$AA141,$AC141,$AE141),2)-$B141/2&lt;=O141,IF(ROUND(AVERAGE($C141,$E141,$G141,$I141,$K141,$M141,$O141,$Q141,$S141,$U141,$W141,$Y141,$AA141,$AC141,$AE141),2)+$B141/2&gt;O141,($G$5/$B$5),0),0))))</f>
        <v/>
      </c>
      <c r="Q141" s="141" t="str">
        <f>IF($Q$8="Habilitado",IF($A141="","",ROUND(VLOOKUP($A141,'Presupuesto Consolidado'!#REF!,6,FALSE),2)),"")</f>
        <v/>
      </c>
      <c r="R141" s="142" t="str">
        <f t="shared" ref="R141" si="1670">IF($A141="","",IF(Q141="","",IF($K$4="Media aritmética",(Q141&lt;=$B141)*($G$5/$B$5)+(Q141&gt;$B141)*0,IF(ROUND(AVERAGE($C141,$E141,$G141,$I141,$K141,$M141,$O141,$Q141,$S141,$U141,$W141,$Y141,$AA141,$AC141,$AE141),2)-$B141/2&lt;=Q141,IF(ROUND(AVERAGE($C141,$E141,$G141,$I141,$K141,$M141,$O141,$Q141,$S141,$U141,$W141,$Y141,$AA141,$AC141,$AE141),2)+$B141/2&gt;Q141,($G$5/$B$5),0),0))))</f>
        <v/>
      </c>
      <c r="S141" s="141" t="str">
        <f>IF($S$8="Habilitado",IF($A141="","",ROUND(VLOOKUP($A141,'Presupuesto Consolidado'!#REF!,6,FALSE),2)),"")</f>
        <v/>
      </c>
      <c r="T141" s="142" t="str">
        <f t="shared" ref="T141" si="1671">IF($A141="","",IF(S141="","",IF($K$4="Media aritmética",(S141&lt;=$B141)*($G$5/$B$5)+(S141&gt;$B141)*0,IF(ROUND(AVERAGE($C141,$E141,$G141,$I141,$K141,$M141,$O141,$Q141,$S141,$U141,$W141,$Y141,$AA141,$AC141,$AE141),2)-$B141/2&lt;=S141,IF(ROUND(AVERAGE($C141,$E141,$G141,$I141,$K141,$M141,$O141,$Q141,$S141,$U141,$W141,$Y141,$AA141,$AC141,$AE141),2)+$B141/2&gt;S141,($G$5/$B$5),0),0))))</f>
        <v/>
      </c>
      <c r="U141" s="141" t="str">
        <f>IF($U$8="Habilitado",IF($A141="","",ROUND(VLOOKUP($A141,'Presupuesto Consolidado'!#REF!,6,FALSE),2)),"")</f>
        <v/>
      </c>
      <c r="V141" s="142" t="str">
        <f t="shared" ref="V141" si="1672">IF($A141="","",IF(U141="","",IF($K$4="Media aritmética",(U141&lt;=$B141)*($G$5/$B$5)+(U141&gt;$B141)*0,IF(ROUND(AVERAGE($C141,$E141,$G141,$I141,$K141,$M141,$O141,$Q141,$S141,$U141,$W141,$Y141,$AA141,$AC141,$AE141),2)-$B141/2&lt;=U141,IF(ROUND(AVERAGE($C141,$E141,$G141,$I141,$K141,$M141,$O141,$Q141,$S141,$U141,$W141,$Y141,$AA141,$AC141,$AE141),2)+$B141/2&gt;U141,($G$5/$B$5),0),0))))</f>
        <v/>
      </c>
      <c r="W141" s="141" t="str">
        <f>IF($W$8="Habilitado",IF($A141="","",ROUND(VLOOKUP($A141,'Presupuesto Consolidado'!#REF!,6,FALSE),2)),"")</f>
        <v/>
      </c>
      <c r="X141" s="142" t="str">
        <f t="shared" ref="X141" si="1673">IF($A141="","",IF(W141="","",IF($K$4="Media aritmética",(W141&lt;=$B141)*($G$5/$B$5)+(W141&gt;$B141)*0,IF(ROUND(AVERAGE($C141,$E141,$G141,$I141,$K141,$M141,$O141,$Q141,$S141,$U141,$W141,$Y141,$AA141,$AC141,$AE141),2)-$B141/2&lt;=W141,IF(ROUND(AVERAGE($C141,$E141,$G141,$I141,$K141,$M141,$O141,$Q141,$S141,$U141,$W141,$Y141,$AA141,$AC141,$AE141),2)+$B141/2&gt;W141,($G$5/$B$5),0),0))))</f>
        <v/>
      </c>
      <c r="Y141" s="141" t="str">
        <f>IF($Y$8="Habilitado",IF($A141="","",ROUND(VLOOKUP($A141,'Presupuesto Consolidado'!#REF!,6,FALSE),2)),"")</f>
        <v/>
      </c>
      <c r="Z141" s="142" t="str">
        <f t="shared" ref="Z141" si="1674">IF($A141="","",IF(Y141="","",IF($K$4="Media aritmética",(Y141&lt;=$B141)*($G$5/$B$5)+(Y141&gt;$B141)*0,IF(ROUND(AVERAGE($C141,$E141,$G141,$I141,$K141,$M141,$O141,$Q141,$S141,$U141,$W141,$Y141,$AA141,$AC141,$AE141),2)-$B141/2&lt;=Y141,IF(ROUND(AVERAGE($C141,$E141,$G141,$I141,$K141,$M141,$O141,$Q141,$S141,$U141,$W141,$Y141,$AA141,$AC141,$AE141),2)+$B141/2&gt;Y141,($G$5/$B$5),0),0))))</f>
        <v/>
      </c>
      <c r="AA141" s="141" t="str">
        <f>IF($AA$8="Habilitado",IF($A141="","",ROUND(VLOOKUP($A141,'Presupuesto Consolidado'!#REF!,6,FALSE),2)),"")</f>
        <v/>
      </c>
      <c r="AB141" s="142" t="str">
        <f t="shared" ref="AB141" si="1675">IF($A141="","",IF(AA141="","",IF($K$4="Media aritmética",(AA141&lt;=$B141)*($G$5/$B$5)+(AA141&gt;$B141)*0,IF(ROUND(AVERAGE($C141,$E141,$G141,$I141,$K141,$M141,$O141,$Q141,$S141,$U141,$W141,$Y141,$AA141,$AC141,$AE141),2)-$B141/2&lt;=AA141,IF(ROUND(AVERAGE($C141,$E141,$G141,$I141,$K141,$M141,$O141,$Q141,$S141,$U141,$W141,$Y141,$AA141,$AC141,$AE141),2)+$B141/2&gt;AA141,($G$5/$B$5),0),0))))</f>
        <v/>
      </c>
      <c r="AC141" s="141" t="str">
        <f>IF($AC$8="Habilitado",IF($A141="","",ROUND(VLOOKUP($A141,'Presupuesto Consolidado'!#REF!,6,FALSE),2)),"")</f>
        <v/>
      </c>
      <c r="AD141" s="142" t="str">
        <f t="shared" ref="AD141" si="1676">IF($A141="","",IF(AC141="","",IF($K$4="Media aritmética",(AC141&lt;=$B141)*($G$5/$B$5)+(AC141&gt;$B141)*0,IF(ROUND(AVERAGE($C141,$E141,$G141,$I141,$K141,$M141,$O141,$Q141,$S141,$U141,$W141,$Y141,$AA141,$AC141,$AE141),2)-$B141/2&lt;=AC141,IF(ROUND(AVERAGE($C141,$E141,$G141,$I141,$K141,$M141,$O141,$Q141,$S141,$U141,$W141,$Y141,$AA141,$AC141,$AE141),2)+$B141/2&gt;AC141,($G$5/$B$5),0),0))))</f>
        <v/>
      </c>
      <c r="AE141" s="141" t="str">
        <f>IF($AE$8="Habilitado",IF($A141="","",ROUND(VLOOKUP($A141,'Presupuesto Consolidado'!#REF!,6,FALSE),2)),"")</f>
        <v/>
      </c>
      <c r="AF141" s="142" t="str">
        <f t="shared" ref="AF141" si="1677">IF($A141="","",IF(AE141="","",IF($K$4="Media aritmética",(AE141&lt;=$B141)*($G$5/$B$5)+(AE141&gt;$B141)*0,IF(ROUND(AVERAGE($C141,$E141,$G141,$I141,$K141,$M141,$O141,$Q141,$S141,$U141,$W141,$Y141,$AA141,$AC141,$AE141),2)-$B141/2&lt;=AE141,IF(ROUND(AVERAGE($C141,$E141,$G141,$I141,$K141,$M141,$O141,$Q141,$S141,$U141,$W141,$Y141,$AA141,$AC141,$AE141),2)+$B141/2&gt;AE141,($G$5/$B$5),0),0))))</f>
        <v/>
      </c>
    </row>
    <row r="142" spans="1:32" s="135" customFormat="1" ht="21" customHeight="1">
      <c r="A142" s="132" t="str">
        <f>+'Presupuesto Consolidado'!A166</f>
        <v>12.4.16</v>
      </c>
      <c r="B142" s="140">
        <f t="shared" ref="B142" si="1678">IF(A142="","",IF($K$4="Media aritmética",ROUND(AVERAGE(C142,E142,G142,I142,K142,M142,O142,Q142,S142,U142,W142,Y142,AA142,AC142,AE142),2),ROUND(_xlfn.STDEV.P(C142,E142,G142,I142,K142,M142,O142,Q142,S142,U142,W142,Y142,AA142,AC142,AE142),2)))</f>
        <v>579600</v>
      </c>
      <c r="C142" s="141">
        <f>IF($C$8="Habilitado",IF($A142="","",ROUND(VLOOKUP($A142,'Presupuesto Consolidado'!$A$9:$F$600,6,FALSE),2)),"")</f>
        <v>579600</v>
      </c>
      <c r="D142" s="142">
        <f t="shared" ref="D142" si="1679">IF($A142="","",IF(C142="","",IF($K$4="Media aritmética",(C142&lt;=$B142)*($G$5/$B$5)+(C142&gt;$B142)*0,IF(ROUND(AVERAGE($C142,$E142,$G142,$I142,$K142,$M142,$O142,$Q142,$S142,$U142,$W142,$Y142,$AA142,$AC142,$AE142),2)-$B142/2&lt;=C142,IF(ROUND(AVERAGE($C142,$E142,$G142,$I142,$K142,$M142,$O142,$Q142,$S142,$U142,$W142,$Y142,$AA142,$AC142,$AE142),2)+$B142/2&gt;C142,($G$5/$B$5),0),0))))</f>
        <v>0.45714285714285713</v>
      </c>
      <c r="E142" s="141" t="str">
        <f>IF($E$8="Habilitado",IF($A142="","",ROUND(VLOOKUP($A142,'Presupuesto Consolidado'!$I$9:$N$600,6,FALSE),2)),"")</f>
        <v/>
      </c>
      <c r="F142" s="142" t="str">
        <f t="shared" ref="F142" si="1680">IF($A142="","",IF(E142="","",IF($K$4="Media aritmética",(E142&lt;=$B142)*($G$5/$B$5)+(E142&gt;$B142)*0,IF(ROUND(AVERAGE($C142,$E142,$G142,$I142,$K142,$M142,$O142,$Q142,$S142,$U142,$W142,$Y142,$AA142,$AC142,$AE142),2)-$B142/2&lt;=E142,IF(ROUND(AVERAGE($C142,$E142,$G142,$I142,$K142,$M142,$O142,$Q142,$S142,$U142,$W142,$Y142,$AA142,$AC142,$AE142),2)+$B142/2&gt;E142,($G$5/$B$5),0),0))))</f>
        <v/>
      </c>
      <c r="G142" s="141" t="str">
        <f>IF($G$8="Habilitado",IF($A142="","",ROUND(VLOOKUP($A142,'Presupuesto Consolidado'!$Q$9:$V$600,6,FALSE),2)),"")</f>
        <v/>
      </c>
      <c r="H142" s="142" t="str">
        <f t="shared" ref="H142" si="1681">IF($A142="","",IF(G142="","",IF($K$4="Media aritmética",(G142&lt;=$B142)*($G$5/$B$5)+(G142&gt;$B142)*0,IF(ROUND(AVERAGE($C142,$E142,$G142,$I142,$K142,$M142,$O142,$Q142,$S142,$U142,$W142,$Y142,$AA142,$AC142,$AE142),2)-$B142/2&lt;=G142,IF(ROUND(AVERAGE($C142,$E142,$G142,$I142,$K142,$M142,$O142,$Q142,$S142,$U142,$W142,$Y142,$AA142,$AC142,$AE142),2)+$B142/2&gt;G142,($G$5/$B$5),0),0))))</f>
        <v/>
      </c>
      <c r="I142" s="141" t="str">
        <f>IF($I$8="Habilitado",IF($A142="","",ROUND(VLOOKUP($A142,'Presupuesto Consolidado'!$Y$9:$AD$600,6,FALSE),2)),"")</f>
        <v/>
      </c>
      <c r="J142" s="142" t="str">
        <f t="shared" ref="J142" si="1682">IF($A142="","",IF(I142="","",IF($K$4="Media aritmética",(I142&lt;=$B142)*($G$5/$B$5)+(I142&gt;$B142)*0,IF(ROUND(AVERAGE($C142,$E142,$G142,$I142,$K142,$M142,$O142,$Q142,$S142,$U142,$W142,$Y142,$AA142,$AC142,$AE142),2)-$B142/2&lt;=I142,IF(ROUND(AVERAGE($C142,$E142,$G142,$I142,$K142,$M142,$O142,$Q142,$S142,$U142,$W142,$Y142,$AA142,$AC142,$AE142),2)+$B142/2&gt;I142,($G$5/$B$5),0),0))))</f>
        <v/>
      </c>
      <c r="K142" s="141" t="str">
        <f>IF($K$8="Habilitado",IF($A142="","",ROUND(VLOOKUP($A142,'Presupuesto Consolidado'!#REF!,6,FALSE),2)),"")</f>
        <v/>
      </c>
      <c r="L142" s="142" t="str">
        <f t="shared" ref="L142" si="1683">IF($A142="","",IF(K142="","",IF($K$4="Media aritmética",(K142&lt;=$B142)*($G$5/$B$5)+(K142&gt;$B142)*0,IF(ROUND(AVERAGE($C142,$E142,$G142,$I142,$K142,$M142,$O142,$Q142,$S142,$U142,$W142,$Y142,$AA142,$AC142,$AE142),2)-$B142/2&lt;=K142,IF(ROUND(AVERAGE($C142,$E142,$G142,$I142,$K142,$M142,$O142,$Q142,$S142,$U142,$W142,$Y142,$AA142,$AC142,$AE142),2)+$B142/2&gt;K142,($G$5/$B$5),0),0))))</f>
        <v/>
      </c>
      <c r="M142" s="141" t="str">
        <f>IF($M$8="Habilitado",IF($A142="","",ROUND(VLOOKUP($A142,'Presupuesto Consolidado'!#REF!,6,FALSE),2)),"")</f>
        <v/>
      </c>
      <c r="N142" s="142" t="str">
        <f t="shared" ref="N142" si="1684">IF($A142="","",IF(M142="","",IF($K$4="Media aritmética",(M142&lt;=$B142)*($G$5/$B$5)+(M142&gt;$B142)*0,IF(ROUND(AVERAGE($C142,$E142,$G142,$I142,$K142,$M142,$O142,$Q142,$S142,$U142,$W142,$Y142,$AA142,$AC142,$AE142),2)-$B142/2&lt;=M142,IF(ROUND(AVERAGE($C142,$E142,$G142,$I142,$K142,$M142,$O142,$Q142,$S142,$U142,$W142,$Y142,$AA142,$AC142,$AE142),2)+$B142/2&gt;M142,($G$5/$B$5),0),0))))</f>
        <v/>
      </c>
      <c r="O142" s="141" t="str">
        <f>IF($O$8="Habilitado",IF($A142="","",ROUND(VLOOKUP($A142,'Presupuesto Consolidado'!#REF!,6,FALSE),2)),"")</f>
        <v/>
      </c>
      <c r="P142" s="142" t="str">
        <f t="shared" ref="P142" si="1685">IF($A142="","",IF(O142="","",IF($K$4="Media aritmética",(O142&lt;=$B142)*($G$5/$B$5)+(O142&gt;$B142)*0,IF(ROUND(AVERAGE($C142,$E142,$G142,$I142,$K142,$M142,$O142,$Q142,$S142,$U142,$W142,$Y142,$AA142,$AC142,$AE142),2)-$B142/2&lt;=O142,IF(ROUND(AVERAGE($C142,$E142,$G142,$I142,$K142,$M142,$O142,$Q142,$S142,$U142,$W142,$Y142,$AA142,$AC142,$AE142),2)+$B142/2&gt;O142,($G$5/$B$5),0),0))))</f>
        <v/>
      </c>
      <c r="Q142" s="141" t="str">
        <f>IF($Q$8="Habilitado",IF($A142="","",ROUND(VLOOKUP($A142,'Presupuesto Consolidado'!#REF!,6,FALSE),2)),"")</f>
        <v/>
      </c>
      <c r="R142" s="142" t="str">
        <f t="shared" ref="R142" si="1686">IF($A142="","",IF(Q142="","",IF($K$4="Media aritmética",(Q142&lt;=$B142)*($G$5/$B$5)+(Q142&gt;$B142)*0,IF(ROUND(AVERAGE($C142,$E142,$G142,$I142,$K142,$M142,$O142,$Q142,$S142,$U142,$W142,$Y142,$AA142,$AC142,$AE142),2)-$B142/2&lt;=Q142,IF(ROUND(AVERAGE($C142,$E142,$G142,$I142,$K142,$M142,$O142,$Q142,$S142,$U142,$W142,$Y142,$AA142,$AC142,$AE142),2)+$B142/2&gt;Q142,($G$5/$B$5),0),0))))</f>
        <v/>
      </c>
      <c r="S142" s="141" t="str">
        <f>IF($S$8="Habilitado",IF($A142="","",ROUND(VLOOKUP($A142,'Presupuesto Consolidado'!#REF!,6,FALSE),2)),"")</f>
        <v/>
      </c>
      <c r="T142" s="142" t="str">
        <f t="shared" ref="T142" si="1687">IF($A142="","",IF(S142="","",IF($K$4="Media aritmética",(S142&lt;=$B142)*($G$5/$B$5)+(S142&gt;$B142)*0,IF(ROUND(AVERAGE($C142,$E142,$G142,$I142,$K142,$M142,$O142,$Q142,$S142,$U142,$W142,$Y142,$AA142,$AC142,$AE142),2)-$B142/2&lt;=S142,IF(ROUND(AVERAGE($C142,$E142,$G142,$I142,$K142,$M142,$O142,$Q142,$S142,$U142,$W142,$Y142,$AA142,$AC142,$AE142),2)+$B142/2&gt;S142,($G$5/$B$5),0),0))))</f>
        <v/>
      </c>
      <c r="U142" s="141" t="str">
        <f>IF($U$8="Habilitado",IF($A142="","",ROUND(VLOOKUP($A142,'Presupuesto Consolidado'!#REF!,6,FALSE),2)),"")</f>
        <v/>
      </c>
      <c r="V142" s="142" t="str">
        <f t="shared" ref="V142" si="1688">IF($A142="","",IF(U142="","",IF($K$4="Media aritmética",(U142&lt;=$B142)*($G$5/$B$5)+(U142&gt;$B142)*0,IF(ROUND(AVERAGE($C142,$E142,$G142,$I142,$K142,$M142,$O142,$Q142,$S142,$U142,$W142,$Y142,$AA142,$AC142,$AE142),2)-$B142/2&lt;=U142,IF(ROUND(AVERAGE($C142,$E142,$G142,$I142,$K142,$M142,$O142,$Q142,$S142,$U142,$W142,$Y142,$AA142,$AC142,$AE142),2)+$B142/2&gt;U142,($G$5/$B$5),0),0))))</f>
        <v/>
      </c>
      <c r="W142" s="141" t="str">
        <f>IF($W$8="Habilitado",IF($A142="","",ROUND(VLOOKUP($A142,'Presupuesto Consolidado'!#REF!,6,FALSE),2)),"")</f>
        <v/>
      </c>
      <c r="X142" s="142" t="str">
        <f t="shared" ref="X142" si="1689">IF($A142="","",IF(W142="","",IF($K$4="Media aritmética",(W142&lt;=$B142)*($G$5/$B$5)+(W142&gt;$B142)*0,IF(ROUND(AVERAGE($C142,$E142,$G142,$I142,$K142,$M142,$O142,$Q142,$S142,$U142,$W142,$Y142,$AA142,$AC142,$AE142),2)-$B142/2&lt;=W142,IF(ROUND(AVERAGE($C142,$E142,$G142,$I142,$K142,$M142,$O142,$Q142,$S142,$U142,$W142,$Y142,$AA142,$AC142,$AE142),2)+$B142/2&gt;W142,($G$5/$B$5),0),0))))</f>
        <v/>
      </c>
      <c r="Y142" s="141" t="str">
        <f>IF($Y$8="Habilitado",IF($A142="","",ROUND(VLOOKUP($A142,'Presupuesto Consolidado'!#REF!,6,FALSE),2)),"")</f>
        <v/>
      </c>
      <c r="Z142" s="142" t="str">
        <f t="shared" ref="Z142" si="1690">IF($A142="","",IF(Y142="","",IF($K$4="Media aritmética",(Y142&lt;=$B142)*($G$5/$B$5)+(Y142&gt;$B142)*0,IF(ROUND(AVERAGE($C142,$E142,$G142,$I142,$K142,$M142,$O142,$Q142,$S142,$U142,$W142,$Y142,$AA142,$AC142,$AE142),2)-$B142/2&lt;=Y142,IF(ROUND(AVERAGE($C142,$E142,$G142,$I142,$K142,$M142,$O142,$Q142,$S142,$U142,$W142,$Y142,$AA142,$AC142,$AE142),2)+$B142/2&gt;Y142,($G$5/$B$5),0),0))))</f>
        <v/>
      </c>
      <c r="AA142" s="141" t="str">
        <f>IF($AA$8="Habilitado",IF($A142="","",ROUND(VLOOKUP($A142,'Presupuesto Consolidado'!#REF!,6,FALSE),2)),"")</f>
        <v/>
      </c>
      <c r="AB142" s="142" t="str">
        <f t="shared" ref="AB142" si="1691">IF($A142="","",IF(AA142="","",IF($K$4="Media aritmética",(AA142&lt;=$B142)*($G$5/$B$5)+(AA142&gt;$B142)*0,IF(ROUND(AVERAGE($C142,$E142,$G142,$I142,$K142,$M142,$O142,$Q142,$S142,$U142,$W142,$Y142,$AA142,$AC142,$AE142),2)-$B142/2&lt;=AA142,IF(ROUND(AVERAGE($C142,$E142,$G142,$I142,$K142,$M142,$O142,$Q142,$S142,$U142,$W142,$Y142,$AA142,$AC142,$AE142),2)+$B142/2&gt;AA142,($G$5/$B$5),0),0))))</f>
        <v/>
      </c>
      <c r="AC142" s="141" t="str">
        <f>IF($AC$8="Habilitado",IF($A142="","",ROUND(VLOOKUP($A142,'Presupuesto Consolidado'!#REF!,6,FALSE),2)),"")</f>
        <v/>
      </c>
      <c r="AD142" s="142" t="str">
        <f t="shared" ref="AD142" si="1692">IF($A142="","",IF(AC142="","",IF($K$4="Media aritmética",(AC142&lt;=$B142)*($G$5/$B$5)+(AC142&gt;$B142)*0,IF(ROUND(AVERAGE($C142,$E142,$G142,$I142,$K142,$M142,$O142,$Q142,$S142,$U142,$W142,$Y142,$AA142,$AC142,$AE142),2)-$B142/2&lt;=AC142,IF(ROUND(AVERAGE($C142,$E142,$G142,$I142,$K142,$M142,$O142,$Q142,$S142,$U142,$W142,$Y142,$AA142,$AC142,$AE142),2)+$B142/2&gt;AC142,($G$5/$B$5),0),0))))</f>
        <v/>
      </c>
      <c r="AE142" s="141" t="str">
        <f>IF($AE$8="Habilitado",IF($A142="","",ROUND(VLOOKUP($A142,'Presupuesto Consolidado'!#REF!,6,FALSE),2)),"")</f>
        <v/>
      </c>
      <c r="AF142" s="142" t="str">
        <f t="shared" ref="AF142" si="1693">IF($A142="","",IF(AE142="","",IF($K$4="Media aritmética",(AE142&lt;=$B142)*($G$5/$B$5)+(AE142&gt;$B142)*0,IF(ROUND(AVERAGE($C142,$E142,$G142,$I142,$K142,$M142,$O142,$Q142,$S142,$U142,$W142,$Y142,$AA142,$AC142,$AE142),2)-$B142/2&lt;=AE142,IF(ROUND(AVERAGE($C142,$E142,$G142,$I142,$K142,$M142,$O142,$Q142,$S142,$U142,$W142,$Y142,$AA142,$AC142,$AE142),2)+$B142/2&gt;AE142,($G$5/$B$5),0),0))))</f>
        <v/>
      </c>
    </row>
    <row r="143" spans="1:32" s="135" customFormat="1" ht="21" customHeight="1">
      <c r="A143" s="132" t="str">
        <f>+'Presupuesto Consolidado'!A167</f>
        <v>12.4.17</v>
      </c>
      <c r="B143" s="140">
        <f t="shared" ref="B143" si="1694">IF(A143="","",IF($K$4="Media aritmética",ROUND(AVERAGE(C143,E143,G143,I143,K143,M143,O143,Q143,S143,U143,W143,Y143,AA143,AC143,AE143),2),ROUND(_xlfn.STDEV.P(C143,E143,G143,I143,K143,M143,O143,Q143,S143,U143,W143,Y143,AA143,AC143,AE143),2)))</f>
        <v>662400</v>
      </c>
      <c r="C143" s="141">
        <f>IF($C$8="Habilitado",IF($A143="","",ROUND(VLOOKUP($A143,'Presupuesto Consolidado'!$A$9:$F$600,6,FALSE),2)),"")</f>
        <v>662400</v>
      </c>
      <c r="D143" s="142">
        <f t="shared" ref="D143" si="1695">IF($A143="","",IF(C143="","",IF($K$4="Media aritmética",(C143&lt;=$B143)*($G$5/$B$5)+(C143&gt;$B143)*0,IF(ROUND(AVERAGE($C143,$E143,$G143,$I143,$K143,$M143,$O143,$Q143,$S143,$U143,$W143,$Y143,$AA143,$AC143,$AE143),2)-$B143/2&lt;=C143,IF(ROUND(AVERAGE($C143,$E143,$G143,$I143,$K143,$M143,$O143,$Q143,$S143,$U143,$W143,$Y143,$AA143,$AC143,$AE143),2)+$B143/2&gt;C143,($G$5/$B$5),0),0))))</f>
        <v>0.45714285714285713</v>
      </c>
      <c r="E143" s="141" t="str">
        <f>IF($E$8="Habilitado",IF($A143="","",ROUND(VLOOKUP($A143,'Presupuesto Consolidado'!$I$9:$N$600,6,FALSE),2)),"")</f>
        <v/>
      </c>
      <c r="F143" s="142" t="str">
        <f t="shared" ref="F143" si="1696">IF($A143="","",IF(E143="","",IF($K$4="Media aritmética",(E143&lt;=$B143)*($G$5/$B$5)+(E143&gt;$B143)*0,IF(ROUND(AVERAGE($C143,$E143,$G143,$I143,$K143,$M143,$O143,$Q143,$S143,$U143,$W143,$Y143,$AA143,$AC143,$AE143),2)-$B143/2&lt;=E143,IF(ROUND(AVERAGE($C143,$E143,$G143,$I143,$K143,$M143,$O143,$Q143,$S143,$U143,$W143,$Y143,$AA143,$AC143,$AE143),2)+$B143/2&gt;E143,($G$5/$B$5),0),0))))</f>
        <v/>
      </c>
      <c r="G143" s="141" t="str">
        <f>IF($G$8="Habilitado",IF($A143="","",ROUND(VLOOKUP($A143,'Presupuesto Consolidado'!$Q$9:$V$600,6,FALSE),2)),"")</f>
        <v/>
      </c>
      <c r="H143" s="142" t="str">
        <f t="shared" ref="H143" si="1697">IF($A143="","",IF(G143="","",IF($K$4="Media aritmética",(G143&lt;=$B143)*($G$5/$B$5)+(G143&gt;$B143)*0,IF(ROUND(AVERAGE($C143,$E143,$G143,$I143,$K143,$M143,$O143,$Q143,$S143,$U143,$W143,$Y143,$AA143,$AC143,$AE143),2)-$B143/2&lt;=G143,IF(ROUND(AVERAGE($C143,$E143,$G143,$I143,$K143,$M143,$O143,$Q143,$S143,$U143,$W143,$Y143,$AA143,$AC143,$AE143),2)+$B143/2&gt;G143,($G$5/$B$5),0),0))))</f>
        <v/>
      </c>
      <c r="I143" s="141" t="str">
        <f>IF($I$8="Habilitado",IF($A143="","",ROUND(VLOOKUP($A143,'Presupuesto Consolidado'!$Y$9:$AD$600,6,FALSE),2)),"")</f>
        <v/>
      </c>
      <c r="J143" s="142" t="str">
        <f t="shared" ref="J143" si="1698">IF($A143="","",IF(I143="","",IF($K$4="Media aritmética",(I143&lt;=$B143)*($G$5/$B$5)+(I143&gt;$B143)*0,IF(ROUND(AVERAGE($C143,$E143,$G143,$I143,$K143,$M143,$O143,$Q143,$S143,$U143,$W143,$Y143,$AA143,$AC143,$AE143),2)-$B143/2&lt;=I143,IF(ROUND(AVERAGE($C143,$E143,$G143,$I143,$K143,$M143,$O143,$Q143,$S143,$U143,$W143,$Y143,$AA143,$AC143,$AE143),2)+$B143/2&gt;I143,($G$5/$B$5),0),0))))</f>
        <v/>
      </c>
      <c r="K143" s="141" t="str">
        <f>IF($K$8="Habilitado",IF($A143="","",ROUND(VLOOKUP($A143,'Presupuesto Consolidado'!#REF!,6,FALSE),2)),"")</f>
        <v/>
      </c>
      <c r="L143" s="142" t="str">
        <f t="shared" ref="L143" si="1699">IF($A143="","",IF(K143="","",IF($K$4="Media aritmética",(K143&lt;=$B143)*($G$5/$B$5)+(K143&gt;$B143)*0,IF(ROUND(AVERAGE($C143,$E143,$G143,$I143,$K143,$M143,$O143,$Q143,$S143,$U143,$W143,$Y143,$AA143,$AC143,$AE143),2)-$B143/2&lt;=K143,IF(ROUND(AVERAGE($C143,$E143,$G143,$I143,$K143,$M143,$O143,$Q143,$S143,$U143,$W143,$Y143,$AA143,$AC143,$AE143),2)+$B143/2&gt;K143,($G$5/$B$5),0),0))))</f>
        <v/>
      </c>
      <c r="M143" s="141" t="str">
        <f>IF($M$8="Habilitado",IF($A143="","",ROUND(VLOOKUP($A143,'Presupuesto Consolidado'!#REF!,6,FALSE),2)),"")</f>
        <v/>
      </c>
      <c r="N143" s="142" t="str">
        <f t="shared" ref="N143" si="1700">IF($A143="","",IF(M143="","",IF($K$4="Media aritmética",(M143&lt;=$B143)*($G$5/$B$5)+(M143&gt;$B143)*0,IF(ROUND(AVERAGE($C143,$E143,$G143,$I143,$K143,$M143,$O143,$Q143,$S143,$U143,$W143,$Y143,$AA143,$AC143,$AE143),2)-$B143/2&lt;=M143,IF(ROUND(AVERAGE($C143,$E143,$G143,$I143,$K143,$M143,$O143,$Q143,$S143,$U143,$W143,$Y143,$AA143,$AC143,$AE143),2)+$B143/2&gt;M143,($G$5/$B$5),0),0))))</f>
        <v/>
      </c>
      <c r="O143" s="141" t="str">
        <f>IF($O$8="Habilitado",IF($A143="","",ROUND(VLOOKUP($A143,'Presupuesto Consolidado'!#REF!,6,FALSE),2)),"")</f>
        <v/>
      </c>
      <c r="P143" s="142" t="str">
        <f t="shared" ref="P143" si="1701">IF($A143="","",IF(O143="","",IF($K$4="Media aritmética",(O143&lt;=$B143)*($G$5/$B$5)+(O143&gt;$B143)*0,IF(ROUND(AVERAGE($C143,$E143,$G143,$I143,$K143,$M143,$O143,$Q143,$S143,$U143,$W143,$Y143,$AA143,$AC143,$AE143),2)-$B143/2&lt;=O143,IF(ROUND(AVERAGE($C143,$E143,$G143,$I143,$K143,$M143,$O143,$Q143,$S143,$U143,$W143,$Y143,$AA143,$AC143,$AE143),2)+$B143/2&gt;O143,($G$5/$B$5),0),0))))</f>
        <v/>
      </c>
      <c r="Q143" s="141" t="str">
        <f>IF($Q$8="Habilitado",IF($A143="","",ROUND(VLOOKUP($A143,'Presupuesto Consolidado'!#REF!,6,FALSE),2)),"")</f>
        <v/>
      </c>
      <c r="R143" s="142" t="str">
        <f t="shared" ref="R143" si="1702">IF($A143="","",IF(Q143="","",IF($K$4="Media aritmética",(Q143&lt;=$B143)*($G$5/$B$5)+(Q143&gt;$B143)*0,IF(ROUND(AVERAGE($C143,$E143,$G143,$I143,$K143,$M143,$O143,$Q143,$S143,$U143,$W143,$Y143,$AA143,$AC143,$AE143),2)-$B143/2&lt;=Q143,IF(ROUND(AVERAGE($C143,$E143,$G143,$I143,$K143,$M143,$O143,$Q143,$S143,$U143,$W143,$Y143,$AA143,$AC143,$AE143),2)+$B143/2&gt;Q143,($G$5/$B$5),0),0))))</f>
        <v/>
      </c>
      <c r="S143" s="141" t="str">
        <f>IF($S$8="Habilitado",IF($A143="","",ROUND(VLOOKUP($A143,'Presupuesto Consolidado'!#REF!,6,FALSE),2)),"")</f>
        <v/>
      </c>
      <c r="T143" s="142" t="str">
        <f t="shared" ref="T143" si="1703">IF($A143="","",IF(S143="","",IF($K$4="Media aritmética",(S143&lt;=$B143)*($G$5/$B$5)+(S143&gt;$B143)*0,IF(ROUND(AVERAGE($C143,$E143,$G143,$I143,$K143,$M143,$O143,$Q143,$S143,$U143,$W143,$Y143,$AA143,$AC143,$AE143),2)-$B143/2&lt;=S143,IF(ROUND(AVERAGE($C143,$E143,$G143,$I143,$K143,$M143,$O143,$Q143,$S143,$U143,$W143,$Y143,$AA143,$AC143,$AE143),2)+$B143/2&gt;S143,($G$5/$B$5),0),0))))</f>
        <v/>
      </c>
      <c r="U143" s="141" t="str">
        <f>IF($U$8="Habilitado",IF($A143="","",ROUND(VLOOKUP($A143,'Presupuesto Consolidado'!#REF!,6,FALSE),2)),"")</f>
        <v/>
      </c>
      <c r="V143" s="142" t="str">
        <f t="shared" ref="V143" si="1704">IF($A143="","",IF(U143="","",IF($K$4="Media aritmética",(U143&lt;=$B143)*($G$5/$B$5)+(U143&gt;$B143)*0,IF(ROUND(AVERAGE($C143,$E143,$G143,$I143,$K143,$M143,$O143,$Q143,$S143,$U143,$W143,$Y143,$AA143,$AC143,$AE143),2)-$B143/2&lt;=U143,IF(ROUND(AVERAGE($C143,$E143,$G143,$I143,$K143,$M143,$O143,$Q143,$S143,$U143,$W143,$Y143,$AA143,$AC143,$AE143),2)+$B143/2&gt;U143,($G$5/$B$5),0),0))))</f>
        <v/>
      </c>
      <c r="W143" s="141" t="str">
        <f>IF($W$8="Habilitado",IF($A143="","",ROUND(VLOOKUP($A143,'Presupuesto Consolidado'!#REF!,6,FALSE),2)),"")</f>
        <v/>
      </c>
      <c r="X143" s="142" t="str">
        <f t="shared" ref="X143" si="1705">IF($A143="","",IF(W143="","",IF($K$4="Media aritmética",(W143&lt;=$B143)*($G$5/$B$5)+(W143&gt;$B143)*0,IF(ROUND(AVERAGE($C143,$E143,$G143,$I143,$K143,$M143,$O143,$Q143,$S143,$U143,$W143,$Y143,$AA143,$AC143,$AE143),2)-$B143/2&lt;=W143,IF(ROUND(AVERAGE($C143,$E143,$G143,$I143,$K143,$M143,$O143,$Q143,$S143,$U143,$W143,$Y143,$AA143,$AC143,$AE143),2)+$B143/2&gt;W143,($G$5/$B$5),0),0))))</f>
        <v/>
      </c>
      <c r="Y143" s="141" t="str">
        <f>IF($Y$8="Habilitado",IF($A143="","",ROUND(VLOOKUP($A143,'Presupuesto Consolidado'!#REF!,6,FALSE),2)),"")</f>
        <v/>
      </c>
      <c r="Z143" s="142" t="str">
        <f t="shared" ref="Z143" si="1706">IF($A143="","",IF(Y143="","",IF($K$4="Media aritmética",(Y143&lt;=$B143)*($G$5/$B$5)+(Y143&gt;$B143)*0,IF(ROUND(AVERAGE($C143,$E143,$G143,$I143,$K143,$M143,$O143,$Q143,$S143,$U143,$W143,$Y143,$AA143,$AC143,$AE143),2)-$B143/2&lt;=Y143,IF(ROUND(AVERAGE($C143,$E143,$G143,$I143,$K143,$M143,$O143,$Q143,$S143,$U143,$W143,$Y143,$AA143,$AC143,$AE143),2)+$B143/2&gt;Y143,($G$5/$B$5),0),0))))</f>
        <v/>
      </c>
      <c r="AA143" s="141" t="str">
        <f>IF($AA$8="Habilitado",IF($A143="","",ROUND(VLOOKUP($A143,'Presupuesto Consolidado'!#REF!,6,FALSE),2)),"")</f>
        <v/>
      </c>
      <c r="AB143" s="142" t="str">
        <f t="shared" ref="AB143" si="1707">IF($A143="","",IF(AA143="","",IF($K$4="Media aritmética",(AA143&lt;=$B143)*($G$5/$B$5)+(AA143&gt;$B143)*0,IF(ROUND(AVERAGE($C143,$E143,$G143,$I143,$K143,$M143,$O143,$Q143,$S143,$U143,$W143,$Y143,$AA143,$AC143,$AE143),2)-$B143/2&lt;=AA143,IF(ROUND(AVERAGE($C143,$E143,$G143,$I143,$K143,$M143,$O143,$Q143,$S143,$U143,$W143,$Y143,$AA143,$AC143,$AE143),2)+$B143/2&gt;AA143,($G$5/$B$5),0),0))))</f>
        <v/>
      </c>
      <c r="AC143" s="141" t="str">
        <f>IF($AC$8="Habilitado",IF($A143="","",ROUND(VLOOKUP($A143,'Presupuesto Consolidado'!#REF!,6,FALSE),2)),"")</f>
        <v/>
      </c>
      <c r="AD143" s="142" t="str">
        <f t="shared" ref="AD143" si="1708">IF($A143="","",IF(AC143="","",IF($K$4="Media aritmética",(AC143&lt;=$B143)*($G$5/$B$5)+(AC143&gt;$B143)*0,IF(ROUND(AVERAGE($C143,$E143,$G143,$I143,$K143,$M143,$O143,$Q143,$S143,$U143,$W143,$Y143,$AA143,$AC143,$AE143),2)-$B143/2&lt;=AC143,IF(ROUND(AVERAGE($C143,$E143,$G143,$I143,$K143,$M143,$O143,$Q143,$S143,$U143,$W143,$Y143,$AA143,$AC143,$AE143),2)+$B143/2&gt;AC143,($G$5/$B$5),0),0))))</f>
        <v/>
      </c>
      <c r="AE143" s="141" t="str">
        <f>IF($AE$8="Habilitado",IF($A143="","",ROUND(VLOOKUP($A143,'Presupuesto Consolidado'!#REF!,6,FALSE),2)),"")</f>
        <v/>
      </c>
      <c r="AF143" s="142" t="str">
        <f t="shared" ref="AF143" si="1709">IF($A143="","",IF(AE143="","",IF($K$4="Media aritmética",(AE143&lt;=$B143)*($G$5/$B$5)+(AE143&gt;$B143)*0,IF(ROUND(AVERAGE($C143,$E143,$G143,$I143,$K143,$M143,$O143,$Q143,$S143,$U143,$W143,$Y143,$AA143,$AC143,$AE143),2)-$B143/2&lt;=AE143,IF(ROUND(AVERAGE($C143,$E143,$G143,$I143,$K143,$M143,$O143,$Q143,$S143,$U143,$W143,$Y143,$AA143,$AC143,$AE143),2)+$B143/2&gt;AE143,($G$5/$B$5),0),0))))</f>
        <v/>
      </c>
    </row>
    <row r="144" spans="1:32" s="135" customFormat="1" ht="21" customHeight="1">
      <c r="A144" s="132" t="str">
        <f>+'Presupuesto Consolidado'!A169</f>
        <v>12.4.18</v>
      </c>
      <c r="B144" s="140">
        <f t="shared" ref="B144" si="1710">IF(A144="","",IF($K$4="Media aritmética",ROUND(AVERAGE(C144,E144,G144,I144,K144,M144,O144,Q144,S144,U144,W144,Y144,AA144,AC144,AE144),2),ROUND(_xlfn.STDEV.P(C144,E144,G144,I144,K144,M144,O144,Q144,S144,U144,W144,Y144,AA144,AC144,AE144),2)))</f>
        <v>2055510</v>
      </c>
      <c r="C144" s="141">
        <f>IF($C$8="Habilitado",IF($A144="","",ROUND(VLOOKUP($A144,'Presupuesto Consolidado'!$A$9:$F$600,6,FALSE),2)),"")</f>
        <v>2055510</v>
      </c>
      <c r="D144" s="142">
        <f t="shared" ref="D144" si="1711">IF($A144="","",IF(C144="","",IF($K$4="Media aritmética",(C144&lt;=$B144)*($G$5/$B$5)+(C144&gt;$B144)*0,IF(ROUND(AVERAGE($C144,$E144,$G144,$I144,$K144,$M144,$O144,$Q144,$S144,$U144,$W144,$Y144,$AA144,$AC144,$AE144),2)-$B144/2&lt;=C144,IF(ROUND(AVERAGE($C144,$E144,$G144,$I144,$K144,$M144,$O144,$Q144,$S144,$U144,$W144,$Y144,$AA144,$AC144,$AE144),2)+$B144/2&gt;C144,($G$5/$B$5),0),0))))</f>
        <v>0.45714285714285713</v>
      </c>
      <c r="E144" s="141" t="str">
        <f>IF($E$8="Habilitado",IF($A144="","",ROUND(VLOOKUP($A144,'Presupuesto Consolidado'!$I$9:$N$600,6,FALSE),2)),"")</f>
        <v/>
      </c>
      <c r="F144" s="142" t="str">
        <f t="shared" ref="F144" si="1712">IF($A144="","",IF(E144="","",IF($K$4="Media aritmética",(E144&lt;=$B144)*($G$5/$B$5)+(E144&gt;$B144)*0,IF(ROUND(AVERAGE($C144,$E144,$G144,$I144,$K144,$M144,$O144,$Q144,$S144,$U144,$W144,$Y144,$AA144,$AC144,$AE144),2)-$B144/2&lt;=E144,IF(ROUND(AVERAGE($C144,$E144,$G144,$I144,$K144,$M144,$O144,$Q144,$S144,$U144,$W144,$Y144,$AA144,$AC144,$AE144),2)+$B144/2&gt;E144,($G$5/$B$5),0),0))))</f>
        <v/>
      </c>
      <c r="G144" s="141" t="str">
        <f>IF($G$8="Habilitado",IF($A144="","",ROUND(VLOOKUP($A144,'Presupuesto Consolidado'!$Q$9:$V$600,6,FALSE),2)),"")</f>
        <v/>
      </c>
      <c r="H144" s="142" t="str">
        <f t="shared" ref="H144" si="1713">IF($A144="","",IF(G144="","",IF($K$4="Media aritmética",(G144&lt;=$B144)*($G$5/$B$5)+(G144&gt;$B144)*0,IF(ROUND(AVERAGE($C144,$E144,$G144,$I144,$K144,$M144,$O144,$Q144,$S144,$U144,$W144,$Y144,$AA144,$AC144,$AE144),2)-$B144/2&lt;=G144,IF(ROUND(AVERAGE($C144,$E144,$G144,$I144,$K144,$M144,$O144,$Q144,$S144,$U144,$W144,$Y144,$AA144,$AC144,$AE144),2)+$B144/2&gt;G144,($G$5/$B$5),0),0))))</f>
        <v/>
      </c>
      <c r="I144" s="141" t="str">
        <f>IF($I$8="Habilitado",IF($A144="","",ROUND(VLOOKUP($A144,'Presupuesto Consolidado'!$Y$9:$AD$600,6,FALSE),2)),"")</f>
        <v/>
      </c>
      <c r="J144" s="142" t="str">
        <f t="shared" ref="J144" si="1714">IF($A144="","",IF(I144="","",IF($K$4="Media aritmética",(I144&lt;=$B144)*($G$5/$B$5)+(I144&gt;$B144)*0,IF(ROUND(AVERAGE($C144,$E144,$G144,$I144,$K144,$M144,$O144,$Q144,$S144,$U144,$W144,$Y144,$AA144,$AC144,$AE144),2)-$B144/2&lt;=I144,IF(ROUND(AVERAGE($C144,$E144,$G144,$I144,$K144,$M144,$O144,$Q144,$S144,$U144,$W144,$Y144,$AA144,$AC144,$AE144),2)+$B144/2&gt;I144,($G$5/$B$5),0),0))))</f>
        <v/>
      </c>
      <c r="K144" s="141" t="str">
        <f>IF($K$8="Habilitado",IF($A144="","",ROUND(VLOOKUP($A144,'Presupuesto Consolidado'!#REF!,6,FALSE),2)),"")</f>
        <v/>
      </c>
      <c r="L144" s="142" t="str">
        <f t="shared" ref="L144" si="1715">IF($A144="","",IF(K144="","",IF($K$4="Media aritmética",(K144&lt;=$B144)*($G$5/$B$5)+(K144&gt;$B144)*0,IF(ROUND(AVERAGE($C144,$E144,$G144,$I144,$K144,$M144,$O144,$Q144,$S144,$U144,$W144,$Y144,$AA144,$AC144,$AE144),2)-$B144/2&lt;=K144,IF(ROUND(AVERAGE($C144,$E144,$G144,$I144,$K144,$M144,$O144,$Q144,$S144,$U144,$W144,$Y144,$AA144,$AC144,$AE144),2)+$B144/2&gt;K144,($G$5/$B$5),0),0))))</f>
        <v/>
      </c>
      <c r="M144" s="141" t="str">
        <f>IF($M$8="Habilitado",IF($A144="","",ROUND(VLOOKUP($A144,'Presupuesto Consolidado'!#REF!,6,FALSE),2)),"")</f>
        <v/>
      </c>
      <c r="N144" s="142" t="str">
        <f t="shared" ref="N144" si="1716">IF($A144="","",IF(M144="","",IF($K$4="Media aritmética",(M144&lt;=$B144)*($G$5/$B$5)+(M144&gt;$B144)*0,IF(ROUND(AVERAGE($C144,$E144,$G144,$I144,$K144,$M144,$O144,$Q144,$S144,$U144,$W144,$Y144,$AA144,$AC144,$AE144),2)-$B144/2&lt;=M144,IF(ROUND(AVERAGE($C144,$E144,$G144,$I144,$K144,$M144,$O144,$Q144,$S144,$U144,$W144,$Y144,$AA144,$AC144,$AE144),2)+$B144/2&gt;M144,($G$5/$B$5),0),0))))</f>
        <v/>
      </c>
      <c r="O144" s="141" t="str">
        <f>IF($O$8="Habilitado",IF($A144="","",ROUND(VLOOKUP($A144,'Presupuesto Consolidado'!#REF!,6,FALSE),2)),"")</f>
        <v/>
      </c>
      <c r="P144" s="142" t="str">
        <f t="shared" ref="P144" si="1717">IF($A144="","",IF(O144="","",IF($K$4="Media aritmética",(O144&lt;=$B144)*($G$5/$B$5)+(O144&gt;$B144)*0,IF(ROUND(AVERAGE($C144,$E144,$G144,$I144,$K144,$M144,$O144,$Q144,$S144,$U144,$W144,$Y144,$AA144,$AC144,$AE144),2)-$B144/2&lt;=O144,IF(ROUND(AVERAGE($C144,$E144,$G144,$I144,$K144,$M144,$O144,$Q144,$S144,$U144,$W144,$Y144,$AA144,$AC144,$AE144),2)+$B144/2&gt;O144,($G$5/$B$5),0),0))))</f>
        <v/>
      </c>
      <c r="Q144" s="141" t="str">
        <f>IF($Q$8="Habilitado",IF($A144="","",ROUND(VLOOKUP($A144,'Presupuesto Consolidado'!#REF!,6,FALSE),2)),"")</f>
        <v/>
      </c>
      <c r="R144" s="142" t="str">
        <f t="shared" ref="R144" si="1718">IF($A144="","",IF(Q144="","",IF($K$4="Media aritmética",(Q144&lt;=$B144)*($G$5/$B$5)+(Q144&gt;$B144)*0,IF(ROUND(AVERAGE($C144,$E144,$G144,$I144,$K144,$M144,$O144,$Q144,$S144,$U144,$W144,$Y144,$AA144,$AC144,$AE144),2)-$B144/2&lt;=Q144,IF(ROUND(AVERAGE($C144,$E144,$G144,$I144,$K144,$M144,$O144,$Q144,$S144,$U144,$W144,$Y144,$AA144,$AC144,$AE144),2)+$B144/2&gt;Q144,($G$5/$B$5),0),0))))</f>
        <v/>
      </c>
      <c r="S144" s="141" t="str">
        <f>IF($S$8="Habilitado",IF($A144="","",ROUND(VLOOKUP($A144,'Presupuesto Consolidado'!#REF!,6,FALSE),2)),"")</f>
        <v/>
      </c>
      <c r="T144" s="142" t="str">
        <f t="shared" ref="T144" si="1719">IF($A144="","",IF(S144="","",IF($K$4="Media aritmética",(S144&lt;=$B144)*($G$5/$B$5)+(S144&gt;$B144)*0,IF(ROUND(AVERAGE($C144,$E144,$G144,$I144,$K144,$M144,$O144,$Q144,$S144,$U144,$W144,$Y144,$AA144,$AC144,$AE144),2)-$B144/2&lt;=S144,IF(ROUND(AVERAGE($C144,$E144,$G144,$I144,$K144,$M144,$O144,$Q144,$S144,$U144,$W144,$Y144,$AA144,$AC144,$AE144),2)+$B144/2&gt;S144,($G$5/$B$5),0),0))))</f>
        <v/>
      </c>
      <c r="U144" s="141" t="str">
        <f>IF($U$8="Habilitado",IF($A144="","",ROUND(VLOOKUP($A144,'Presupuesto Consolidado'!#REF!,6,FALSE),2)),"")</f>
        <v/>
      </c>
      <c r="V144" s="142" t="str">
        <f t="shared" ref="V144" si="1720">IF($A144="","",IF(U144="","",IF($K$4="Media aritmética",(U144&lt;=$B144)*($G$5/$B$5)+(U144&gt;$B144)*0,IF(ROUND(AVERAGE($C144,$E144,$G144,$I144,$K144,$M144,$O144,$Q144,$S144,$U144,$W144,$Y144,$AA144,$AC144,$AE144),2)-$B144/2&lt;=U144,IF(ROUND(AVERAGE($C144,$E144,$G144,$I144,$K144,$M144,$O144,$Q144,$S144,$U144,$W144,$Y144,$AA144,$AC144,$AE144),2)+$B144/2&gt;U144,($G$5/$B$5),0),0))))</f>
        <v/>
      </c>
      <c r="W144" s="141" t="str">
        <f>IF($W$8="Habilitado",IF($A144="","",ROUND(VLOOKUP($A144,'Presupuesto Consolidado'!#REF!,6,FALSE),2)),"")</f>
        <v/>
      </c>
      <c r="X144" s="142" t="str">
        <f t="shared" ref="X144" si="1721">IF($A144="","",IF(W144="","",IF($K$4="Media aritmética",(W144&lt;=$B144)*($G$5/$B$5)+(W144&gt;$B144)*0,IF(ROUND(AVERAGE($C144,$E144,$G144,$I144,$K144,$M144,$O144,$Q144,$S144,$U144,$W144,$Y144,$AA144,$AC144,$AE144),2)-$B144/2&lt;=W144,IF(ROUND(AVERAGE($C144,$E144,$G144,$I144,$K144,$M144,$O144,$Q144,$S144,$U144,$W144,$Y144,$AA144,$AC144,$AE144),2)+$B144/2&gt;W144,($G$5/$B$5),0),0))))</f>
        <v/>
      </c>
      <c r="Y144" s="141" t="str">
        <f>IF($Y$8="Habilitado",IF($A144="","",ROUND(VLOOKUP($A144,'Presupuesto Consolidado'!#REF!,6,FALSE),2)),"")</f>
        <v/>
      </c>
      <c r="Z144" s="142" t="str">
        <f t="shared" ref="Z144" si="1722">IF($A144="","",IF(Y144="","",IF($K$4="Media aritmética",(Y144&lt;=$B144)*($G$5/$B$5)+(Y144&gt;$B144)*0,IF(ROUND(AVERAGE($C144,$E144,$G144,$I144,$K144,$M144,$O144,$Q144,$S144,$U144,$W144,$Y144,$AA144,$AC144,$AE144),2)-$B144/2&lt;=Y144,IF(ROUND(AVERAGE($C144,$E144,$G144,$I144,$K144,$M144,$O144,$Q144,$S144,$U144,$W144,$Y144,$AA144,$AC144,$AE144),2)+$B144/2&gt;Y144,($G$5/$B$5),0),0))))</f>
        <v/>
      </c>
      <c r="AA144" s="141" t="str">
        <f>IF($AA$8="Habilitado",IF($A144="","",ROUND(VLOOKUP($A144,'Presupuesto Consolidado'!#REF!,6,FALSE),2)),"")</f>
        <v/>
      </c>
      <c r="AB144" s="142" t="str">
        <f t="shared" ref="AB144" si="1723">IF($A144="","",IF(AA144="","",IF($K$4="Media aritmética",(AA144&lt;=$B144)*($G$5/$B$5)+(AA144&gt;$B144)*0,IF(ROUND(AVERAGE($C144,$E144,$G144,$I144,$K144,$M144,$O144,$Q144,$S144,$U144,$W144,$Y144,$AA144,$AC144,$AE144),2)-$B144/2&lt;=AA144,IF(ROUND(AVERAGE($C144,$E144,$G144,$I144,$K144,$M144,$O144,$Q144,$S144,$U144,$W144,$Y144,$AA144,$AC144,$AE144),2)+$B144/2&gt;AA144,($G$5/$B$5),0),0))))</f>
        <v/>
      </c>
      <c r="AC144" s="141" t="str">
        <f>IF($AC$8="Habilitado",IF($A144="","",ROUND(VLOOKUP($A144,'Presupuesto Consolidado'!#REF!,6,FALSE),2)),"")</f>
        <v/>
      </c>
      <c r="AD144" s="142" t="str">
        <f t="shared" ref="AD144" si="1724">IF($A144="","",IF(AC144="","",IF($K$4="Media aritmética",(AC144&lt;=$B144)*($G$5/$B$5)+(AC144&gt;$B144)*0,IF(ROUND(AVERAGE($C144,$E144,$G144,$I144,$K144,$M144,$O144,$Q144,$S144,$U144,$W144,$Y144,$AA144,$AC144,$AE144),2)-$B144/2&lt;=AC144,IF(ROUND(AVERAGE($C144,$E144,$G144,$I144,$K144,$M144,$O144,$Q144,$S144,$U144,$W144,$Y144,$AA144,$AC144,$AE144),2)+$B144/2&gt;AC144,($G$5/$B$5),0),0))))</f>
        <v/>
      </c>
      <c r="AE144" s="141" t="str">
        <f>IF($AE$8="Habilitado",IF($A144="","",ROUND(VLOOKUP($A144,'Presupuesto Consolidado'!#REF!,6,FALSE),2)),"")</f>
        <v/>
      </c>
      <c r="AF144" s="142" t="str">
        <f t="shared" ref="AF144" si="1725">IF($A144="","",IF(AE144="","",IF($K$4="Media aritmética",(AE144&lt;=$B144)*($G$5/$B$5)+(AE144&gt;$B144)*0,IF(ROUND(AVERAGE($C144,$E144,$G144,$I144,$K144,$M144,$O144,$Q144,$S144,$U144,$W144,$Y144,$AA144,$AC144,$AE144),2)-$B144/2&lt;=AE144,IF(ROUND(AVERAGE($C144,$E144,$G144,$I144,$K144,$M144,$O144,$Q144,$S144,$U144,$W144,$Y144,$AA144,$AC144,$AE144),2)+$B144/2&gt;AE144,($G$5/$B$5),0),0))))</f>
        <v/>
      </c>
    </row>
    <row r="145" spans="1:32" s="135" customFormat="1" ht="21" customHeight="1">
      <c r="A145" s="132" t="str">
        <f>+'Presupuesto Consolidado'!A170</f>
        <v>12.4.19</v>
      </c>
      <c r="B145" s="140">
        <f t="shared" ref="B145" si="1726">IF(A145="","",IF($K$4="Media aritmética",ROUND(AVERAGE(C145,E145,G145,I145,K145,M145,O145,Q145,S145,U145,W145,Y145,AA145,AC145,AE145),2),ROUND(_xlfn.STDEV.P(C145,E145,G145,I145,K145,M145,O145,Q145,S145,U145,W145,Y145,AA145,AC145,AE145),2)))</f>
        <v>822825</v>
      </c>
      <c r="C145" s="141">
        <f>IF($C$8="Habilitado",IF($A145="","",ROUND(VLOOKUP($A145,'Presupuesto Consolidado'!$A$9:$F$600,6,FALSE),2)),"")</f>
        <v>822825</v>
      </c>
      <c r="D145" s="142">
        <f t="shared" ref="D145" si="1727">IF($A145="","",IF(C145="","",IF($K$4="Media aritmética",(C145&lt;=$B145)*($G$5/$B$5)+(C145&gt;$B145)*0,IF(ROUND(AVERAGE($C145,$E145,$G145,$I145,$K145,$M145,$O145,$Q145,$S145,$U145,$W145,$Y145,$AA145,$AC145,$AE145),2)-$B145/2&lt;=C145,IF(ROUND(AVERAGE($C145,$E145,$G145,$I145,$K145,$M145,$O145,$Q145,$S145,$U145,$W145,$Y145,$AA145,$AC145,$AE145),2)+$B145/2&gt;C145,($G$5/$B$5),0),0))))</f>
        <v>0.45714285714285713</v>
      </c>
      <c r="E145" s="141" t="str">
        <f>IF($E$8="Habilitado",IF($A145="","",ROUND(VLOOKUP($A145,'Presupuesto Consolidado'!$I$9:$N$600,6,FALSE),2)),"")</f>
        <v/>
      </c>
      <c r="F145" s="142" t="str">
        <f t="shared" ref="F145" si="1728">IF($A145="","",IF(E145="","",IF($K$4="Media aritmética",(E145&lt;=$B145)*($G$5/$B$5)+(E145&gt;$B145)*0,IF(ROUND(AVERAGE($C145,$E145,$G145,$I145,$K145,$M145,$O145,$Q145,$S145,$U145,$W145,$Y145,$AA145,$AC145,$AE145),2)-$B145/2&lt;=E145,IF(ROUND(AVERAGE($C145,$E145,$G145,$I145,$K145,$M145,$O145,$Q145,$S145,$U145,$W145,$Y145,$AA145,$AC145,$AE145),2)+$B145/2&gt;E145,($G$5/$B$5),0),0))))</f>
        <v/>
      </c>
      <c r="G145" s="141" t="str">
        <f>IF($G$8="Habilitado",IF($A145="","",ROUND(VLOOKUP($A145,'Presupuesto Consolidado'!$Q$9:$V$600,6,FALSE),2)),"")</f>
        <v/>
      </c>
      <c r="H145" s="142" t="str">
        <f t="shared" ref="H145" si="1729">IF($A145="","",IF(G145="","",IF($K$4="Media aritmética",(G145&lt;=$B145)*($G$5/$B$5)+(G145&gt;$B145)*0,IF(ROUND(AVERAGE($C145,$E145,$G145,$I145,$K145,$M145,$O145,$Q145,$S145,$U145,$W145,$Y145,$AA145,$AC145,$AE145),2)-$B145/2&lt;=G145,IF(ROUND(AVERAGE($C145,$E145,$G145,$I145,$K145,$M145,$O145,$Q145,$S145,$U145,$W145,$Y145,$AA145,$AC145,$AE145),2)+$B145/2&gt;G145,($G$5/$B$5),0),0))))</f>
        <v/>
      </c>
      <c r="I145" s="141" t="str">
        <f>IF($I$8="Habilitado",IF($A145="","",ROUND(VLOOKUP($A145,'Presupuesto Consolidado'!$Y$9:$AD$600,6,FALSE),2)),"")</f>
        <v/>
      </c>
      <c r="J145" s="142" t="str">
        <f t="shared" ref="J145" si="1730">IF($A145="","",IF(I145="","",IF($K$4="Media aritmética",(I145&lt;=$B145)*($G$5/$B$5)+(I145&gt;$B145)*0,IF(ROUND(AVERAGE($C145,$E145,$G145,$I145,$K145,$M145,$O145,$Q145,$S145,$U145,$W145,$Y145,$AA145,$AC145,$AE145),2)-$B145/2&lt;=I145,IF(ROUND(AVERAGE($C145,$E145,$G145,$I145,$K145,$M145,$O145,$Q145,$S145,$U145,$W145,$Y145,$AA145,$AC145,$AE145),2)+$B145/2&gt;I145,($G$5/$B$5),0),0))))</f>
        <v/>
      </c>
      <c r="K145" s="141" t="str">
        <f>IF($K$8="Habilitado",IF($A145="","",ROUND(VLOOKUP($A145,'Presupuesto Consolidado'!#REF!,6,FALSE),2)),"")</f>
        <v/>
      </c>
      <c r="L145" s="142" t="str">
        <f t="shared" ref="L145" si="1731">IF($A145="","",IF(K145="","",IF($K$4="Media aritmética",(K145&lt;=$B145)*($G$5/$B$5)+(K145&gt;$B145)*0,IF(ROUND(AVERAGE($C145,$E145,$G145,$I145,$K145,$M145,$O145,$Q145,$S145,$U145,$W145,$Y145,$AA145,$AC145,$AE145),2)-$B145/2&lt;=K145,IF(ROUND(AVERAGE($C145,$E145,$G145,$I145,$K145,$M145,$O145,$Q145,$S145,$U145,$W145,$Y145,$AA145,$AC145,$AE145),2)+$B145/2&gt;K145,($G$5/$B$5),0),0))))</f>
        <v/>
      </c>
      <c r="M145" s="141" t="str">
        <f>IF($M$8="Habilitado",IF($A145="","",ROUND(VLOOKUP($A145,'Presupuesto Consolidado'!#REF!,6,FALSE),2)),"")</f>
        <v/>
      </c>
      <c r="N145" s="142" t="str">
        <f t="shared" ref="N145" si="1732">IF($A145="","",IF(M145="","",IF($K$4="Media aritmética",(M145&lt;=$B145)*($G$5/$B$5)+(M145&gt;$B145)*0,IF(ROUND(AVERAGE($C145,$E145,$G145,$I145,$K145,$M145,$O145,$Q145,$S145,$U145,$W145,$Y145,$AA145,$AC145,$AE145),2)-$B145/2&lt;=M145,IF(ROUND(AVERAGE($C145,$E145,$G145,$I145,$K145,$M145,$O145,$Q145,$S145,$U145,$W145,$Y145,$AA145,$AC145,$AE145),2)+$B145/2&gt;M145,($G$5/$B$5),0),0))))</f>
        <v/>
      </c>
      <c r="O145" s="141" t="str">
        <f>IF($O$8="Habilitado",IF($A145="","",ROUND(VLOOKUP($A145,'Presupuesto Consolidado'!#REF!,6,FALSE),2)),"")</f>
        <v/>
      </c>
      <c r="P145" s="142" t="str">
        <f t="shared" ref="P145" si="1733">IF($A145="","",IF(O145="","",IF($K$4="Media aritmética",(O145&lt;=$B145)*($G$5/$B$5)+(O145&gt;$B145)*0,IF(ROUND(AVERAGE($C145,$E145,$G145,$I145,$K145,$M145,$O145,$Q145,$S145,$U145,$W145,$Y145,$AA145,$AC145,$AE145),2)-$B145/2&lt;=O145,IF(ROUND(AVERAGE($C145,$E145,$G145,$I145,$K145,$M145,$O145,$Q145,$S145,$U145,$W145,$Y145,$AA145,$AC145,$AE145),2)+$B145/2&gt;O145,($G$5/$B$5),0),0))))</f>
        <v/>
      </c>
      <c r="Q145" s="141" t="str">
        <f>IF($Q$8="Habilitado",IF($A145="","",ROUND(VLOOKUP($A145,'Presupuesto Consolidado'!#REF!,6,FALSE),2)),"")</f>
        <v/>
      </c>
      <c r="R145" s="142" t="str">
        <f t="shared" ref="R145" si="1734">IF($A145="","",IF(Q145="","",IF($K$4="Media aritmética",(Q145&lt;=$B145)*($G$5/$B$5)+(Q145&gt;$B145)*0,IF(ROUND(AVERAGE($C145,$E145,$G145,$I145,$K145,$M145,$O145,$Q145,$S145,$U145,$W145,$Y145,$AA145,$AC145,$AE145),2)-$B145/2&lt;=Q145,IF(ROUND(AVERAGE($C145,$E145,$G145,$I145,$K145,$M145,$O145,$Q145,$S145,$U145,$W145,$Y145,$AA145,$AC145,$AE145),2)+$B145/2&gt;Q145,($G$5/$B$5),0),0))))</f>
        <v/>
      </c>
      <c r="S145" s="141" t="str">
        <f>IF($S$8="Habilitado",IF($A145="","",ROUND(VLOOKUP($A145,'Presupuesto Consolidado'!#REF!,6,FALSE),2)),"")</f>
        <v/>
      </c>
      <c r="T145" s="142" t="str">
        <f t="shared" ref="T145" si="1735">IF($A145="","",IF(S145="","",IF($K$4="Media aritmética",(S145&lt;=$B145)*($G$5/$B$5)+(S145&gt;$B145)*0,IF(ROUND(AVERAGE($C145,$E145,$G145,$I145,$K145,$M145,$O145,$Q145,$S145,$U145,$W145,$Y145,$AA145,$AC145,$AE145),2)-$B145/2&lt;=S145,IF(ROUND(AVERAGE($C145,$E145,$G145,$I145,$K145,$M145,$O145,$Q145,$S145,$U145,$W145,$Y145,$AA145,$AC145,$AE145),2)+$B145/2&gt;S145,($G$5/$B$5),0),0))))</f>
        <v/>
      </c>
      <c r="U145" s="141" t="str">
        <f>IF($U$8="Habilitado",IF($A145="","",ROUND(VLOOKUP($A145,'Presupuesto Consolidado'!#REF!,6,FALSE),2)),"")</f>
        <v/>
      </c>
      <c r="V145" s="142" t="str">
        <f t="shared" ref="V145" si="1736">IF($A145="","",IF(U145="","",IF($K$4="Media aritmética",(U145&lt;=$B145)*($G$5/$B$5)+(U145&gt;$B145)*0,IF(ROUND(AVERAGE($C145,$E145,$G145,$I145,$K145,$M145,$O145,$Q145,$S145,$U145,$W145,$Y145,$AA145,$AC145,$AE145),2)-$B145/2&lt;=U145,IF(ROUND(AVERAGE($C145,$E145,$G145,$I145,$K145,$M145,$O145,$Q145,$S145,$U145,$W145,$Y145,$AA145,$AC145,$AE145),2)+$B145/2&gt;U145,($G$5/$B$5),0),0))))</f>
        <v/>
      </c>
      <c r="W145" s="141" t="str">
        <f>IF($W$8="Habilitado",IF($A145="","",ROUND(VLOOKUP($A145,'Presupuesto Consolidado'!#REF!,6,FALSE),2)),"")</f>
        <v/>
      </c>
      <c r="X145" s="142" t="str">
        <f t="shared" ref="X145" si="1737">IF($A145="","",IF(W145="","",IF($K$4="Media aritmética",(W145&lt;=$B145)*($G$5/$B$5)+(W145&gt;$B145)*0,IF(ROUND(AVERAGE($C145,$E145,$G145,$I145,$K145,$M145,$O145,$Q145,$S145,$U145,$W145,$Y145,$AA145,$AC145,$AE145),2)-$B145/2&lt;=W145,IF(ROUND(AVERAGE($C145,$E145,$G145,$I145,$K145,$M145,$O145,$Q145,$S145,$U145,$W145,$Y145,$AA145,$AC145,$AE145),2)+$B145/2&gt;W145,($G$5/$B$5),0),0))))</f>
        <v/>
      </c>
      <c r="Y145" s="141" t="str">
        <f>IF($Y$8="Habilitado",IF($A145="","",ROUND(VLOOKUP($A145,'Presupuesto Consolidado'!#REF!,6,FALSE),2)),"")</f>
        <v/>
      </c>
      <c r="Z145" s="142" t="str">
        <f t="shared" ref="Z145" si="1738">IF($A145="","",IF(Y145="","",IF($K$4="Media aritmética",(Y145&lt;=$B145)*($G$5/$B$5)+(Y145&gt;$B145)*0,IF(ROUND(AVERAGE($C145,$E145,$G145,$I145,$K145,$M145,$O145,$Q145,$S145,$U145,$W145,$Y145,$AA145,$AC145,$AE145),2)-$B145/2&lt;=Y145,IF(ROUND(AVERAGE($C145,$E145,$G145,$I145,$K145,$M145,$O145,$Q145,$S145,$U145,$W145,$Y145,$AA145,$AC145,$AE145),2)+$B145/2&gt;Y145,($G$5/$B$5),0),0))))</f>
        <v/>
      </c>
      <c r="AA145" s="141" t="str">
        <f>IF($AA$8="Habilitado",IF($A145="","",ROUND(VLOOKUP($A145,'Presupuesto Consolidado'!#REF!,6,FALSE),2)),"")</f>
        <v/>
      </c>
      <c r="AB145" s="142" t="str">
        <f t="shared" ref="AB145" si="1739">IF($A145="","",IF(AA145="","",IF($K$4="Media aritmética",(AA145&lt;=$B145)*($G$5/$B$5)+(AA145&gt;$B145)*0,IF(ROUND(AVERAGE($C145,$E145,$G145,$I145,$K145,$M145,$O145,$Q145,$S145,$U145,$W145,$Y145,$AA145,$AC145,$AE145),2)-$B145/2&lt;=AA145,IF(ROUND(AVERAGE($C145,$E145,$G145,$I145,$K145,$M145,$O145,$Q145,$S145,$U145,$W145,$Y145,$AA145,$AC145,$AE145),2)+$B145/2&gt;AA145,($G$5/$B$5),0),0))))</f>
        <v/>
      </c>
      <c r="AC145" s="141" t="str">
        <f>IF($AC$8="Habilitado",IF($A145="","",ROUND(VLOOKUP($A145,'Presupuesto Consolidado'!#REF!,6,FALSE),2)),"")</f>
        <v/>
      </c>
      <c r="AD145" s="142" t="str">
        <f t="shared" ref="AD145" si="1740">IF($A145="","",IF(AC145="","",IF($K$4="Media aritmética",(AC145&lt;=$B145)*($G$5/$B$5)+(AC145&gt;$B145)*0,IF(ROUND(AVERAGE($C145,$E145,$G145,$I145,$K145,$M145,$O145,$Q145,$S145,$U145,$W145,$Y145,$AA145,$AC145,$AE145),2)-$B145/2&lt;=AC145,IF(ROUND(AVERAGE($C145,$E145,$G145,$I145,$K145,$M145,$O145,$Q145,$S145,$U145,$W145,$Y145,$AA145,$AC145,$AE145),2)+$B145/2&gt;AC145,($G$5/$B$5),0),0))))</f>
        <v/>
      </c>
      <c r="AE145" s="141" t="str">
        <f>IF($AE$8="Habilitado",IF($A145="","",ROUND(VLOOKUP($A145,'Presupuesto Consolidado'!#REF!,6,FALSE),2)),"")</f>
        <v/>
      </c>
      <c r="AF145" s="142" t="str">
        <f t="shared" ref="AF145" si="1741">IF($A145="","",IF(AE145="","",IF($K$4="Media aritmética",(AE145&lt;=$B145)*($G$5/$B$5)+(AE145&gt;$B145)*0,IF(ROUND(AVERAGE($C145,$E145,$G145,$I145,$K145,$M145,$O145,$Q145,$S145,$U145,$W145,$Y145,$AA145,$AC145,$AE145),2)-$B145/2&lt;=AE145,IF(ROUND(AVERAGE($C145,$E145,$G145,$I145,$K145,$M145,$O145,$Q145,$S145,$U145,$W145,$Y145,$AA145,$AC145,$AE145),2)+$B145/2&gt;AE145,($G$5/$B$5),0),0))))</f>
        <v/>
      </c>
    </row>
    <row r="146" spans="1:32" s="135" customFormat="1" ht="21" customHeight="1">
      <c r="A146" s="132" t="str">
        <f>+'Presupuesto Consolidado'!A171</f>
        <v>12.4.20</v>
      </c>
      <c r="B146" s="140">
        <f t="shared" ref="B146" si="1742">IF(A146="","",IF($K$4="Media aritmética",ROUND(AVERAGE(C146,E146,G146,I146,K146,M146,O146,Q146,S146,U146,W146,Y146,AA146,AC146,AE146),2),ROUND(_xlfn.STDEV.P(C146,E146,G146,I146,K146,M146,O146,Q146,S146,U146,W146,Y146,AA146,AC146,AE146),2)))</f>
        <v>284625</v>
      </c>
      <c r="C146" s="141">
        <f>IF($C$8="Habilitado",IF($A146="","",ROUND(VLOOKUP($A146,'Presupuesto Consolidado'!$A$9:$F$600,6,FALSE),2)),"")</f>
        <v>284625</v>
      </c>
      <c r="D146" s="142">
        <f t="shared" ref="D146" si="1743">IF($A146="","",IF(C146="","",IF($K$4="Media aritmética",(C146&lt;=$B146)*($G$5/$B$5)+(C146&gt;$B146)*0,IF(ROUND(AVERAGE($C146,$E146,$G146,$I146,$K146,$M146,$O146,$Q146,$S146,$U146,$W146,$Y146,$AA146,$AC146,$AE146),2)-$B146/2&lt;=C146,IF(ROUND(AVERAGE($C146,$E146,$G146,$I146,$K146,$M146,$O146,$Q146,$S146,$U146,$W146,$Y146,$AA146,$AC146,$AE146),2)+$B146/2&gt;C146,($G$5/$B$5),0),0))))</f>
        <v>0.45714285714285713</v>
      </c>
      <c r="E146" s="141" t="str">
        <f>IF($E$8="Habilitado",IF($A146="","",ROUND(VLOOKUP($A146,'Presupuesto Consolidado'!$I$9:$N$600,6,FALSE),2)),"")</f>
        <v/>
      </c>
      <c r="F146" s="142" t="str">
        <f t="shared" ref="F146" si="1744">IF($A146="","",IF(E146="","",IF($K$4="Media aritmética",(E146&lt;=$B146)*($G$5/$B$5)+(E146&gt;$B146)*0,IF(ROUND(AVERAGE($C146,$E146,$G146,$I146,$K146,$M146,$O146,$Q146,$S146,$U146,$W146,$Y146,$AA146,$AC146,$AE146),2)-$B146/2&lt;=E146,IF(ROUND(AVERAGE($C146,$E146,$G146,$I146,$K146,$M146,$O146,$Q146,$S146,$U146,$W146,$Y146,$AA146,$AC146,$AE146),2)+$B146/2&gt;E146,($G$5/$B$5),0),0))))</f>
        <v/>
      </c>
      <c r="G146" s="141" t="str">
        <f>IF($G$8="Habilitado",IF($A146="","",ROUND(VLOOKUP($A146,'Presupuesto Consolidado'!$Q$9:$V$600,6,FALSE),2)),"")</f>
        <v/>
      </c>
      <c r="H146" s="142" t="str">
        <f t="shared" ref="H146" si="1745">IF($A146="","",IF(G146="","",IF($K$4="Media aritmética",(G146&lt;=$B146)*($G$5/$B$5)+(G146&gt;$B146)*0,IF(ROUND(AVERAGE($C146,$E146,$G146,$I146,$K146,$M146,$O146,$Q146,$S146,$U146,$W146,$Y146,$AA146,$AC146,$AE146),2)-$B146/2&lt;=G146,IF(ROUND(AVERAGE($C146,$E146,$G146,$I146,$K146,$M146,$O146,$Q146,$S146,$U146,$W146,$Y146,$AA146,$AC146,$AE146),2)+$B146/2&gt;G146,($G$5/$B$5),0),0))))</f>
        <v/>
      </c>
      <c r="I146" s="141" t="str">
        <f>IF($I$8="Habilitado",IF($A146="","",ROUND(VLOOKUP($A146,'Presupuesto Consolidado'!$Y$9:$AD$600,6,FALSE),2)),"")</f>
        <v/>
      </c>
      <c r="J146" s="142" t="str">
        <f t="shared" ref="J146" si="1746">IF($A146="","",IF(I146="","",IF($K$4="Media aritmética",(I146&lt;=$B146)*($G$5/$B$5)+(I146&gt;$B146)*0,IF(ROUND(AVERAGE($C146,$E146,$G146,$I146,$K146,$M146,$O146,$Q146,$S146,$U146,$W146,$Y146,$AA146,$AC146,$AE146),2)-$B146/2&lt;=I146,IF(ROUND(AVERAGE($C146,$E146,$G146,$I146,$K146,$M146,$O146,$Q146,$S146,$U146,$W146,$Y146,$AA146,$AC146,$AE146),2)+$B146/2&gt;I146,($G$5/$B$5),0),0))))</f>
        <v/>
      </c>
      <c r="K146" s="141" t="str">
        <f>IF($K$8="Habilitado",IF($A146="","",ROUND(VLOOKUP($A146,'Presupuesto Consolidado'!#REF!,6,FALSE),2)),"")</f>
        <v/>
      </c>
      <c r="L146" s="142" t="str">
        <f t="shared" ref="L146" si="1747">IF($A146="","",IF(K146="","",IF($K$4="Media aritmética",(K146&lt;=$B146)*($G$5/$B$5)+(K146&gt;$B146)*0,IF(ROUND(AVERAGE($C146,$E146,$G146,$I146,$K146,$M146,$O146,$Q146,$S146,$U146,$W146,$Y146,$AA146,$AC146,$AE146),2)-$B146/2&lt;=K146,IF(ROUND(AVERAGE($C146,$E146,$G146,$I146,$K146,$M146,$O146,$Q146,$S146,$U146,$W146,$Y146,$AA146,$AC146,$AE146),2)+$B146/2&gt;K146,($G$5/$B$5),0),0))))</f>
        <v/>
      </c>
      <c r="M146" s="141" t="str">
        <f>IF($M$8="Habilitado",IF($A146="","",ROUND(VLOOKUP($A146,'Presupuesto Consolidado'!#REF!,6,FALSE),2)),"")</f>
        <v/>
      </c>
      <c r="N146" s="142" t="str">
        <f t="shared" ref="N146" si="1748">IF($A146="","",IF(M146="","",IF($K$4="Media aritmética",(M146&lt;=$B146)*($G$5/$B$5)+(M146&gt;$B146)*0,IF(ROUND(AVERAGE($C146,$E146,$G146,$I146,$K146,$M146,$O146,$Q146,$S146,$U146,$W146,$Y146,$AA146,$AC146,$AE146),2)-$B146/2&lt;=M146,IF(ROUND(AVERAGE($C146,$E146,$G146,$I146,$K146,$M146,$O146,$Q146,$S146,$U146,$W146,$Y146,$AA146,$AC146,$AE146),2)+$B146/2&gt;M146,($G$5/$B$5),0),0))))</f>
        <v/>
      </c>
      <c r="O146" s="141" t="str">
        <f>IF($O$8="Habilitado",IF($A146="","",ROUND(VLOOKUP($A146,'Presupuesto Consolidado'!#REF!,6,FALSE),2)),"")</f>
        <v/>
      </c>
      <c r="P146" s="142" t="str">
        <f t="shared" ref="P146" si="1749">IF($A146="","",IF(O146="","",IF($K$4="Media aritmética",(O146&lt;=$B146)*($G$5/$B$5)+(O146&gt;$B146)*0,IF(ROUND(AVERAGE($C146,$E146,$G146,$I146,$K146,$M146,$O146,$Q146,$S146,$U146,$W146,$Y146,$AA146,$AC146,$AE146),2)-$B146/2&lt;=O146,IF(ROUND(AVERAGE($C146,$E146,$G146,$I146,$K146,$M146,$O146,$Q146,$S146,$U146,$W146,$Y146,$AA146,$AC146,$AE146),2)+$B146/2&gt;O146,($G$5/$B$5),0),0))))</f>
        <v/>
      </c>
      <c r="Q146" s="141" t="str">
        <f>IF($Q$8="Habilitado",IF($A146="","",ROUND(VLOOKUP($A146,'Presupuesto Consolidado'!#REF!,6,FALSE),2)),"")</f>
        <v/>
      </c>
      <c r="R146" s="142" t="str">
        <f t="shared" ref="R146" si="1750">IF($A146="","",IF(Q146="","",IF($K$4="Media aritmética",(Q146&lt;=$B146)*($G$5/$B$5)+(Q146&gt;$B146)*0,IF(ROUND(AVERAGE($C146,$E146,$G146,$I146,$K146,$M146,$O146,$Q146,$S146,$U146,$W146,$Y146,$AA146,$AC146,$AE146),2)-$B146/2&lt;=Q146,IF(ROUND(AVERAGE($C146,$E146,$G146,$I146,$K146,$M146,$O146,$Q146,$S146,$U146,$W146,$Y146,$AA146,$AC146,$AE146),2)+$B146/2&gt;Q146,($G$5/$B$5),0),0))))</f>
        <v/>
      </c>
      <c r="S146" s="141" t="str">
        <f>IF($S$8="Habilitado",IF($A146="","",ROUND(VLOOKUP($A146,'Presupuesto Consolidado'!#REF!,6,FALSE),2)),"")</f>
        <v/>
      </c>
      <c r="T146" s="142" t="str">
        <f t="shared" ref="T146" si="1751">IF($A146="","",IF(S146="","",IF($K$4="Media aritmética",(S146&lt;=$B146)*($G$5/$B$5)+(S146&gt;$B146)*0,IF(ROUND(AVERAGE($C146,$E146,$G146,$I146,$K146,$M146,$O146,$Q146,$S146,$U146,$W146,$Y146,$AA146,$AC146,$AE146),2)-$B146/2&lt;=S146,IF(ROUND(AVERAGE($C146,$E146,$G146,$I146,$K146,$M146,$O146,$Q146,$S146,$U146,$W146,$Y146,$AA146,$AC146,$AE146),2)+$B146/2&gt;S146,($G$5/$B$5),0),0))))</f>
        <v/>
      </c>
      <c r="U146" s="141" t="str">
        <f>IF($U$8="Habilitado",IF($A146="","",ROUND(VLOOKUP($A146,'Presupuesto Consolidado'!#REF!,6,FALSE),2)),"")</f>
        <v/>
      </c>
      <c r="V146" s="142" t="str">
        <f t="shared" ref="V146" si="1752">IF($A146="","",IF(U146="","",IF($K$4="Media aritmética",(U146&lt;=$B146)*($G$5/$B$5)+(U146&gt;$B146)*0,IF(ROUND(AVERAGE($C146,$E146,$G146,$I146,$K146,$M146,$O146,$Q146,$S146,$U146,$W146,$Y146,$AA146,$AC146,$AE146),2)-$B146/2&lt;=U146,IF(ROUND(AVERAGE($C146,$E146,$G146,$I146,$K146,$M146,$O146,$Q146,$S146,$U146,$W146,$Y146,$AA146,$AC146,$AE146),2)+$B146/2&gt;U146,($G$5/$B$5),0),0))))</f>
        <v/>
      </c>
      <c r="W146" s="141" t="str">
        <f>IF($W$8="Habilitado",IF($A146="","",ROUND(VLOOKUP($A146,'Presupuesto Consolidado'!#REF!,6,FALSE),2)),"")</f>
        <v/>
      </c>
      <c r="X146" s="142" t="str">
        <f t="shared" ref="X146" si="1753">IF($A146="","",IF(W146="","",IF($K$4="Media aritmética",(W146&lt;=$B146)*($G$5/$B$5)+(W146&gt;$B146)*0,IF(ROUND(AVERAGE($C146,$E146,$G146,$I146,$K146,$M146,$O146,$Q146,$S146,$U146,$W146,$Y146,$AA146,$AC146,$AE146),2)-$B146/2&lt;=W146,IF(ROUND(AVERAGE($C146,$E146,$G146,$I146,$K146,$M146,$O146,$Q146,$S146,$U146,$W146,$Y146,$AA146,$AC146,$AE146),2)+$B146/2&gt;W146,($G$5/$B$5),0),0))))</f>
        <v/>
      </c>
      <c r="Y146" s="141" t="str">
        <f>IF($Y$8="Habilitado",IF($A146="","",ROUND(VLOOKUP($A146,'Presupuesto Consolidado'!#REF!,6,FALSE),2)),"")</f>
        <v/>
      </c>
      <c r="Z146" s="142" t="str">
        <f t="shared" ref="Z146" si="1754">IF($A146="","",IF(Y146="","",IF($K$4="Media aritmética",(Y146&lt;=$B146)*($G$5/$B$5)+(Y146&gt;$B146)*0,IF(ROUND(AVERAGE($C146,$E146,$G146,$I146,$K146,$M146,$O146,$Q146,$S146,$U146,$W146,$Y146,$AA146,$AC146,$AE146),2)-$B146/2&lt;=Y146,IF(ROUND(AVERAGE($C146,$E146,$G146,$I146,$K146,$M146,$O146,$Q146,$S146,$U146,$W146,$Y146,$AA146,$AC146,$AE146),2)+$B146/2&gt;Y146,($G$5/$B$5),0),0))))</f>
        <v/>
      </c>
      <c r="AA146" s="141" t="str">
        <f>IF($AA$8="Habilitado",IF($A146="","",ROUND(VLOOKUP($A146,'Presupuesto Consolidado'!#REF!,6,FALSE),2)),"")</f>
        <v/>
      </c>
      <c r="AB146" s="142" t="str">
        <f t="shared" ref="AB146" si="1755">IF($A146="","",IF(AA146="","",IF($K$4="Media aritmética",(AA146&lt;=$B146)*($G$5/$B$5)+(AA146&gt;$B146)*0,IF(ROUND(AVERAGE($C146,$E146,$G146,$I146,$K146,$M146,$O146,$Q146,$S146,$U146,$W146,$Y146,$AA146,$AC146,$AE146),2)-$B146/2&lt;=AA146,IF(ROUND(AVERAGE($C146,$E146,$G146,$I146,$K146,$M146,$O146,$Q146,$S146,$U146,$W146,$Y146,$AA146,$AC146,$AE146),2)+$B146/2&gt;AA146,($G$5/$B$5),0),0))))</f>
        <v/>
      </c>
      <c r="AC146" s="141" t="str">
        <f>IF($AC$8="Habilitado",IF($A146="","",ROUND(VLOOKUP($A146,'Presupuesto Consolidado'!#REF!,6,FALSE),2)),"")</f>
        <v/>
      </c>
      <c r="AD146" s="142" t="str">
        <f t="shared" ref="AD146" si="1756">IF($A146="","",IF(AC146="","",IF($K$4="Media aritmética",(AC146&lt;=$B146)*($G$5/$B$5)+(AC146&gt;$B146)*0,IF(ROUND(AVERAGE($C146,$E146,$G146,$I146,$K146,$M146,$O146,$Q146,$S146,$U146,$W146,$Y146,$AA146,$AC146,$AE146),2)-$B146/2&lt;=AC146,IF(ROUND(AVERAGE($C146,$E146,$G146,$I146,$K146,$M146,$O146,$Q146,$S146,$U146,$W146,$Y146,$AA146,$AC146,$AE146),2)+$B146/2&gt;AC146,($G$5/$B$5),0),0))))</f>
        <v/>
      </c>
      <c r="AE146" s="141" t="str">
        <f>IF($AE$8="Habilitado",IF($A146="","",ROUND(VLOOKUP($A146,'Presupuesto Consolidado'!#REF!,6,FALSE),2)),"")</f>
        <v/>
      </c>
      <c r="AF146" s="142" t="str">
        <f t="shared" ref="AF146" si="1757">IF($A146="","",IF(AE146="","",IF($K$4="Media aritmética",(AE146&lt;=$B146)*($G$5/$B$5)+(AE146&gt;$B146)*0,IF(ROUND(AVERAGE($C146,$E146,$G146,$I146,$K146,$M146,$O146,$Q146,$S146,$U146,$W146,$Y146,$AA146,$AC146,$AE146),2)-$B146/2&lt;=AE146,IF(ROUND(AVERAGE($C146,$E146,$G146,$I146,$K146,$M146,$O146,$Q146,$S146,$U146,$W146,$Y146,$AA146,$AC146,$AE146),2)+$B146/2&gt;AE146,($G$5/$B$5),0),0))))</f>
        <v/>
      </c>
    </row>
    <row r="147" spans="1:32" s="135" customFormat="1" ht="21" customHeight="1">
      <c r="A147" s="132" t="str">
        <f>+'Presupuesto Consolidado'!A172</f>
        <v>12.4.21</v>
      </c>
      <c r="B147" s="140">
        <f t="shared" ref="B147" si="1758">IF(A147="","",IF($K$4="Media aritmética",ROUND(AVERAGE(C147,E147,G147,I147,K147,M147,O147,Q147,S147,U147,W147,Y147,AA147,AC147,AE147),2),ROUND(_xlfn.STDEV.P(C147,E147,G147,I147,K147,M147,O147,Q147,S147,U147,W147,Y147,AA147,AC147,AE147),2)))</f>
        <v>698625</v>
      </c>
      <c r="C147" s="141">
        <f>IF($C$8="Habilitado",IF($A147="","",ROUND(VLOOKUP($A147,'Presupuesto Consolidado'!$A$9:$F$600,6,FALSE),2)),"")</f>
        <v>698625</v>
      </c>
      <c r="D147" s="142">
        <f t="shared" ref="D147" si="1759">IF($A147="","",IF(C147="","",IF($K$4="Media aritmética",(C147&lt;=$B147)*($G$5/$B$5)+(C147&gt;$B147)*0,IF(ROUND(AVERAGE($C147,$E147,$G147,$I147,$K147,$M147,$O147,$Q147,$S147,$U147,$W147,$Y147,$AA147,$AC147,$AE147),2)-$B147/2&lt;=C147,IF(ROUND(AVERAGE($C147,$E147,$G147,$I147,$K147,$M147,$O147,$Q147,$S147,$U147,$W147,$Y147,$AA147,$AC147,$AE147),2)+$B147/2&gt;C147,($G$5/$B$5),0),0))))</f>
        <v>0.45714285714285713</v>
      </c>
      <c r="E147" s="141" t="str">
        <f>IF($E$8="Habilitado",IF($A147="","",ROUND(VLOOKUP($A147,'Presupuesto Consolidado'!$I$9:$N$600,6,FALSE),2)),"")</f>
        <v/>
      </c>
      <c r="F147" s="142" t="str">
        <f t="shared" ref="F147" si="1760">IF($A147="","",IF(E147="","",IF($K$4="Media aritmética",(E147&lt;=$B147)*($G$5/$B$5)+(E147&gt;$B147)*0,IF(ROUND(AVERAGE($C147,$E147,$G147,$I147,$K147,$M147,$O147,$Q147,$S147,$U147,$W147,$Y147,$AA147,$AC147,$AE147),2)-$B147/2&lt;=E147,IF(ROUND(AVERAGE($C147,$E147,$G147,$I147,$K147,$M147,$O147,$Q147,$S147,$U147,$W147,$Y147,$AA147,$AC147,$AE147),2)+$B147/2&gt;E147,($G$5/$B$5),0),0))))</f>
        <v/>
      </c>
      <c r="G147" s="141" t="str">
        <f>IF($G$8="Habilitado",IF($A147="","",ROUND(VLOOKUP($A147,'Presupuesto Consolidado'!$Q$9:$V$600,6,FALSE),2)),"")</f>
        <v/>
      </c>
      <c r="H147" s="142" t="str">
        <f t="shared" ref="H147" si="1761">IF($A147="","",IF(G147="","",IF($K$4="Media aritmética",(G147&lt;=$B147)*($G$5/$B$5)+(G147&gt;$B147)*0,IF(ROUND(AVERAGE($C147,$E147,$G147,$I147,$K147,$M147,$O147,$Q147,$S147,$U147,$W147,$Y147,$AA147,$AC147,$AE147),2)-$B147/2&lt;=G147,IF(ROUND(AVERAGE($C147,$E147,$G147,$I147,$K147,$M147,$O147,$Q147,$S147,$U147,$W147,$Y147,$AA147,$AC147,$AE147),2)+$B147/2&gt;G147,($G$5/$B$5),0),0))))</f>
        <v/>
      </c>
      <c r="I147" s="141" t="str">
        <f>IF($I$8="Habilitado",IF($A147="","",ROUND(VLOOKUP($A147,'Presupuesto Consolidado'!$Y$9:$AD$600,6,FALSE),2)),"")</f>
        <v/>
      </c>
      <c r="J147" s="142" t="str">
        <f t="shared" ref="J147" si="1762">IF($A147="","",IF(I147="","",IF($K$4="Media aritmética",(I147&lt;=$B147)*($G$5/$B$5)+(I147&gt;$B147)*0,IF(ROUND(AVERAGE($C147,$E147,$G147,$I147,$K147,$M147,$O147,$Q147,$S147,$U147,$W147,$Y147,$AA147,$AC147,$AE147),2)-$B147/2&lt;=I147,IF(ROUND(AVERAGE($C147,$E147,$G147,$I147,$K147,$M147,$O147,$Q147,$S147,$U147,$W147,$Y147,$AA147,$AC147,$AE147),2)+$B147/2&gt;I147,($G$5/$B$5),0),0))))</f>
        <v/>
      </c>
      <c r="K147" s="141" t="str">
        <f>IF($K$8="Habilitado",IF($A147="","",ROUND(VLOOKUP($A147,'Presupuesto Consolidado'!#REF!,6,FALSE),2)),"")</f>
        <v/>
      </c>
      <c r="L147" s="142" t="str">
        <f t="shared" ref="L147" si="1763">IF($A147="","",IF(K147="","",IF($K$4="Media aritmética",(K147&lt;=$B147)*($G$5/$B$5)+(K147&gt;$B147)*0,IF(ROUND(AVERAGE($C147,$E147,$G147,$I147,$K147,$M147,$O147,$Q147,$S147,$U147,$W147,$Y147,$AA147,$AC147,$AE147),2)-$B147/2&lt;=K147,IF(ROUND(AVERAGE($C147,$E147,$G147,$I147,$K147,$M147,$O147,$Q147,$S147,$U147,$W147,$Y147,$AA147,$AC147,$AE147),2)+$B147/2&gt;K147,($G$5/$B$5),0),0))))</f>
        <v/>
      </c>
      <c r="M147" s="141" t="str">
        <f>IF($M$8="Habilitado",IF($A147="","",ROUND(VLOOKUP($A147,'Presupuesto Consolidado'!#REF!,6,FALSE),2)),"")</f>
        <v/>
      </c>
      <c r="N147" s="142" t="str">
        <f t="shared" ref="N147" si="1764">IF($A147="","",IF(M147="","",IF($K$4="Media aritmética",(M147&lt;=$B147)*($G$5/$B$5)+(M147&gt;$B147)*0,IF(ROUND(AVERAGE($C147,$E147,$G147,$I147,$K147,$M147,$O147,$Q147,$S147,$U147,$W147,$Y147,$AA147,$AC147,$AE147),2)-$B147/2&lt;=M147,IF(ROUND(AVERAGE($C147,$E147,$G147,$I147,$K147,$M147,$O147,$Q147,$S147,$U147,$W147,$Y147,$AA147,$AC147,$AE147),2)+$B147/2&gt;M147,($G$5/$B$5),0),0))))</f>
        <v/>
      </c>
      <c r="O147" s="141" t="str">
        <f>IF($O$8="Habilitado",IF($A147="","",ROUND(VLOOKUP($A147,'Presupuesto Consolidado'!#REF!,6,FALSE),2)),"")</f>
        <v/>
      </c>
      <c r="P147" s="142" t="str">
        <f t="shared" ref="P147" si="1765">IF($A147="","",IF(O147="","",IF($K$4="Media aritmética",(O147&lt;=$B147)*($G$5/$B$5)+(O147&gt;$B147)*0,IF(ROUND(AVERAGE($C147,$E147,$G147,$I147,$K147,$M147,$O147,$Q147,$S147,$U147,$W147,$Y147,$AA147,$AC147,$AE147),2)-$B147/2&lt;=O147,IF(ROUND(AVERAGE($C147,$E147,$G147,$I147,$K147,$M147,$O147,$Q147,$S147,$U147,$W147,$Y147,$AA147,$AC147,$AE147),2)+$B147/2&gt;O147,($G$5/$B$5),0),0))))</f>
        <v/>
      </c>
      <c r="Q147" s="141" t="str">
        <f>IF($Q$8="Habilitado",IF($A147="","",ROUND(VLOOKUP($A147,'Presupuesto Consolidado'!#REF!,6,FALSE),2)),"")</f>
        <v/>
      </c>
      <c r="R147" s="142" t="str">
        <f t="shared" ref="R147" si="1766">IF($A147="","",IF(Q147="","",IF($K$4="Media aritmética",(Q147&lt;=$B147)*($G$5/$B$5)+(Q147&gt;$B147)*0,IF(ROUND(AVERAGE($C147,$E147,$G147,$I147,$K147,$M147,$O147,$Q147,$S147,$U147,$W147,$Y147,$AA147,$AC147,$AE147),2)-$B147/2&lt;=Q147,IF(ROUND(AVERAGE($C147,$E147,$G147,$I147,$K147,$M147,$O147,$Q147,$S147,$U147,$W147,$Y147,$AA147,$AC147,$AE147),2)+$B147/2&gt;Q147,($G$5/$B$5),0),0))))</f>
        <v/>
      </c>
      <c r="S147" s="141" t="str">
        <f>IF($S$8="Habilitado",IF($A147="","",ROUND(VLOOKUP($A147,'Presupuesto Consolidado'!#REF!,6,FALSE),2)),"")</f>
        <v/>
      </c>
      <c r="T147" s="142" t="str">
        <f t="shared" ref="T147" si="1767">IF($A147="","",IF(S147="","",IF($K$4="Media aritmética",(S147&lt;=$B147)*($G$5/$B$5)+(S147&gt;$B147)*0,IF(ROUND(AVERAGE($C147,$E147,$G147,$I147,$K147,$M147,$O147,$Q147,$S147,$U147,$W147,$Y147,$AA147,$AC147,$AE147),2)-$B147/2&lt;=S147,IF(ROUND(AVERAGE($C147,$E147,$G147,$I147,$K147,$M147,$O147,$Q147,$S147,$U147,$W147,$Y147,$AA147,$AC147,$AE147),2)+$B147/2&gt;S147,($G$5/$B$5),0),0))))</f>
        <v/>
      </c>
      <c r="U147" s="141" t="str">
        <f>IF($U$8="Habilitado",IF($A147="","",ROUND(VLOOKUP($A147,'Presupuesto Consolidado'!#REF!,6,FALSE),2)),"")</f>
        <v/>
      </c>
      <c r="V147" s="142" t="str">
        <f t="shared" ref="V147" si="1768">IF($A147="","",IF(U147="","",IF($K$4="Media aritmética",(U147&lt;=$B147)*($G$5/$B$5)+(U147&gt;$B147)*0,IF(ROUND(AVERAGE($C147,$E147,$G147,$I147,$K147,$M147,$O147,$Q147,$S147,$U147,$W147,$Y147,$AA147,$AC147,$AE147),2)-$B147/2&lt;=U147,IF(ROUND(AVERAGE($C147,$E147,$G147,$I147,$K147,$M147,$O147,$Q147,$S147,$U147,$W147,$Y147,$AA147,$AC147,$AE147),2)+$B147/2&gt;U147,($G$5/$B$5),0),0))))</f>
        <v/>
      </c>
      <c r="W147" s="141" t="str">
        <f>IF($W$8="Habilitado",IF($A147="","",ROUND(VLOOKUP($A147,'Presupuesto Consolidado'!#REF!,6,FALSE),2)),"")</f>
        <v/>
      </c>
      <c r="X147" s="142" t="str">
        <f t="shared" ref="X147" si="1769">IF($A147="","",IF(W147="","",IF($K$4="Media aritmética",(W147&lt;=$B147)*($G$5/$B$5)+(W147&gt;$B147)*0,IF(ROUND(AVERAGE($C147,$E147,$G147,$I147,$K147,$M147,$O147,$Q147,$S147,$U147,$W147,$Y147,$AA147,$AC147,$AE147),2)-$B147/2&lt;=W147,IF(ROUND(AVERAGE($C147,$E147,$G147,$I147,$K147,$M147,$O147,$Q147,$S147,$U147,$W147,$Y147,$AA147,$AC147,$AE147),2)+$B147/2&gt;W147,($G$5/$B$5),0),0))))</f>
        <v/>
      </c>
      <c r="Y147" s="141" t="str">
        <f>IF($Y$8="Habilitado",IF($A147="","",ROUND(VLOOKUP($A147,'Presupuesto Consolidado'!#REF!,6,FALSE),2)),"")</f>
        <v/>
      </c>
      <c r="Z147" s="142" t="str">
        <f t="shared" ref="Z147" si="1770">IF($A147="","",IF(Y147="","",IF($K$4="Media aritmética",(Y147&lt;=$B147)*($G$5/$B$5)+(Y147&gt;$B147)*0,IF(ROUND(AVERAGE($C147,$E147,$G147,$I147,$K147,$M147,$O147,$Q147,$S147,$U147,$W147,$Y147,$AA147,$AC147,$AE147),2)-$B147/2&lt;=Y147,IF(ROUND(AVERAGE($C147,$E147,$G147,$I147,$K147,$M147,$O147,$Q147,$S147,$U147,$W147,$Y147,$AA147,$AC147,$AE147),2)+$B147/2&gt;Y147,($G$5/$B$5),0),0))))</f>
        <v/>
      </c>
      <c r="AA147" s="141" t="str">
        <f>IF($AA$8="Habilitado",IF($A147="","",ROUND(VLOOKUP($A147,'Presupuesto Consolidado'!#REF!,6,FALSE),2)),"")</f>
        <v/>
      </c>
      <c r="AB147" s="142" t="str">
        <f t="shared" ref="AB147" si="1771">IF($A147="","",IF(AA147="","",IF($K$4="Media aritmética",(AA147&lt;=$B147)*($G$5/$B$5)+(AA147&gt;$B147)*0,IF(ROUND(AVERAGE($C147,$E147,$G147,$I147,$K147,$M147,$O147,$Q147,$S147,$U147,$W147,$Y147,$AA147,$AC147,$AE147),2)-$B147/2&lt;=AA147,IF(ROUND(AVERAGE($C147,$E147,$G147,$I147,$K147,$M147,$O147,$Q147,$S147,$U147,$W147,$Y147,$AA147,$AC147,$AE147),2)+$B147/2&gt;AA147,($G$5/$B$5),0),0))))</f>
        <v/>
      </c>
      <c r="AC147" s="141" t="str">
        <f>IF($AC$8="Habilitado",IF($A147="","",ROUND(VLOOKUP($A147,'Presupuesto Consolidado'!#REF!,6,FALSE),2)),"")</f>
        <v/>
      </c>
      <c r="AD147" s="142" t="str">
        <f t="shared" ref="AD147" si="1772">IF($A147="","",IF(AC147="","",IF($K$4="Media aritmética",(AC147&lt;=$B147)*($G$5/$B$5)+(AC147&gt;$B147)*0,IF(ROUND(AVERAGE($C147,$E147,$G147,$I147,$K147,$M147,$O147,$Q147,$S147,$U147,$W147,$Y147,$AA147,$AC147,$AE147),2)-$B147/2&lt;=AC147,IF(ROUND(AVERAGE($C147,$E147,$G147,$I147,$K147,$M147,$O147,$Q147,$S147,$U147,$W147,$Y147,$AA147,$AC147,$AE147),2)+$B147/2&gt;AC147,($G$5/$B$5),0),0))))</f>
        <v/>
      </c>
      <c r="AE147" s="141" t="str">
        <f>IF($AE$8="Habilitado",IF($A147="","",ROUND(VLOOKUP($A147,'Presupuesto Consolidado'!#REF!,6,FALSE),2)),"")</f>
        <v/>
      </c>
      <c r="AF147" s="142" t="str">
        <f t="shared" ref="AF147" si="1773">IF($A147="","",IF(AE147="","",IF($K$4="Media aritmética",(AE147&lt;=$B147)*($G$5/$B$5)+(AE147&gt;$B147)*0,IF(ROUND(AVERAGE($C147,$E147,$G147,$I147,$K147,$M147,$O147,$Q147,$S147,$U147,$W147,$Y147,$AA147,$AC147,$AE147),2)-$B147/2&lt;=AE147,IF(ROUND(AVERAGE($C147,$E147,$G147,$I147,$K147,$M147,$O147,$Q147,$S147,$U147,$W147,$Y147,$AA147,$AC147,$AE147),2)+$B147/2&gt;AE147,($G$5/$B$5),0),0))))</f>
        <v/>
      </c>
    </row>
    <row r="148" spans="1:32" s="135" customFormat="1" ht="21" customHeight="1">
      <c r="A148" s="132" t="str">
        <f>+'Presupuesto Consolidado'!A173</f>
        <v>12.4.22</v>
      </c>
      <c r="B148" s="140">
        <f t="shared" ref="B148" si="1774">IF(A148="","",IF($K$4="Media aritmética",ROUND(AVERAGE(C148,E148,G148,I148,K148,M148,O148,Q148,S148,U148,W148,Y148,AA148,AC148,AE148),2),ROUND(_xlfn.STDEV.P(C148,E148,G148,I148,K148,M148,O148,Q148,S148,U148,W148,Y148,AA148,AC148,AE148),2)))</f>
        <v>6194475</v>
      </c>
      <c r="C148" s="141">
        <f>IF($C$8="Habilitado",IF($A148="","",ROUND(VLOOKUP($A148,'Presupuesto Consolidado'!$A$9:$F$600,6,FALSE),2)),"")</f>
        <v>6194475</v>
      </c>
      <c r="D148" s="142">
        <f t="shared" ref="D148" si="1775">IF($A148="","",IF(C148="","",IF($K$4="Media aritmética",(C148&lt;=$B148)*($G$5/$B$5)+(C148&gt;$B148)*0,IF(ROUND(AVERAGE($C148,$E148,$G148,$I148,$K148,$M148,$O148,$Q148,$S148,$U148,$W148,$Y148,$AA148,$AC148,$AE148),2)-$B148/2&lt;=C148,IF(ROUND(AVERAGE($C148,$E148,$G148,$I148,$K148,$M148,$O148,$Q148,$S148,$U148,$W148,$Y148,$AA148,$AC148,$AE148),2)+$B148/2&gt;C148,($G$5/$B$5),0),0))))</f>
        <v>0.45714285714285713</v>
      </c>
      <c r="E148" s="141" t="str">
        <f>IF($E$8="Habilitado",IF($A148="","",ROUND(VLOOKUP($A148,'Presupuesto Consolidado'!$I$9:$N$600,6,FALSE),2)),"")</f>
        <v/>
      </c>
      <c r="F148" s="142" t="str">
        <f t="shared" ref="F148" si="1776">IF($A148="","",IF(E148="","",IF($K$4="Media aritmética",(E148&lt;=$B148)*($G$5/$B$5)+(E148&gt;$B148)*0,IF(ROUND(AVERAGE($C148,$E148,$G148,$I148,$K148,$M148,$O148,$Q148,$S148,$U148,$W148,$Y148,$AA148,$AC148,$AE148),2)-$B148/2&lt;=E148,IF(ROUND(AVERAGE($C148,$E148,$G148,$I148,$K148,$M148,$O148,$Q148,$S148,$U148,$W148,$Y148,$AA148,$AC148,$AE148),2)+$B148/2&gt;E148,($G$5/$B$5),0),0))))</f>
        <v/>
      </c>
      <c r="G148" s="141" t="str">
        <f>IF($G$8="Habilitado",IF($A148="","",ROUND(VLOOKUP($A148,'Presupuesto Consolidado'!$Q$9:$V$600,6,FALSE),2)),"")</f>
        <v/>
      </c>
      <c r="H148" s="142" t="str">
        <f t="shared" ref="H148" si="1777">IF($A148="","",IF(G148="","",IF($K$4="Media aritmética",(G148&lt;=$B148)*($G$5/$B$5)+(G148&gt;$B148)*0,IF(ROUND(AVERAGE($C148,$E148,$G148,$I148,$K148,$M148,$O148,$Q148,$S148,$U148,$W148,$Y148,$AA148,$AC148,$AE148),2)-$B148/2&lt;=G148,IF(ROUND(AVERAGE($C148,$E148,$G148,$I148,$K148,$M148,$O148,$Q148,$S148,$U148,$W148,$Y148,$AA148,$AC148,$AE148),2)+$B148/2&gt;G148,($G$5/$B$5),0),0))))</f>
        <v/>
      </c>
      <c r="I148" s="141" t="str">
        <f>IF($I$8="Habilitado",IF($A148="","",ROUND(VLOOKUP($A148,'Presupuesto Consolidado'!$Y$9:$AD$600,6,FALSE),2)),"")</f>
        <v/>
      </c>
      <c r="J148" s="142" t="str">
        <f t="shared" ref="J148" si="1778">IF($A148="","",IF(I148="","",IF($K$4="Media aritmética",(I148&lt;=$B148)*($G$5/$B$5)+(I148&gt;$B148)*0,IF(ROUND(AVERAGE($C148,$E148,$G148,$I148,$K148,$M148,$O148,$Q148,$S148,$U148,$W148,$Y148,$AA148,$AC148,$AE148),2)-$B148/2&lt;=I148,IF(ROUND(AVERAGE($C148,$E148,$G148,$I148,$K148,$M148,$O148,$Q148,$S148,$U148,$W148,$Y148,$AA148,$AC148,$AE148),2)+$B148/2&gt;I148,($G$5/$B$5),0),0))))</f>
        <v/>
      </c>
      <c r="K148" s="141" t="str">
        <f>IF($K$8="Habilitado",IF($A148="","",ROUND(VLOOKUP($A148,'Presupuesto Consolidado'!#REF!,6,FALSE),2)),"")</f>
        <v/>
      </c>
      <c r="L148" s="142" t="str">
        <f t="shared" ref="L148" si="1779">IF($A148="","",IF(K148="","",IF($K$4="Media aritmética",(K148&lt;=$B148)*($G$5/$B$5)+(K148&gt;$B148)*0,IF(ROUND(AVERAGE($C148,$E148,$G148,$I148,$K148,$M148,$O148,$Q148,$S148,$U148,$W148,$Y148,$AA148,$AC148,$AE148),2)-$B148/2&lt;=K148,IF(ROUND(AVERAGE($C148,$E148,$G148,$I148,$K148,$M148,$O148,$Q148,$S148,$U148,$W148,$Y148,$AA148,$AC148,$AE148),2)+$B148/2&gt;K148,($G$5/$B$5),0),0))))</f>
        <v/>
      </c>
      <c r="M148" s="141" t="str">
        <f>IF($M$8="Habilitado",IF($A148="","",ROUND(VLOOKUP($A148,'Presupuesto Consolidado'!#REF!,6,FALSE),2)),"")</f>
        <v/>
      </c>
      <c r="N148" s="142" t="str">
        <f t="shared" ref="N148" si="1780">IF($A148="","",IF(M148="","",IF($K$4="Media aritmética",(M148&lt;=$B148)*($G$5/$B$5)+(M148&gt;$B148)*0,IF(ROUND(AVERAGE($C148,$E148,$G148,$I148,$K148,$M148,$O148,$Q148,$S148,$U148,$W148,$Y148,$AA148,$AC148,$AE148),2)-$B148/2&lt;=M148,IF(ROUND(AVERAGE($C148,$E148,$G148,$I148,$K148,$M148,$O148,$Q148,$S148,$U148,$W148,$Y148,$AA148,$AC148,$AE148),2)+$B148/2&gt;M148,($G$5/$B$5),0),0))))</f>
        <v/>
      </c>
      <c r="O148" s="141" t="str">
        <f>IF($O$8="Habilitado",IF($A148="","",ROUND(VLOOKUP($A148,'Presupuesto Consolidado'!#REF!,6,FALSE),2)),"")</f>
        <v/>
      </c>
      <c r="P148" s="142" t="str">
        <f t="shared" ref="P148" si="1781">IF($A148="","",IF(O148="","",IF($K$4="Media aritmética",(O148&lt;=$B148)*($G$5/$B$5)+(O148&gt;$B148)*0,IF(ROUND(AVERAGE($C148,$E148,$G148,$I148,$K148,$M148,$O148,$Q148,$S148,$U148,$W148,$Y148,$AA148,$AC148,$AE148),2)-$B148/2&lt;=O148,IF(ROUND(AVERAGE($C148,$E148,$G148,$I148,$K148,$M148,$O148,$Q148,$S148,$U148,$W148,$Y148,$AA148,$AC148,$AE148),2)+$B148/2&gt;O148,($G$5/$B$5),0),0))))</f>
        <v/>
      </c>
      <c r="Q148" s="141" t="str">
        <f>IF($Q$8="Habilitado",IF($A148="","",ROUND(VLOOKUP($A148,'Presupuesto Consolidado'!#REF!,6,FALSE),2)),"")</f>
        <v/>
      </c>
      <c r="R148" s="142" t="str">
        <f t="shared" ref="R148" si="1782">IF($A148="","",IF(Q148="","",IF($K$4="Media aritmética",(Q148&lt;=$B148)*($G$5/$B$5)+(Q148&gt;$B148)*0,IF(ROUND(AVERAGE($C148,$E148,$G148,$I148,$K148,$M148,$O148,$Q148,$S148,$U148,$W148,$Y148,$AA148,$AC148,$AE148),2)-$B148/2&lt;=Q148,IF(ROUND(AVERAGE($C148,$E148,$G148,$I148,$K148,$M148,$O148,$Q148,$S148,$U148,$W148,$Y148,$AA148,$AC148,$AE148),2)+$B148/2&gt;Q148,($G$5/$B$5),0),0))))</f>
        <v/>
      </c>
      <c r="S148" s="141" t="str">
        <f>IF($S$8="Habilitado",IF($A148="","",ROUND(VLOOKUP($A148,'Presupuesto Consolidado'!#REF!,6,FALSE),2)),"")</f>
        <v/>
      </c>
      <c r="T148" s="142" t="str">
        <f t="shared" ref="T148" si="1783">IF($A148="","",IF(S148="","",IF($K$4="Media aritmética",(S148&lt;=$B148)*($G$5/$B$5)+(S148&gt;$B148)*0,IF(ROUND(AVERAGE($C148,$E148,$G148,$I148,$K148,$M148,$O148,$Q148,$S148,$U148,$W148,$Y148,$AA148,$AC148,$AE148),2)-$B148/2&lt;=S148,IF(ROUND(AVERAGE($C148,$E148,$G148,$I148,$K148,$M148,$O148,$Q148,$S148,$U148,$W148,$Y148,$AA148,$AC148,$AE148),2)+$B148/2&gt;S148,($G$5/$B$5),0),0))))</f>
        <v/>
      </c>
      <c r="U148" s="141" t="str">
        <f>IF($U$8="Habilitado",IF($A148="","",ROUND(VLOOKUP($A148,'Presupuesto Consolidado'!#REF!,6,FALSE),2)),"")</f>
        <v/>
      </c>
      <c r="V148" s="142" t="str">
        <f t="shared" ref="V148" si="1784">IF($A148="","",IF(U148="","",IF($K$4="Media aritmética",(U148&lt;=$B148)*($G$5/$B$5)+(U148&gt;$B148)*0,IF(ROUND(AVERAGE($C148,$E148,$G148,$I148,$K148,$M148,$O148,$Q148,$S148,$U148,$W148,$Y148,$AA148,$AC148,$AE148),2)-$B148/2&lt;=U148,IF(ROUND(AVERAGE($C148,$E148,$G148,$I148,$K148,$M148,$O148,$Q148,$S148,$U148,$W148,$Y148,$AA148,$AC148,$AE148),2)+$B148/2&gt;U148,($G$5/$B$5),0),0))))</f>
        <v/>
      </c>
      <c r="W148" s="141" t="str">
        <f>IF($W$8="Habilitado",IF($A148="","",ROUND(VLOOKUP($A148,'Presupuesto Consolidado'!#REF!,6,FALSE),2)),"")</f>
        <v/>
      </c>
      <c r="X148" s="142" t="str">
        <f t="shared" ref="X148" si="1785">IF($A148="","",IF(W148="","",IF($K$4="Media aritmética",(W148&lt;=$B148)*($G$5/$B$5)+(W148&gt;$B148)*0,IF(ROUND(AVERAGE($C148,$E148,$G148,$I148,$K148,$M148,$O148,$Q148,$S148,$U148,$W148,$Y148,$AA148,$AC148,$AE148),2)-$B148/2&lt;=W148,IF(ROUND(AVERAGE($C148,$E148,$G148,$I148,$K148,$M148,$O148,$Q148,$S148,$U148,$W148,$Y148,$AA148,$AC148,$AE148),2)+$B148/2&gt;W148,($G$5/$B$5),0),0))))</f>
        <v/>
      </c>
      <c r="Y148" s="141" t="str">
        <f>IF($Y$8="Habilitado",IF($A148="","",ROUND(VLOOKUP($A148,'Presupuesto Consolidado'!#REF!,6,FALSE),2)),"")</f>
        <v/>
      </c>
      <c r="Z148" s="142" t="str">
        <f t="shared" ref="Z148" si="1786">IF($A148="","",IF(Y148="","",IF($K$4="Media aritmética",(Y148&lt;=$B148)*($G$5/$B$5)+(Y148&gt;$B148)*0,IF(ROUND(AVERAGE($C148,$E148,$G148,$I148,$K148,$M148,$O148,$Q148,$S148,$U148,$W148,$Y148,$AA148,$AC148,$AE148),2)-$B148/2&lt;=Y148,IF(ROUND(AVERAGE($C148,$E148,$G148,$I148,$K148,$M148,$O148,$Q148,$S148,$U148,$W148,$Y148,$AA148,$AC148,$AE148),2)+$B148/2&gt;Y148,($G$5/$B$5),0),0))))</f>
        <v/>
      </c>
      <c r="AA148" s="141" t="str">
        <f>IF($AA$8="Habilitado",IF($A148="","",ROUND(VLOOKUP($A148,'Presupuesto Consolidado'!#REF!,6,FALSE),2)),"")</f>
        <v/>
      </c>
      <c r="AB148" s="142" t="str">
        <f t="shared" ref="AB148" si="1787">IF($A148="","",IF(AA148="","",IF($K$4="Media aritmética",(AA148&lt;=$B148)*($G$5/$B$5)+(AA148&gt;$B148)*0,IF(ROUND(AVERAGE($C148,$E148,$G148,$I148,$K148,$M148,$O148,$Q148,$S148,$U148,$W148,$Y148,$AA148,$AC148,$AE148),2)-$B148/2&lt;=AA148,IF(ROUND(AVERAGE($C148,$E148,$G148,$I148,$K148,$M148,$O148,$Q148,$S148,$U148,$W148,$Y148,$AA148,$AC148,$AE148),2)+$B148/2&gt;AA148,($G$5/$B$5),0),0))))</f>
        <v/>
      </c>
      <c r="AC148" s="141" t="str">
        <f>IF($AC$8="Habilitado",IF($A148="","",ROUND(VLOOKUP($A148,'Presupuesto Consolidado'!#REF!,6,FALSE),2)),"")</f>
        <v/>
      </c>
      <c r="AD148" s="142" t="str">
        <f t="shared" ref="AD148" si="1788">IF($A148="","",IF(AC148="","",IF($K$4="Media aritmética",(AC148&lt;=$B148)*($G$5/$B$5)+(AC148&gt;$B148)*0,IF(ROUND(AVERAGE($C148,$E148,$G148,$I148,$K148,$M148,$O148,$Q148,$S148,$U148,$W148,$Y148,$AA148,$AC148,$AE148),2)-$B148/2&lt;=AC148,IF(ROUND(AVERAGE($C148,$E148,$G148,$I148,$K148,$M148,$O148,$Q148,$S148,$U148,$W148,$Y148,$AA148,$AC148,$AE148),2)+$B148/2&gt;AC148,($G$5/$B$5),0),0))))</f>
        <v/>
      </c>
      <c r="AE148" s="141" t="str">
        <f>IF($AE$8="Habilitado",IF($A148="","",ROUND(VLOOKUP($A148,'Presupuesto Consolidado'!#REF!,6,FALSE),2)),"")</f>
        <v/>
      </c>
      <c r="AF148" s="142" t="str">
        <f t="shared" ref="AF148" si="1789">IF($A148="","",IF(AE148="","",IF($K$4="Media aritmética",(AE148&lt;=$B148)*($G$5/$B$5)+(AE148&gt;$B148)*0,IF(ROUND(AVERAGE($C148,$E148,$G148,$I148,$K148,$M148,$O148,$Q148,$S148,$U148,$W148,$Y148,$AA148,$AC148,$AE148),2)-$B148/2&lt;=AE148,IF(ROUND(AVERAGE($C148,$E148,$G148,$I148,$K148,$M148,$O148,$Q148,$S148,$U148,$W148,$Y148,$AA148,$AC148,$AE148),2)+$B148/2&gt;AE148,($G$5/$B$5),0),0))))</f>
        <v/>
      </c>
    </row>
    <row r="149" spans="1:32" s="135" customFormat="1" ht="21" customHeight="1">
      <c r="A149" s="132" t="str">
        <f>+'Presupuesto Consolidado'!A174</f>
        <v>12.4.23</v>
      </c>
      <c r="B149" s="140">
        <f t="shared" ref="B149" si="1790">IF(A149="","",IF($K$4="Media aritmética",ROUND(AVERAGE(C149,E149,G149,I149,K149,M149,O149,Q149,S149,U149,W149,Y149,AA149,AC149,AE149),2),ROUND(_xlfn.STDEV.P(C149,E149,G149,I149,K149,M149,O149,Q149,S149,U149,W149,Y149,AA149,AC149,AE149),2)))</f>
        <v>1718100</v>
      </c>
      <c r="C149" s="141">
        <f>IF($C$8="Habilitado",IF($A149="","",ROUND(VLOOKUP($A149,'Presupuesto Consolidado'!$A$9:$F$600,6,FALSE),2)),"")</f>
        <v>1718100</v>
      </c>
      <c r="D149" s="142">
        <f t="shared" ref="D149" si="1791">IF($A149="","",IF(C149="","",IF($K$4="Media aritmética",(C149&lt;=$B149)*($G$5/$B$5)+(C149&gt;$B149)*0,IF(ROUND(AVERAGE($C149,$E149,$G149,$I149,$K149,$M149,$O149,$Q149,$S149,$U149,$W149,$Y149,$AA149,$AC149,$AE149),2)-$B149/2&lt;=C149,IF(ROUND(AVERAGE($C149,$E149,$G149,$I149,$K149,$M149,$O149,$Q149,$S149,$U149,$W149,$Y149,$AA149,$AC149,$AE149),2)+$B149/2&gt;C149,($G$5/$B$5),0),0))))</f>
        <v>0.45714285714285713</v>
      </c>
      <c r="E149" s="141" t="str">
        <f>IF($E$8="Habilitado",IF($A149="","",ROUND(VLOOKUP($A149,'Presupuesto Consolidado'!$I$9:$N$600,6,FALSE),2)),"")</f>
        <v/>
      </c>
      <c r="F149" s="142" t="str">
        <f t="shared" ref="F149" si="1792">IF($A149="","",IF(E149="","",IF($K$4="Media aritmética",(E149&lt;=$B149)*($G$5/$B$5)+(E149&gt;$B149)*0,IF(ROUND(AVERAGE($C149,$E149,$G149,$I149,$K149,$M149,$O149,$Q149,$S149,$U149,$W149,$Y149,$AA149,$AC149,$AE149),2)-$B149/2&lt;=E149,IF(ROUND(AVERAGE($C149,$E149,$G149,$I149,$K149,$M149,$O149,$Q149,$S149,$U149,$W149,$Y149,$AA149,$AC149,$AE149),2)+$B149/2&gt;E149,($G$5/$B$5),0),0))))</f>
        <v/>
      </c>
      <c r="G149" s="141" t="str">
        <f>IF($G$8="Habilitado",IF($A149="","",ROUND(VLOOKUP($A149,'Presupuesto Consolidado'!$Q$9:$V$600,6,FALSE),2)),"")</f>
        <v/>
      </c>
      <c r="H149" s="142" t="str">
        <f t="shared" ref="H149" si="1793">IF($A149="","",IF(G149="","",IF($K$4="Media aritmética",(G149&lt;=$B149)*($G$5/$B$5)+(G149&gt;$B149)*0,IF(ROUND(AVERAGE($C149,$E149,$G149,$I149,$K149,$M149,$O149,$Q149,$S149,$U149,$W149,$Y149,$AA149,$AC149,$AE149),2)-$B149/2&lt;=G149,IF(ROUND(AVERAGE($C149,$E149,$G149,$I149,$K149,$M149,$O149,$Q149,$S149,$U149,$W149,$Y149,$AA149,$AC149,$AE149),2)+$B149/2&gt;G149,($G$5/$B$5),0),0))))</f>
        <v/>
      </c>
      <c r="I149" s="141" t="str">
        <f>IF($I$8="Habilitado",IF($A149="","",ROUND(VLOOKUP($A149,'Presupuesto Consolidado'!$Y$9:$AD$600,6,FALSE),2)),"")</f>
        <v/>
      </c>
      <c r="J149" s="142" t="str">
        <f t="shared" ref="J149" si="1794">IF($A149="","",IF(I149="","",IF($K$4="Media aritmética",(I149&lt;=$B149)*($G$5/$B$5)+(I149&gt;$B149)*0,IF(ROUND(AVERAGE($C149,$E149,$G149,$I149,$K149,$M149,$O149,$Q149,$S149,$U149,$W149,$Y149,$AA149,$AC149,$AE149),2)-$B149/2&lt;=I149,IF(ROUND(AVERAGE($C149,$E149,$G149,$I149,$K149,$M149,$O149,$Q149,$S149,$U149,$W149,$Y149,$AA149,$AC149,$AE149),2)+$B149/2&gt;I149,($G$5/$B$5),0),0))))</f>
        <v/>
      </c>
      <c r="K149" s="141" t="str">
        <f>IF($K$8="Habilitado",IF($A149="","",ROUND(VLOOKUP($A149,'Presupuesto Consolidado'!#REF!,6,FALSE),2)),"")</f>
        <v/>
      </c>
      <c r="L149" s="142" t="str">
        <f t="shared" ref="L149" si="1795">IF($A149="","",IF(K149="","",IF($K$4="Media aritmética",(K149&lt;=$B149)*($G$5/$B$5)+(K149&gt;$B149)*0,IF(ROUND(AVERAGE($C149,$E149,$G149,$I149,$K149,$M149,$O149,$Q149,$S149,$U149,$W149,$Y149,$AA149,$AC149,$AE149),2)-$B149/2&lt;=K149,IF(ROUND(AVERAGE($C149,$E149,$G149,$I149,$K149,$M149,$O149,$Q149,$S149,$U149,$W149,$Y149,$AA149,$AC149,$AE149),2)+$B149/2&gt;K149,($G$5/$B$5),0),0))))</f>
        <v/>
      </c>
      <c r="M149" s="141" t="str">
        <f>IF($M$8="Habilitado",IF($A149="","",ROUND(VLOOKUP($A149,'Presupuesto Consolidado'!#REF!,6,FALSE),2)),"")</f>
        <v/>
      </c>
      <c r="N149" s="142" t="str">
        <f t="shared" ref="N149" si="1796">IF($A149="","",IF(M149="","",IF($K$4="Media aritmética",(M149&lt;=$B149)*($G$5/$B$5)+(M149&gt;$B149)*0,IF(ROUND(AVERAGE($C149,$E149,$G149,$I149,$K149,$M149,$O149,$Q149,$S149,$U149,$W149,$Y149,$AA149,$AC149,$AE149),2)-$B149/2&lt;=M149,IF(ROUND(AVERAGE($C149,$E149,$G149,$I149,$K149,$M149,$O149,$Q149,$S149,$U149,$W149,$Y149,$AA149,$AC149,$AE149),2)+$B149/2&gt;M149,($G$5/$B$5),0),0))))</f>
        <v/>
      </c>
      <c r="O149" s="141" t="str">
        <f>IF($O$8="Habilitado",IF($A149="","",ROUND(VLOOKUP($A149,'Presupuesto Consolidado'!#REF!,6,FALSE),2)),"")</f>
        <v/>
      </c>
      <c r="P149" s="142" t="str">
        <f t="shared" ref="P149" si="1797">IF($A149="","",IF(O149="","",IF($K$4="Media aritmética",(O149&lt;=$B149)*($G$5/$B$5)+(O149&gt;$B149)*0,IF(ROUND(AVERAGE($C149,$E149,$G149,$I149,$K149,$M149,$O149,$Q149,$S149,$U149,$W149,$Y149,$AA149,$AC149,$AE149),2)-$B149/2&lt;=O149,IF(ROUND(AVERAGE($C149,$E149,$G149,$I149,$K149,$M149,$O149,$Q149,$S149,$U149,$W149,$Y149,$AA149,$AC149,$AE149),2)+$B149/2&gt;O149,($G$5/$B$5),0),0))))</f>
        <v/>
      </c>
      <c r="Q149" s="141" t="str">
        <f>IF($Q$8="Habilitado",IF($A149="","",ROUND(VLOOKUP($A149,'Presupuesto Consolidado'!#REF!,6,FALSE),2)),"")</f>
        <v/>
      </c>
      <c r="R149" s="142" t="str">
        <f t="shared" ref="R149" si="1798">IF($A149="","",IF(Q149="","",IF($K$4="Media aritmética",(Q149&lt;=$B149)*($G$5/$B$5)+(Q149&gt;$B149)*0,IF(ROUND(AVERAGE($C149,$E149,$G149,$I149,$K149,$M149,$O149,$Q149,$S149,$U149,$W149,$Y149,$AA149,$AC149,$AE149),2)-$B149/2&lt;=Q149,IF(ROUND(AVERAGE($C149,$E149,$G149,$I149,$K149,$M149,$O149,$Q149,$S149,$U149,$W149,$Y149,$AA149,$AC149,$AE149),2)+$B149/2&gt;Q149,($G$5/$B$5),0),0))))</f>
        <v/>
      </c>
      <c r="S149" s="141" t="str">
        <f>IF($S$8="Habilitado",IF($A149="","",ROUND(VLOOKUP($A149,'Presupuesto Consolidado'!#REF!,6,FALSE),2)),"")</f>
        <v/>
      </c>
      <c r="T149" s="142" t="str">
        <f t="shared" ref="T149" si="1799">IF($A149="","",IF(S149="","",IF($K$4="Media aritmética",(S149&lt;=$B149)*($G$5/$B$5)+(S149&gt;$B149)*0,IF(ROUND(AVERAGE($C149,$E149,$G149,$I149,$K149,$M149,$O149,$Q149,$S149,$U149,$W149,$Y149,$AA149,$AC149,$AE149),2)-$B149/2&lt;=S149,IF(ROUND(AVERAGE($C149,$E149,$G149,$I149,$K149,$M149,$O149,$Q149,$S149,$U149,$W149,$Y149,$AA149,$AC149,$AE149),2)+$B149/2&gt;S149,($G$5/$B$5),0),0))))</f>
        <v/>
      </c>
      <c r="U149" s="141" t="str">
        <f>IF($U$8="Habilitado",IF($A149="","",ROUND(VLOOKUP($A149,'Presupuesto Consolidado'!#REF!,6,FALSE),2)),"")</f>
        <v/>
      </c>
      <c r="V149" s="142" t="str">
        <f t="shared" ref="V149" si="1800">IF($A149="","",IF(U149="","",IF($K$4="Media aritmética",(U149&lt;=$B149)*($G$5/$B$5)+(U149&gt;$B149)*0,IF(ROUND(AVERAGE($C149,$E149,$G149,$I149,$K149,$M149,$O149,$Q149,$S149,$U149,$W149,$Y149,$AA149,$AC149,$AE149),2)-$B149/2&lt;=U149,IF(ROUND(AVERAGE($C149,$E149,$G149,$I149,$K149,$M149,$O149,$Q149,$S149,$U149,$W149,$Y149,$AA149,$AC149,$AE149),2)+$B149/2&gt;U149,($G$5/$B$5),0),0))))</f>
        <v/>
      </c>
      <c r="W149" s="141" t="str">
        <f>IF($W$8="Habilitado",IF($A149="","",ROUND(VLOOKUP($A149,'Presupuesto Consolidado'!#REF!,6,FALSE),2)),"")</f>
        <v/>
      </c>
      <c r="X149" s="142" t="str">
        <f t="shared" ref="X149" si="1801">IF($A149="","",IF(W149="","",IF($K$4="Media aritmética",(W149&lt;=$B149)*($G$5/$B$5)+(W149&gt;$B149)*0,IF(ROUND(AVERAGE($C149,$E149,$G149,$I149,$K149,$M149,$O149,$Q149,$S149,$U149,$W149,$Y149,$AA149,$AC149,$AE149),2)-$B149/2&lt;=W149,IF(ROUND(AVERAGE($C149,$E149,$G149,$I149,$K149,$M149,$O149,$Q149,$S149,$U149,$W149,$Y149,$AA149,$AC149,$AE149),2)+$B149/2&gt;W149,($G$5/$B$5),0),0))))</f>
        <v/>
      </c>
      <c r="Y149" s="141" t="str">
        <f>IF($Y$8="Habilitado",IF($A149="","",ROUND(VLOOKUP($A149,'Presupuesto Consolidado'!#REF!,6,FALSE),2)),"")</f>
        <v/>
      </c>
      <c r="Z149" s="142" t="str">
        <f t="shared" ref="Z149" si="1802">IF($A149="","",IF(Y149="","",IF($K$4="Media aritmética",(Y149&lt;=$B149)*($G$5/$B$5)+(Y149&gt;$B149)*0,IF(ROUND(AVERAGE($C149,$E149,$G149,$I149,$K149,$M149,$O149,$Q149,$S149,$U149,$W149,$Y149,$AA149,$AC149,$AE149),2)-$B149/2&lt;=Y149,IF(ROUND(AVERAGE($C149,$E149,$G149,$I149,$K149,$M149,$O149,$Q149,$S149,$U149,$W149,$Y149,$AA149,$AC149,$AE149),2)+$B149/2&gt;Y149,($G$5/$B$5),0),0))))</f>
        <v/>
      </c>
      <c r="AA149" s="141" t="str">
        <f>IF($AA$8="Habilitado",IF($A149="","",ROUND(VLOOKUP($A149,'Presupuesto Consolidado'!#REF!,6,FALSE),2)),"")</f>
        <v/>
      </c>
      <c r="AB149" s="142" t="str">
        <f t="shared" ref="AB149" si="1803">IF($A149="","",IF(AA149="","",IF($K$4="Media aritmética",(AA149&lt;=$B149)*($G$5/$B$5)+(AA149&gt;$B149)*0,IF(ROUND(AVERAGE($C149,$E149,$G149,$I149,$K149,$M149,$O149,$Q149,$S149,$U149,$W149,$Y149,$AA149,$AC149,$AE149),2)-$B149/2&lt;=AA149,IF(ROUND(AVERAGE($C149,$E149,$G149,$I149,$K149,$M149,$O149,$Q149,$S149,$U149,$W149,$Y149,$AA149,$AC149,$AE149),2)+$B149/2&gt;AA149,($G$5/$B$5),0),0))))</f>
        <v/>
      </c>
      <c r="AC149" s="141" t="str">
        <f>IF($AC$8="Habilitado",IF($A149="","",ROUND(VLOOKUP($A149,'Presupuesto Consolidado'!#REF!,6,FALSE),2)),"")</f>
        <v/>
      </c>
      <c r="AD149" s="142" t="str">
        <f t="shared" ref="AD149" si="1804">IF($A149="","",IF(AC149="","",IF($K$4="Media aritmética",(AC149&lt;=$B149)*($G$5/$B$5)+(AC149&gt;$B149)*0,IF(ROUND(AVERAGE($C149,$E149,$G149,$I149,$K149,$M149,$O149,$Q149,$S149,$U149,$W149,$Y149,$AA149,$AC149,$AE149),2)-$B149/2&lt;=AC149,IF(ROUND(AVERAGE($C149,$E149,$G149,$I149,$K149,$M149,$O149,$Q149,$S149,$U149,$W149,$Y149,$AA149,$AC149,$AE149),2)+$B149/2&gt;AC149,($G$5/$B$5),0),0))))</f>
        <v/>
      </c>
      <c r="AE149" s="141" t="str">
        <f>IF($AE$8="Habilitado",IF($A149="","",ROUND(VLOOKUP($A149,'Presupuesto Consolidado'!#REF!,6,FALSE),2)),"")</f>
        <v/>
      </c>
      <c r="AF149" s="142" t="str">
        <f t="shared" ref="AF149" si="1805">IF($A149="","",IF(AE149="","",IF($K$4="Media aritmética",(AE149&lt;=$B149)*($G$5/$B$5)+(AE149&gt;$B149)*0,IF(ROUND(AVERAGE($C149,$E149,$G149,$I149,$K149,$M149,$O149,$Q149,$S149,$U149,$W149,$Y149,$AA149,$AC149,$AE149),2)-$B149/2&lt;=AE149,IF(ROUND(AVERAGE($C149,$E149,$G149,$I149,$K149,$M149,$O149,$Q149,$S149,$U149,$W149,$Y149,$AA149,$AC149,$AE149),2)+$B149/2&gt;AE149,($G$5/$B$5),0),0))))</f>
        <v/>
      </c>
    </row>
    <row r="150" spans="1:32" s="135" customFormat="1" ht="21" customHeight="1">
      <c r="A150" s="132" t="str">
        <f>+'Presupuesto Consolidado'!A176</f>
        <v>12.4.25</v>
      </c>
      <c r="B150" s="140">
        <f t="shared" ref="B150" si="1806">IF(A150="","",IF($K$4="Media aritmética",ROUND(AVERAGE(C150,E150,G150,I150,K150,M150,O150,Q150,S150,U150,W150,Y150,AA150,AC150,AE150),2),ROUND(_xlfn.STDEV.P(C150,E150,G150,I150,K150,M150,O150,Q150,S150,U150,W150,Y150,AA150,AC150,AE150),2)))</f>
        <v>5356125</v>
      </c>
      <c r="C150" s="141">
        <f>IF($C$8="Habilitado",IF($A150="","",ROUND(VLOOKUP($A150,'Presupuesto Consolidado'!$A$9:$F$600,6,FALSE),2)),"")</f>
        <v>5356125</v>
      </c>
      <c r="D150" s="142">
        <f t="shared" ref="D150" si="1807">IF($A150="","",IF(C150="","",IF($K$4="Media aritmética",(C150&lt;=$B150)*($G$5/$B$5)+(C150&gt;$B150)*0,IF(ROUND(AVERAGE($C150,$E150,$G150,$I150,$K150,$M150,$O150,$Q150,$S150,$U150,$W150,$Y150,$AA150,$AC150,$AE150),2)-$B150/2&lt;=C150,IF(ROUND(AVERAGE($C150,$E150,$G150,$I150,$K150,$M150,$O150,$Q150,$S150,$U150,$W150,$Y150,$AA150,$AC150,$AE150),2)+$B150/2&gt;C150,($G$5/$B$5),0),0))))</f>
        <v>0.45714285714285713</v>
      </c>
      <c r="E150" s="141" t="str">
        <f>IF($E$8="Habilitado",IF($A150="","",ROUND(VLOOKUP($A150,'Presupuesto Consolidado'!$I$9:$N$600,6,FALSE),2)),"")</f>
        <v/>
      </c>
      <c r="F150" s="142" t="str">
        <f t="shared" ref="F150" si="1808">IF($A150="","",IF(E150="","",IF($K$4="Media aritmética",(E150&lt;=$B150)*($G$5/$B$5)+(E150&gt;$B150)*0,IF(ROUND(AVERAGE($C150,$E150,$G150,$I150,$K150,$M150,$O150,$Q150,$S150,$U150,$W150,$Y150,$AA150,$AC150,$AE150),2)-$B150/2&lt;=E150,IF(ROUND(AVERAGE($C150,$E150,$G150,$I150,$K150,$M150,$O150,$Q150,$S150,$U150,$W150,$Y150,$AA150,$AC150,$AE150),2)+$B150/2&gt;E150,($G$5/$B$5),0),0))))</f>
        <v/>
      </c>
      <c r="G150" s="141" t="str">
        <f>IF($G$8="Habilitado",IF($A150="","",ROUND(VLOOKUP($A150,'Presupuesto Consolidado'!$Q$9:$V$600,6,FALSE),2)),"")</f>
        <v/>
      </c>
      <c r="H150" s="142" t="str">
        <f t="shared" ref="H150" si="1809">IF($A150="","",IF(G150="","",IF($K$4="Media aritmética",(G150&lt;=$B150)*($G$5/$B$5)+(G150&gt;$B150)*0,IF(ROUND(AVERAGE($C150,$E150,$G150,$I150,$K150,$M150,$O150,$Q150,$S150,$U150,$W150,$Y150,$AA150,$AC150,$AE150),2)-$B150/2&lt;=G150,IF(ROUND(AVERAGE($C150,$E150,$G150,$I150,$K150,$M150,$O150,$Q150,$S150,$U150,$W150,$Y150,$AA150,$AC150,$AE150),2)+$B150/2&gt;G150,($G$5/$B$5),0),0))))</f>
        <v/>
      </c>
      <c r="I150" s="141" t="str">
        <f>IF($I$8="Habilitado",IF($A150="","",ROUND(VLOOKUP($A150,'Presupuesto Consolidado'!$Y$9:$AD$600,6,FALSE),2)),"")</f>
        <v/>
      </c>
      <c r="J150" s="142" t="str">
        <f t="shared" ref="J150" si="1810">IF($A150="","",IF(I150="","",IF($K$4="Media aritmética",(I150&lt;=$B150)*($G$5/$B$5)+(I150&gt;$B150)*0,IF(ROUND(AVERAGE($C150,$E150,$G150,$I150,$K150,$M150,$O150,$Q150,$S150,$U150,$W150,$Y150,$AA150,$AC150,$AE150),2)-$B150/2&lt;=I150,IF(ROUND(AVERAGE($C150,$E150,$G150,$I150,$K150,$M150,$O150,$Q150,$S150,$U150,$W150,$Y150,$AA150,$AC150,$AE150),2)+$B150/2&gt;I150,($G$5/$B$5),0),0))))</f>
        <v/>
      </c>
      <c r="K150" s="141" t="str">
        <f>IF($K$8="Habilitado",IF($A150="","",ROUND(VLOOKUP($A150,'Presupuesto Consolidado'!#REF!,6,FALSE),2)),"")</f>
        <v/>
      </c>
      <c r="L150" s="142" t="str">
        <f t="shared" ref="L150" si="1811">IF($A150="","",IF(K150="","",IF($K$4="Media aritmética",(K150&lt;=$B150)*($G$5/$B$5)+(K150&gt;$B150)*0,IF(ROUND(AVERAGE($C150,$E150,$G150,$I150,$K150,$M150,$O150,$Q150,$S150,$U150,$W150,$Y150,$AA150,$AC150,$AE150),2)-$B150/2&lt;=K150,IF(ROUND(AVERAGE($C150,$E150,$G150,$I150,$K150,$M150,$O150,$Q150,$S150,$U150,$W150,$Y150,$AA150,$AC150,$AE150),2)+$B150/2&gt;K150,($G$5/$B$5),0),0))))</f>
        <v/>
      </c>
      <c r="M150" s="141" t="str">
        <f>IF($M$8="Habilitado",IF($A150="","",ROUND(VLOOKUP($A150,'Presupuesto Consolidado'!#REF!,6,FALSE),2)),"")</f>
        <v/>
      </c>
      <c r="N150" s="142" t="str">
        <f t="shared" ref="N150" si="1812">IF($A150="","",IF(M150="","",IF($K$4="Media aritmética",(M150&lt;=$B150)*($G$5/$B$5)+(M150&gt;$B150)*0,IF(ROUND(AVERAGE($C150,$E150,$G150,$I150,$K150,$M150,$O150,$Q150,$S150,$U150,$W150,$Y150,$AA150,$AC150,$AE150),2)-$B150/2&lt;=M150,IF(ROUND(AVERAGE($C150,$E150,$G150,$I150,$K150,$M150,$O150,$Q150,$S150,$U150,$W150,$Y150,$AA150,$AC150,$AE150),2)+$B150/2&gt;M150,($G$5/$B$5),0),0))))</f>
        <v/>
      </c>
      <c r="O150" s="141" t="str">
        <f>IF($O$8="Habilitado",IF($A150="","",ROUND(VLOOKUP($A150,'Presupuesto Consolidado'!#REF!,6,FALSE),2)),"")</f>
        <v/>
      </c>
      <c r="P150" s="142" t="str">
        <f t="shared" ref="P150" si="1813">IF($A150="","",IF(O150="","",IF($K$4="Media aritmética",(O150&lt;=$B150)*($G$5/$B$5)+(O150&gt;$B150)*0,IF(ROUND(AVERAGE($C150,$E150,$G150,$I150,$K150,$M150,$O150,$Q150,$S150,$U150,$W150,$Y150,$AA150,$AC150,$AE150),2)-$B150/2&lt;=O150,IF(ROUND(AVERAGE($C150,$E150,$G150,$I150,$K150,$M150,$O150,$Q150,$S150,$U150,$W150,$Y150,$AA150,$AC150,$AE150),2)+$B150/2&gt;O150,($G$5/$B$5),0),0))))</f>
        <v/>
      </c>
      <c r="Q150" s="141" t="str">
        <f>IF($Q$8="Habilitado",IF($A150="","",ROUND(VLOOKUP($A150,'Presupuesto Consolidado'!#REF!,6,FALSE),2)),"")</f>
        <v/>
      </c>
      <c r="R150" s="142" t="str">
        <f t="shared" ref="R150" si="1814">IF($A150="","",IF(Q150="","",IF($K$4="Media aritmética",(Q150&lt;=$B150)*($G$5/$B$5)+(Q150&gt;$B150)*0,IF(ROUND(AVERAGE($C150,$E150,$G150,$I150,$K150,$M150,$O150,$Q150,$S150,$U150,$W150,$Y150,$AA150,$AC150,$AE150),2)-$B150/2&lt;=Q150,IF(ROUND(AVERAGE($C150,$E150,$G150,$I150,$K150,$M150,$O150,$Q150,$S150,$U150,$W150,$Y150,$AA150,$AC150,$AE150),2)+$B150/2&gt;Q150,($G$5/$B$5),0),0))))</f>
        <v/>
      </c>
      <c r="S150" s="141" t="str">
        <f>IF($S$8="Habilitado",IF($A150="","",ROUND(VLOOKUP($A150,'Presupuesto Consolidado'!#REF!,6,FALSE),2)),"")</f>
        <v/>
      </c>
      <c r="T150" s="142" t="str">
        <f t="shared" ref="T150" si="1815">IF($A150="","",IF(S150="","",IF($K$4="Media aritmética",(S150&lt;=$B150)*($G$5/$B$5)+(S150&gt;$B150)*0,IF(ROUND(AVERAGE($C150,$E150,$G150,$I150,$K150,$M150,$O150,$Q150,$S150,$U150,$W150,$Y150,$AA150,$AC150,$AE150),2)-$B150/2&lt;=S150,IF(ROUND(AVERAGE($C150,$E150,$G150,$I150,$K150,$M150,$O150,$Q150,$S150,$U150,$W150,$Y150,$AA150,$AC150,$AE150),2)+$B150/2&gt;S150,($G$5/$B$5),0),0))))</f>
        <v/>
      </c>
      <c r="U150" s="141" t="str">
        <f>IF($U$8="Habilitado",IF($A150="","",ROUND(VLOOKUP($A150,'Presupuesto Consolidado'!#REF!,6,FALSE),2)),"")</f>
        <v/>
      </c>
      <c r="V150" s="142" t="str">
        <f t="shared" ref="V150" si="1816">IF($A150="","",IF(U150="","",IF($K$4="Media aritmética",(U150&lt;=$B150)*($G$5/$B$5)+(U150&gt;$B150)*0,IF(ROUND(AVERAGE($C150,$E150,$G150,$I150,$K150,$M150,$O150,$Q150,$S150,$U150,$W150,$Y150,$AA150,$AC150,$AE150),2)-$B150/2&lt;=U150,IF(ROUND(AVERAGE($C150,$E150,$G150,$I150,$K150,$M150,$O150,$Q150,$S150,$U150,$W150,$Y150,$AA150,$AC150,$AE150),2)+$B150/2&gt;U150,($G$5/$B$5),0),0))))</f>
        <v/>
      </c>
      <c r="W150" s="141" t="str">
        <f>IF($W$8="Habilitado",IF($A150="","",ROUND(VLOOKUP($A150,'Presupuesto Consolidado'!#REF!,6,FALSE),2)),"")</f>
        <v/>
      </c>
      <c r="X150" s="142" t="str">
        <f t="shared" ref="X150" si="1817">IF($A150="","",IF(W150="","",IF($K$4="Media aritmética",(W150&lt;=$B150)*($G$5/$B$5)+(W150&gt;$B150)*0,IF(ROUND(AVERAGE($C150,$E150,$G150,$I150,$K150,$M150,$O150,$Q150,$S150,$U150,$W150,$Y150,$AA150,$AC150,$AE150),2)-$B150/2&lt;=W150,IF(ROUND(AVERAGE($C150,$E150,$G150,$I150,$K150,$M150,$O150,$Q150,$S150,$U150,$W150,$Y150,$AA150,$AC150,$AE150),2)+$B150/2&gt;W150,($G$5/$B$5),0),0))))</f>
        <v/>
      </c>
      <c r="Y150" s="141" t="str">
        <f>IF($Y$8="Habilitado",IF($A150="","",ROUND(VLOOKUP($A150,'Presupuesto Consolidado'!#REF!,6,FALSE),2)),"")</f>
        <v/>
      </c>
      <c r="Z150" s="142" t="str">
        <f t="shared" ref="Z150" si="1818">IF($A150="","",IF(Y150="","",IF($K$4="Media aritmética",(Y150&lt;=$B150)*($G$5/$B$5)+(Y150&gt;$B150)*0,IF(ROUND(AVERAGE($C150,$E150,$G150,$I150,$K150,$M150,$O150,$Q150,$S150,$U150,$W150,$Y150,$AA150,$AC150,$AE150),2)-$B150/2&lt;=Y150,IF(ROUND(AVERAGE($C150,$E150,$G150,$I150,$K150,$M150,$O150,$Q150,$S150,$U150,$W150,$Y150,$AA150,$AC150,$AE150),2)+$B150/2&gt;Y150,($G$5/$B$5),0),0))))</f>
        <v/>
      </c>
      <c r="AA150" s="141" t="str">
        <f>IF($AA$8="Habilitado",IF($A150="","",ROUND(VLOOKUP($A150,'Presupuesto Consolidado'!#REF!,6,FALSE),2)),"")</f>
        <v/>
      </c>
      <c r="AB150" s="142" t="str">
        <f t="shared" ref="AB150" si="1819">IF($A150="","",IF(AA150="","",IF($K$4="Media aritmética",(AA150&lt;=$B150)*($G$5/$B$5)+(AA150&gt;$B150)*0,IF(ROUND(AVERAGE($C150,$E150,$G150,$I150,$K150,$M150,$O150,$Q150,$S150,$U150,$W150,$Y150,$AA150,$AC150,$AE150),2)-$B150/2&lt;=AA150,IF(ROUND(AVERAGE($C150,$E150,$G150,$I150,$K150,$M150,$O150,$Q150,$S150,$U150,$W150,$Y150,$AA150,$AC150,$AE150),2)+$B150/2&gt;AA150,($G$5/$B$5),0),0))))</f>
        <v/>
      </c>
      <c r="AC150" s="141" t="str">
        <f>IF($AC$8="Habilitado",IF($A150="","",ROUND(VLOOKUP($A150,'Presupuesto Consolidado'!#REF!,6,FALSE),2)),"")</f>
        <v/>
      </c>
      <c r="AD150" s="142" t="str">
        <f t="shared" ref="AD150" si="1820">IF($A150="","",IF(AC150="","",IF($K$4="Media aritmética",(AC150&lt;=$B150)*($G$5/$B$5)+(AC150&gt;$B150)*0,IF(ROUND(AVERAGE($C150,$E150,$G150,$I150,$K150,$M150,$O150,$Q150,$S150,$U150,$W150,$Y150,$AA150,$AC150,$AE150),2)-$B150/2&lt;=AC150,IF(ROUND(AVERAGE($C150,$E150,$G150,$I150,$K150,$M150,$O150,$Q150,$S150,$U150,$W150,$Y150,$AA150,$AC150,$AE150),2)+$B150/2&gt;AC150,($G$5/$B$5),0),0))))</f>
        <v/>
      </c>
      <c r="AE150" s="141" t="str">
        <f>IF($AE$8="Habilitado",IF($A150="","",ROUND(VLOOKUP($A150,'Presupuesto Consolidado'!#REF!,6,FALSE),2)),"")</f>
        <v/>
      </c>
      <c r="AF150" s="142" t="str">
        <f t="shared" ref="AF150" si="1821">IF($A150="","",IF(AE150="","",IF($K$4="Media aritmética",(AE150&lt;=$B150)*($G$5/$B$5)+(AE150&gt;$B150)*0,IF(ROUND(AVERAGE($C150,$E150,$G150,$I150,$K150,$M150,$O150,$Q150,$S150,$U150,$W150,$Y150,$AA150,$AC150,$AE150),2)-$B150/2&lt;=AE150,IF(ROUND(AVERAGE($C150,$E150,$G150,$I150,$K150,$M150,$O150,$Q150,$S150,$U150,$W150,$Y150,$AA150,$AC150,$AE150),2)+$B150/2&gt;AE150,($G$5/$B$5),0),0))))</f>
        <v/>
      </c>
    </row>
    <row r="151" spans="1:32" s="135" customFormat="1" ht="21" customHeight="1">
      <c r="A151" s="132" t="str">
        <f>+'Presupuesto Consolidado'!A177</f>
        <v>12.4.26</v>
      </c>
      <c r="B151" s="140">
        <f t="shared" ref="B151" si="1822">IF(A151="","",IF($K$4="Media aritmética",ROUND(AVERAGE(C151,E151,G151,I151,K151,M151,O151,Q151,S151,U151,W151,Y151,AA151,AC151,AE151),2),ROUND(_xlfn.STDEV.P(C151,E151,G151,I151,K151,M151,O151,Q151,S151,U151,W151,Y151,AA151,AC151,AE151),2)))</f>
        <v>724500</v>
      </c>
      <c r="C151" s="141">
        <f>IF($C$8="Habilitado",IF($A151="","",ROUND(VLOOKUP($A151,'Presupuesto Consolidado'!$A$9:$F$600,6,FALSE),2)),"")</f>
        <v>724500</v>
      </c>
      <c r="D151" s="142">
        <f t="shared" ref="D151" si="1823">IF($A151="","",IF(C151="","",IF($K$4="Media aritmética",(C151&lt;=$B151)*($G$5/$B$5)+(C151&gt;$B151)*0,IF(ROUND(AVERAGE($C151,$E151,$G151,$I151,$K151,$M151,$O151,$Q151,$S151,$U151,$W151,$Y151,$AA151,$AC151,$AE151),2)-$B151/2&lt;=C151,IF(ROUND(AVERAGE($C151,$E151,$G151,$I151,$K151,$M151,$O151,$Q151,$S151,$U151,$W151,$Y151,$AA151,$AC151,$AE151),2)+$B151/2&gt;C151,($G$5/$B$5),0),0))))</f>
        <v>0.45714285714285713</v>
      </c>
      <c r="E151" s="141" t="str">
        <f>IF($E$8="Habilitado",IF($A151="","",ROUND(VLOOKUP($A151,'Presupuesto Consolidado'!$I$9:$N$600,6,FALSE),2)),"")</f>
        <v/>
      </c>
      <c r="F151" s="142" t="str">
        <f t="shared" ref="F151" si="1824">IF($A151="","",IF(E151="","",IF($K$4="Media aritmética",(E151&lt;=$B151)*($G$5/$B$5)+(E151&gt;$B151)*0,IF(ROUND(AVERAGE($C151,$E151,$G151,$I151,$K151,$M151,$O151,$Q151,$S151,$U151,$W151,$Y151,$AA151,$AC151,$AE151),2)-$B151/2&lt;=E151,IF(ROUND(AVERAGE($C151,$E151,$G151,$I151,$K151,$M151,$O151,$Q151,$S151,$U151,$W151,$Y151,$AA151,$AC151,$AE151),2)+$B151/2&gt;E151,($G$5/$B$5),0),0))))</f>
        <v/>
      </c>
      <c r="G151" s="141" t="str">
        <f>IF($G$8="Habilitado",IF($A151="","",ROUND(VLOOKUP($A151,'Presupuesto Consolidado'!$Q$9:$V$600,6,FALSE),2)),"")</f>
        <v/>
      </c>
      <c r="H151" s="142" t="str">
        <f t="shared" ref="H151" si="1825">IF($A151="","",IF(G151="","",IF($K$4="Media aritmética",(G151&lt;=$B151)*($G$5/$B$5)+(G151&gt;$B151)*0,IF(ROUND(AVERAGE($C151,$E151,$G151,$I151,$K151,$M151,$O151,$Q151,$S151,$U151,$W151,$Y151,$AA151,$AC151,$AE151),2)-$B151/2&lt;=G151,IF(ROUND(AVERAGE($C151,$E151,$G151,$I151,$K151,$M151,$O151,$Q151,$S151,$U151,$W151,$Y151,$AA151,$AC151,$AE151),2)+$B151/2&gt;G151,($G$5/$B$5),0),0))))</f>
        <v/>
      </c>
      <c r="I151" s="141" t="str">
        <f>IF($I$8="Habilitado",IF($A151="","",ROUND(VLOOKUP($A151,'Presupuesto Consolidado'!$Y$9:$AD$600,6,FALSE),2)),"")</f>
        <v/>
      </c>
      <c r="J151" s="142" t="str">
        <f t="shared" ref="J151" si="1826">IF($A151="","",IF(I151="","",IF($K$4="Media aritmética",(I151&lt;=$B151)*($G$5/$B$5)+(I151&gt;$B151)*0,IF(ROUND(AVERAGE($C151,$E151,$G151,$I151,$K151,$M151,$O151,$Q151,$S151,$U151,$W151,$Y151,$AA151,$AC151,$AE151),2)-$B151/2&lt;=I151,IF(ROUND(AVERAGE($C151,$E151,$G151,$I151,$K151,$M151,$O151,$Q151,$S151,$U151,$W151,$Y151,$AA151,$AC151,$AE151),2)+$B151/2&gt;I151,($G$5/$B$5),0),0))))</f>
        <v/>
      </c>
      <c r="K151" s="141" t="str">
        <f>IF($K$8="Habilitado",IF($A151="","",ROUND(VLOOKUP($A151,'Presupuesto Consolidado'!#REF!,6,FALSE),2)),"")</f>
        <v/>
      </c>
      <c r="L151" s="142" t="str">
        <f t="shared" ref="L151" si="1827">IF($A151="","",IF(K151="","",IF($K$4="Media aritmética",(K151&lt;=$B151)*($G$5/$B$5)+(K151&gt;$B151)*0,IF(ROUND(AVERAGE($C151,$E151,$G151,$I151,$K151,$M151,$O151,$Q151,$S151,$U151,$W151,$Y151,$AA151,$AC151,$AE151),2)-$B151/2&lt;=K151,IF(ROUND(AVERAGE($C151,$E151,$G151,$I151,$K151,$M151,$O151,$Q151,$S151,$U151,$W151,$Y151,$AA151,$AC151,$AE151),2)+$B151/2&gt;K151,($G$5/$B$5),0),0))))</f>
        <v/>
      </c>
      <c r="M151" s="141" t="str">
        <f>IF($M$8="Habilitado",IF($A151="","",ROUND(VLOOKUP($A151,'Presupuesto Consolidado'!#REF!,6,FALSE),2)),"")</f>
        <v/>
      </c>
      <c r="N151" s="142" t="str">
        <f t="shared" ref="N151" si="1828">IF($A151="","",IF(M151="","",IF($K$4="Media aritmética",(M151&lt;=$B151)*($G$5/$B$5)+(M151&gt;$B151)*0,IF(ROUND(AVERAGE($C151,$E151,$G151,$I151,$K151,$M151,$O151,$Q151,$S151,$U151,$W151,$Y151,$AA151,$AC151,$AE151),2)-$B151/2&lt;=M151,IF(ROUND(AVERAGE($C151,$E151,$G151,$I151,$K151,$M151,$O151,$Q151,$S151,$U151,$W151,$Y151,$AA151,$AC151,$AE151),2)+$B151/2&gt;M151,($G$5/$B$5),0),0))))</f>
        <v/>
      </c>
      <c r="O151" s="141" t="str">
        <f>IF($O$8="Habilitado",IF($A151="","",ROUND(VLOOKUP($A151,'Presupuesto Consolidado'!#REF!,6,FALSE),2)),"")</f>
        <v/>
      </c>
      <c r="P151" s="142" t="str">
        <f t="shared" ref="P151" si="1829">IF($A151="","",IF(O151="","",IF($K$4="Media aritmética",(O151&lt;=$B151)*($G$5/$B$5)+(O151&gt;$B151)*0,IF(ROUND(AVERAGE($C151,$E151,$G151,$I151,$K151,$M151,$O151,$Q151,$S151,$U151,$W151,$Y151,$AA151,$AC151,$AE151),2)-$B151/2&lt;=O151,IF(ROUND(AVERAGE($C151,$E151,$G151,$I151,$K151,$M151,$O151,$Q151,$S151,$U151,$W151,$Y151,$AA151,$AC151,$AE151),2)+$B151/2&gt;O151,($G$5/$B$5),0),0))))</f>
        <v/>
      </c>
      <c r="Q151" s="141" t="str">
        <f>IF($Q$8="Habilitado",IF($A151="","",ROUND(VLOOKUP($A151,'Presupuesto Consolidado'!#REF!,6,FALSE),2)),"")</f>
        <v/>
      </c>
      <c r="R151" s="142" t="str">
        <f t="shared" ref="R151" si="1830">IF($A151="","",IF(Q151="","",IF($K$4="Media aritmética",(Q151&lt;=$B151)*($G$5/$B$5)+(Q151&gt;$B151)*0,IF(ROUND(AVERAGE($C151,$E151,$G151,$I151,$K151,$M151,$O151,$Q151,$S151,$U151,$W151,$Y151,$AA151,$AC151,$AE151),2)-$B151/2&lt;=Q151,IF(ROUND(AVERAGE($C151,$E151,$G151,$I151,$K151,$M151,$O151,$Q151,$S151,$U151,$W151,$Y151,$AA151,$AC151,$AE151),2)+$B151/2&gt;Q151,($G$5/$B$5),0),0))))</f>
        <v/>
      </c>
      <c r="S151" s="141" t="str">
        <f>IF($S$8="Habilitado",IF($A151="","",ROUND(VLOOKUP($A151,'Presupuesto Consolidado'!#REF!,6,FALSE),2)),"")</f>
        <v/>
      </c>
      <c r="T151" s="142" t="str">
        <f t="shared" ref="T151" si="1831">IF($A151="","",IF(S151="","",IF($K$4="Media aritmética",(S151&lt;=$B151)*($G$5/$B$5)+(S151&gt;$B151)*0,IF(ROUND(AVERAGE($C151,$E151,$G151,$I151,$K151,$M151,$O151,$Q151,$S151,$U151,$W151,$Y151,$AA151,$AC151,$AE151),2)-$B151/2&lt;=S151,IF(ROUND(AVERAGE($C151,$E151,$G151,$I151,$K151,$M151,$O151,$Q151,$S151,$U151,$W151,$Y151,$AA151,$AC151,$AE151),2)+$B151/2&gt;S151,($G$5/$B$5),0),0))))</f>
        <v/>
      </c>
      <c r="U151" s="141" t="str">
        <f>IF($U$8="Habilitado",IF($A151="","",ROUND(VLOOKUP($A151,'Presupuesto Consolidado'!#REF!,6,FALSE),2)),"")</f>
        <v/>
      </c>
      <c r="V151" s="142" t="str">
        <f t="shared" ref="V151" si="1832">IF($A151="","",IF(U151="","",IF($K$4="Media aritmética",(U151&lt;=$B151)*($G$5/$B$5)+(U151&gt;$B151)*0,IF(ROUND(AVERAGE($C151,$E151,$G151,$I151,$K151,$M151,$O151,$Q151,$S151,$U151,$W151,$Y151,$AA151,$AC151,$AE151),2)-$B151/2&lt;=U151,IF(ROUND(AVERAGE($C151,$E151,$G151,$I151,$K151,$M151,$O151,$Q151,$S151,$U151,$W151,$Y151,$AA151,$AC151,$AE151),2)+$B151/2&gt;U151,($G$5/$B$5),0),0))))</f>
        <v/>
      </c>
      <c r="W151" s="141" t="str">
        <f>IF($W$8="Habilitado",IF($A151="","",ROUND(VLOOKUP($A151,'Presupuesto Consolidado'!#REF!,6,FALSE),2)),"")</f>
        <v/>
      </c>
      <c r="X151" s="142" t="str">
        <f t="shared" ref="X151" si="1833">IF($A151="","",IF(W151="","",IF($K$4="Media aritmética",(W151&lt;=$B151)*($G$5/$B$5)+(W151&gt;$B151)*0,IF(ROUND(AVERAGE($C151,$E151,$G151,$I151,$K151,$M151,$O151,$Q151,$S151,$U151,$W151,$Y151,$AA151,$AC151,$AE151),2)-$B151/2&lt;=W151,IF(ROUND(AVERAGE($C151,$E151,$G151,$I151,$K151,$M151,$O151,$Q151,$S151,$U151,$W151,$Y151,$AA151,$AC151,$AE151),2)+$B151/2&gt;W151,($G$5/$B$5),0),0))))</f>
        <v/>
      </c>
      <c r="Y151" s="141" t="str">
        <f>IF($Y$8="Habilitado",IF($A151="","",ROUND(VLOOKUP($A151,'Presupuesto Consolidado'!#REF!,6,FALSE),2)),"")</f>
        <v/>
      </c>
      <c r="Z151" s="142" t="str">
        <f t="shared" ref="Z151" si="1834">IF($A151="","",IF(Y151="","",IF($K$4="Media aritmética",(Y151&lt;=$B151)*($G$5/$B$5)+(Y151&gt;$B151)*0,IF(ROUND(AVERAGE($C151,$E151,$G151,$I151,$K151,$M151,$O151,$Q151,$S151,$U151,$W151,$Y151,$AA151,$AC151,$AE151),2)-$B151/2&lt;=Y151,IF(ROUND(AVERAGE($C151,$E151,$G151,$I151,$K151,$M151,$O151,$Q151,$S151,$U151,$W151,$Y151,$AA151,$AC151,$AE151),2)+$B151/2&gt;Y151,($G$5/$B$5),0),0))))</f>
        <v/>
      </c>
      <c r="AA151" s="141" t="str">
        <f>IF($AA$8="Habilitado",IF($A151="","",ROUND(VLOOKUP($A151,'Presupuesto Consolidado'!#REF!,6,FALSE),2)),"")</f>
        <v/>
      </c>
      <c r="AB151" s="142" t="str">
        <f t="shared" ref="AB151" si="1835">IF($A151="","",IF(AA151="","",IF($K$4="Media aritmética",(AA151&lt;=$B151)*($G$5/$B$5)+(AA151&gt;$B151)*0,IF(ROUND(AVERAGE($C151,$E151,$G151,$I151,$K151,$M151,$O151,$Q151,$S151,$U151,$W151,$Y151,$AA151,$AC151,$AE151),2)-$B151/2&lt;=AA151,IF(ROUND(AVERAGE($C151,$E151,$G151,$I151,$K151,$M151,$O151,$Q151,$S151,$U151,$W151,$Y151,$AA151,$AC151,$AE151),2)+$B151/2&gt;AA151,($G$5/$B$5),0),0))))</f>
        <v/>
      </c>
      <c r="AC151" s="141" t="str">
        <f>IF($AC$8="Habilitado",IF($A151="","",ROUND(VLOOKUP($A151,'Presupuesto Consolidado'!#REF!,6,FALSE),2)),"")</f>
        <v/>
      </c>
      <c r="AD151" s="142" t="str">
        <f t="shared" ref="AD151" si="1836">IF($A151="","",IF(AC151="","",IF($K$4="Media aritmética",(AC151&lt;=$B151)*($G$5/$B$5)+(AC151&gt;$B151)*0,IF(ROUND(AVERAGE($C151,$E151,$G151,$I151,$K151,$M151,$O151,$Q151,$S151,$U151,$W151,$Y151,$AA151,$AC151,$AE151),2)-$B151/2&lt;=AC151,IF(ROUND(AVERAGE($C151,$E151,$G151,$I151,$K151,$M151,$O151,$Q151,$S151,$U151,$W151,$Y151,$AA151,$AC151,$AE151),2)+$B151/2&gt;AC151,($G$5/$B$5),0),0))))</f>
        <v/>
      </c>
      <c r="AE151" s="141" t="str">
        <f>IF($AE$8="Habilitado",IF($A151="","",ROUND(VLOOKUP($A151,'Presupuesto Consolidado'!#REF!,6,FALSE),2)),"")</f>
        <v/>
      </c>
      <c r="AF151" s="142" t="str">
        <f t="shared" ref="AF151" si="1837">IF($A151="","",IF(AE151="","",IF($K$4="Media aritmética",(AE151&lt;=$B151)*($G$5/$B$5)+(AE151&gt;$B151)*0,IF(ROUND(AVERAGE($C151,$E151,$G151,$I151,$K151,$M151,$O151,$Q151,$S151,$U151,$W151,$Y151,$AA151,$AC151,$AE151),2)-$B151/2&lt;=AE151,IF(ROUND(AVERAGE($C151,$E151,$G151,$I151,$K151,$M151,$O151,$Q151,$S151,$U151,$W151,$Y151,$AA151,$AC151,$AE151),2)+$B151/2&gt;AE151,($G$5/$B$5),0),0))))</f>
        <v/>
      </c>
    </row>
    <row r="152" spans="1:32" s="135" customFormat="1" ht="21" customHeight="1">
      <c r="A152" s="132" t="str">
        <f>+'Presupuesto Consolidado'!A178</f>
        <v>12.4.27</v>
      </c>
      <c r="B152" s="140">
        <f t="shared" ref="B152" si="1838">IF(A152="","",IF($K$4="Media aritmética",ROUND(AVERAGE(C152,E152,G152,I152,K152,M152,O152,Q152,S152,U152,W152,Y152,AA152,AC152,AE152),2),ROUND(_xlfn.STDEV.P(C152,E152,G152,I152,K152,M152,O152,Q152,S152,U152,W152,Y152,AA152,AC152,AE152),2)))</f>
        <v>465750</v>
      </c>
      <c r="C152" s="141">
        <f>IF($C$8="Habilitado",IF($A152="","",ROUND(VLOOKUP($A152,'Presupuesto Consolidado'!$A$9:$F$600,6,FALSE),2)),"")</f>
        <v>465750</v>
      </c>
      <c r="D152" s="142">
        <f t="shared" ref="D152" si="1839">IF($A152="","",IF(C152="","",IF($K$4="Media aritmética",(C152&lt;=$B152)*($G$5/$B$5)+(C152&gt;$B152)*0,IF(ROUND(AVERAGE($C152,$E152,$G152,$I152,$K152,$M152,$O152,$Q152,$S152,$U152,$W152,$Y152,$AA152,$AC152,$AE152),2)-$B152/2&lt;=C152,IF(ROUND(AVERAGE($C152,$E152,$G152,$I152,$K152,$M152,$O152,$Q152,$S152,$U152,$W152,$Y152,$AA152,$AC152,$AE152),2)+$B152/2&gt;C152,($G$5/$B$5),0),0))))</f>
        <v>0.45714285714285713</v>
      </c>
      <c r="E152" s="141" t="str">
        <f>IF($E$8="Habilitado",IF($A152="","",ROUND(VLOOKUP($A152,'Presupuesto Consolidado'!$I$9:$N$600,6,FALSE),2)),"")</f>
        <v/>
      </c>
      <c r="F152" s="142" t="str">
        <f t="shared" ref="F152" si="1840">IF($A152="","",IF(E152="","",IF($K$4="Media aritmética",(E152&lt;=$B152)*($G$5/$B$5)+(E152&gt;$B152)*0,IF(ROUND(AVERAGE($C152,$E152,$G152,$I152,$K152,$M152,$O152,$Q152,$S152,$U152,$W152,$Y152,$AA152,$AC152,$AE152),2)-$B152/2&lt;=E152,IF(ROUND(AVERAGE($C152,$E152,$G152,$I152,$K152,$M152,$O152,$Q152,$S152,$U152,$W152,$Y152,$AA152,$AC152,$AE152),2)+$B152/2&gt;E152,($G$5/$B$5),0),0))))</f>
        <v/>
      </c>
      <c r="G152" s="141" t="str">
        <f>IF($G$8="Habilitado",IF($A152="","",ROUND(VLOOKUP($A152,'Presupuesto Consolidado'!$Q$9:$V$600,6,FALSE),2)),"")</f>
        <v/>
      </c>
      <c r="H152" s="142" t="str">
        <f t="shared" ref="H152" si="1841">IF($A152="","",IF(G152="","",IF($K$4="Media aritmética",(G152&lt;=$B152)*($G$5/$B$5)+(G152&gt;$B152)*0,IF(ROUND(AVERAGE($C152,$E152,$G152,$I152,$K152,$M152,$O152,$Q152,$S152,$U152,$W152,$Y152,$AA152,$AC152,$AE152),2)-$B152/2&lt;=G152,IF(ROUND(AVERAGE($C152,$E152,$G152,$I152,$K152,$M152,$O152,$Q152,$S152,$U152,$W152,$Y152,$AA152,$AC152,$AE152),2)+$B152/2&gt;G152,($G$5/$B$5),0),0))))</f>
        <v/>
      </c>
      <c r="I152" s="141" t="str">
        <f>IF($I$8="Habilitado",IF($A152="","",ROUND(VLOOKUP($A152,'Presupuesto Consolidado'!$Y$9:$AD$600,6,FALSE),2)),"")</f>
        <v/>
      </c>
      <c r="J152" s="142" t="str">
        <f t="shared" ref="J152" si="1842">IF($A152="","",IF(I152="","",IF($K$4="Media aritmética",(I152&lt;=$B152)*($G$5/$B$5)+(I152&gt;$B152)*0,IF(ROUND(AVERAGE($C152,$E152,$G152,$I152,$K152,$M152,$O152,$Q152,$S152,$U152,$W152,$Y152,$AA152,$AC152,$AE152),2)-$B152/2&lt;=I152,IF(ROUND(AVERAGE($C152,$E152,$G152,$I152,$K152,$M152,$O152,$Q152,$S152,$U152,$W152,$Y152,$AA152,$AC152,$AE152),2)+$B152/2&gt;I152,($G$5/$B$5),0),0))))</f>
        <v/>
      </c>
      <c r="K152" s="141" t="str">
        <f>IF($K$8="Habilitado",IF($A152="","",ROUND(VLOOKUP($A152,'Presupuesto Consolidado'!#REF!,6,FALSE),2)),"")</f>
        <v/>
      </c>
      <c r="L152" s="142" t="str">
        <f t="shared" ref="L152" si="1843">IF($A152="","",IF(K152="","",IF($K$4="Media aritmética",(K152&lt;=$B152)*($G$5/$B$5)+(K152&gt;$B152)*0,IF(ROUND(AVERAGE($C152,$E152,$G152,$I152,$K152,$M152,$O152,$Q152,$S152,$U152,$W152,$Y152,$AA152,$AC152,$AE152),2)-$B152/2&lt;=K152,IF(ROUND(AVERAGE($C152,$E152,$G152,$I152,$K152,$M152,$O152,$Q152,$S152,$U152,$W152,$Y152,$AA152,$AC152,$AE152),2)+$B152/2&gt;K152,($G$5/$B$5),0),0))))</f>
        <v/>
      </c>
      <c r="M152" s="141" t="str">
        <f>IF($M$8="Habilitado",IF($A152="","",ROUND(VLOOKUP($A152,'Presupuesto Consolidado'!#REF!,6,FALSE),2)),"")</f>
        <v/>
      </c>
      <c r="N152" s="142" t="str">
        <f t="shared" ref="N152" si="1844">IF($A152="","",IF(M152="","",IF($K$4="Media aritmética",(M152&lt;=$B152)*($G$5/$B$5)+(M152&gt;$B152)*0,IF(ROUND(AVERAGE($C152,$E152,$G152,$I152,$K152,$M152,$O152,$Q152,$S152,$U152,$W152,$Y152,$AA152,$AC152,$AE152),2)-$B152/2&lt;=M152,IF(ROUND(AVERAGE($C152,$E152,$G152,$I152,$K152,$M152,$O152,$Q152,$S152,$U152,$W152,$Y152,$AA152,$AC152,$AE152),2)+$B152/2&gt;M152,($G$5/$B$5),0),0))))</f>
        <v/>
      </c>
      <c r="O152" s="141" t="str">
        <f>IF($O$8="Habilitado",IF($A152="","",ROUND(VLOOKUP($A152,'Presupuesto Consolidado'!#REF!,6,FALSE),2)),"")</f>
        <v/>
      </c>
      <c r="P152" s="142" t="str">
        <f t="shared" ref="P152" si="1845">IF($A152="","",IF(O152="","",IF($K$4="Media aritmética",(O152&lt;=$B152)*($G$5/$B$5)+(O152&gt;$B152)*0,IF(ROUND(AVERAGE($C152,$E152,$G152,$I152,$K152,$M152,$O152,$Q152,$S152,$U152,$W152,$Y152,$AA152,$AC152,$AE152),2)-$B152/2&lt;=O152,IF(ROUND(AVERAGE($C152,$E152,$G152,$I152,$K152,$M152,$O152,$Q152,$S152,$U152,$W152,$Y152,$AA152,$AC152,$AE152),2)+$B152/2&gt;O152,($G$5/$B$5),0),0))))</f>
        <v/>
      </c>
      <c r="Q152" s="141" t="str">
        <f>IF($Q$8="Habilitado",IF($A152="","",ROUND(VLOOKUP($A152,'Presupuesto Consolidado'!#REF!,6,FALSE),2)),"")</f>
        <v/>
      </c>
      <c r="R152" s="142" t="str">
        <f t="shared" ref="R152" si="1846">IF($A152="","",IF(Q152="","",IF($K$4="Media aritmética",(Q152&lt;=$B152)*($G$5/$B$5)+(Q152&gt;$B152)*0,IF(ROUND(AVERAGE($C152,$E152,$G152,$I152,$K152,$M152,$O152,$Q152,$S152,$U152,$W152,$Y152,$AA152,$AC152,$AE152),2)-$B152/2&lt;=Q152,IF(ROUND(AVERAGE($C152,$E152,$G152,$I152,$K152,$M152,$O152,$Q152,$S152,$U152,$W152,$Y152,$AA152,$AC152,$AE152),2)+$B152/2&gt;Q152,($G$5/$B$5),0),0))))</f>
        <v/>
      </c>
      <c r="S152" s="141" t="str">
        <f>IF($S$8="Habilitado",IF($A152="","",ROUND(VLOOKUP($A152,'Presupuesto Consolidado'!#REF!,6,FALSE),2)),"")</f>
        <v/>
      </c>
      <c r="T152" s="142" t="str">
        <f t="shared" ref="T152" si="1847">IF($A152="","",IF(S152="","",IF($K$4="Media aritmética",(S152&lt;=$B152)*($G$5/$B$5)+(S152&gt;$B152)*0,IF(ROUND(AVERAGE($C152,$E152,$G152,$I152,$K152,$M152,$O152,$Q152,$S152,$U152,$W152,$Y152,$AA152,$AC152,$AE152),2)-$B152/2&lt;=S152,IF(ROUND(AVERAGE($C152,$E152,$G152,$I152,$K152,$M152,$O152,$Q152,$S152,$U152,$W152,$Y152,$AA152,$AC152,$AE152),2)+$B152/2&gt;S152,($G$5/$B$5),0),0))))</f>
        <v/>
      </c>
      <c r="U152" s="141" t="str">
        <f>IF($U$8="Habilitado",IF($A152="","",ROUND(VLOOKUP($A152,'Presupuesto Consolidado'!#REF!,6,FALSE),2)),"")</f>
        <v/>
      </c>
      <c r="V152" s="142" t="str">
        <f t="shared" ref="V152" si="1848">IF($A152="","",IF(U152="","",IF($K$4="Media aritmética",(U152&lt;=$B152)*($G$5/$B$5)+(U152&gt;$B152)*0,IF(ROUND(AVERAGE($C152,$E152,$G152,$I152,$K152,$M152,$O152,$Q152,$S152,$U152,$W152,$Y152,$AA152,$AC152,$AE152),2)-$B152/2&lt;=U152,IF(ROUND(AVERAGE($C152,$E152,$G152,$I152,$K152,$M152,$O152,$Q152,$S152,$U152,$W152,$Y152,$AA152,$AC152,$AE152),2)+$B152/2&gt;U152,($G$5/$B$5),0),0))))</f>
        <v/>
      </c>
      <c r="W152" s="141" t="str">
        <f>IF($W$8="Habilitado",IF($A152="","",ROUND(VLOOKUP($A152,'Presupuesto Consolidado'!#REF!,6,FALSE),2)),"")</f>
        <v/>
      </c>
      <c r="X152" s="142" t="str">
        <f t="shared" ref="X152" si="1849">IF($A152="","",IF(W152="","",IF($K$4="Media aritmética",(W152&lt;=$B152)*($G$5/$B$5)+(W152&gt;$B152)*0,IF(ROUND(AVERAGE($C152,$E152,$G152,$I152,$K152,$M152,$O152,$Q152,$S152,$U152,$W152,$Y152,$AA152,$AC152,$AE152),2)-$B152/2&lt;=W152,IF(ROUND(AVERAGE($C152,$E152,$G152,$I152,$K152,$M152,$O152,$Q152,$S152,$U152,$W152,$Y152,$AA152,$AC152,$AE152),2)+$B152/2&gt;W152,($G$5/$B$5),0),0))))</f>
        <v/>
      </c>
      <c r="Y152" s="141" t="str">
        <f>IF($Y$8="Habilitado",IF($A152="","",ROUND(VLOOKUP($A152,'Presupuesto Consolidado'!#REF!,6,FALSE),2)),"")</f>
        <v/>
      </c>
      <c r="Z152" s="142" t="str">
        <f t="shared" ref="Z152" si="1850">IF($A152="","",IF(Y152="","",IF($K$4="Media aritmética",(Y152&lt;=$B152)*($G$5/$B$5)+(Y152&gt;$B152)*0,IF(ROUND(AVERAGE($C152,$E152,$G152,$I152,$K152,$M152,$O152,$Q152,$S152,$U152,$W152,$Y152,$AA152,$AC152,$AE152),2)-$B152/2&lt;=Y152,IF(ROUND(AVERAGE($C152,$E152,$G152,$I152,$K152,$M152,$O152,$Q152,$S152,$U152,$W152,$Y152,$AA152,$AC152,$AE152),2)+$B152/2&gt;Y152,($G$5/$B$5),0),0))))</f>
        <v/>
      </c>
      <c r="AA152" s="141" t="str">
        <f>IF($AA$8="Habilitado",IF($A152="","",ROUND(VLOOKUP($A152,'Presupuesto Consolidado'!#REF!,6,FALSE),2)),"")</f>
        <v/>
      </c>
      <c r="AB152" s="142" t="str">
        <f t="shared" ref="AB152" si="1851">IF($A152="","",IF(AA152="","",IF($K$4="Media aritmética",(AA152&lt;=$B152)*($G$5/$B$5)+(AA152&gt;$B152)*0,IF(ROUND(AVERAGE($C152,$E152,$G152,$I152,$K152,$M152,$O152,$Q152,$S152,$U152,$W152,$Y152,$AA152,$AC152,$AE152),2)-$B152/2&lt;=AA152,IF(ROUND(AVERAGE($C152,$E152,$G152,$I152,$K152,$M152,$O152,$Q152,$S152,$U152,$W152,$Y152,$AA152,$AC152,$AE152),2)+$B152/2&gt;AA152,($G$5/$B$5),0),0))))</f>
        <v/>
      </c>
      <c r="AC152" s="141" t="str">
        <f>IF($AC$8="Habilitado",IF($A152="","",ROUND(VLOOKUP($A152,'Presupuesto Consolidado'!#REF!,6,FALSE),2)),"")</f>
        <v/>
      </c>
      <c r="AD152" s="142" t="str">
        <f t="shared" ref="AD152" si="1852">IF($A152="","",IF(AC152="","",IF($K$4="Media aritmética",(AC152&lt;=$B152)*($G$5/$B$5)+(AC152&gt;$B152)*0,IF(ROUND(AVERAGE($C152,$E152,$G152,$I152,$K152,$M152,$O152,$Q152,$S152,$U152,$W152,$Y152,$AA152,$AC152,$AE152),2)-$B152/2&lt;=AC152,IF(ROUND(AVERAGE($C152,$E152,$G152,$I152,$K152,$M152,$O152,$Q152,$S152,$U152,$W152,$Y152,$AA152,$AC152,$AE152),2)+$B152/2&gt;AC152,($G$5/$B$5),0),0))))</f>
        <v/>
      </c>
      <c r="AE152" s="141" t="str">
        <f>IF($AE$8="Habilitado",IF($A152="","",ROUND(VLOOKUP($A152,'Presupuesto Consolidado'!#REF!,6,FALSE),2)),"")</f>
        <v/>
      </c>
      <c r="AF152" s="142" t="str">
        <f t="shared" ref="AF152" si="1853">IF($A152="","",IF(AE152="","",IF($K$4="Media aritmética",(AE152&lt;=$B152)*($G$5/$B$5)+(AE152&gt;$B152)*0,IF(ROUND(AVERAGE($C152,$E152,$G152,$I152,$K152,$M152,$O152,$Q152,$S152,$U152,$W152,$Y152,$AA152,$AC152,$AE152),2)-$B152/2&lt;=AE152,IF(ROUND(AVERAGE($C152,$E152,$G152,$I152,$K152,$M152,$O152,$Q152,$S152,$U152,$W152,$Y152,$AA152,$AC152,$AE152),2)+$B152/2&gt;AE152,($G$5/$B$5),0),0))))</f>
        <v/>
      </c>
    </row>
    <row r="153" spans="1:32" s="135" customFormat="1" ht="21" customHeight="1">
      <c r="A153" s="132" t="str">
        <f>+'Presupuesto Consolidado'!A179</f>
        <v>12.4.28</v>
      </c>
      <c r="B153" s="140">
        <f t="shared" ref="B153" si="1854">IF(A153="","",IF($K$4="Media aritmética",ROUND(AVERAGE(C153,E153,G153,I153,K153,M153,O153,Q153,S153,U153,W153,Y153,AA153,AC153,AE153),2),ROUND(_xlfn.STDEV.P(C153,E153,G153,I153,K153,M153,O153,Q153,S153,U153,W153,Y153,AA153,AC153,AE153),2)))</f>
        <v>5176</v>
      </c>
      <c r="C153" s="141">
        <f>IF($C$8="Habilitado",IF($A153="","",ROUND(VLOOKUP($A153,'Presupuesto Consolidado'!$A$9:$F$600,6,FALSE),2)),"")</f>
        <v>5176</v>
      </c>
      <c r="D153" s="142">
        <f t="shared" ref="D153" si="1855">IF($A153="","",IF(C153="","",IF($K$4="Media aritmética",(C153&lt;=$B153)*($G$5/$B$5)+(C153&gt;$B153)*0,IF(ROUND(AVERAGE($C153,$E153,$G153,$I153,$K153,$M153,$O153,$Q153,$S153,$U153,$W153,$Y153,$AA153,$AC153,$AE153),2)-$B153/2&lt;=C153,IF(ROUND(AVERAGE($C153,$E153,$G153,$I153,$K153,$M153,$O153,$Q153,$S153,$U153,$W153,$Y153,$AA153,$AC153,$AE153),2)+$B153/2&gt;C153,($G$5/$B$5),0),0))))</f>
        <v>0.45714285714285713</v>
      </c>
      <c r="E153" s="141" t="str">
        <f>IF($E$8="Habilitado",IF($A153="","",ROUND(VLOOKUP($A153,'Presupuesto Consolidado'!$I$9:$N$600,6,FALSE),2)),"")</f>
        <v/>
      </c>
      <c r="F153" s="142" t="str">
        <f t="shared" ref="F153" si="1856">IF($A153="","",IF(E153="","",IF($K$4="Media aritmética",(E153&lt;=$B153)*($G$5/$B$5)+(E153&gt;$B153)*0,IF(ROUND(AVERAGE($C153,$E153,$G153,$I153,$K153,$M153,$O153,$Q153,$S153,$U153,$W153,$Y153,$AA153,$AC153,$AE153),2)-$B153/2&lt;=E153,IF(ROUND(AVERAGE($C153,$E153,$G153,$I153,$K153,$M153,$O153,$Q153,$S153,$U153,$W153,$Y153,$AA153,$AC153,$AE153),2)+$B153/2&gt;E153,($G$5/$B$5),0),0))))</f>
        <v/>
      </c>
      <c r="G153" s="141" t="str">
        <f>IF($G$8="Habilitado",IF($A153="","",ROUND(VLOOKUP($A153,'Presupuesto Consolidado'!$Q$9:$V$600,6,FALSE),2)),"")</f>
        <v/>
      </c>
      <c r="H153" s="142" t="str">
        <f t="shared" ref="H153" si="1857">IF($A153="","",IF(G153="","",IF($K$4="Media aritmética",(G153&lt;=$B153)*($G$5/$B$5)+(G153&gt;$B153)*0,IF(ROUND(AVERAGE($C153,$E153,$G153,$I153,$K153,$M153,$O153,$Q153,$S153,$U153,$W153,$Y153,$AA153,$AC153,$AE153),2)-$B153/2&lt;=G153,IF(ROUND(AVERAGE($C153,$E153,$G153,$I153,$K153,$M153,$O153,$Q153,$S153,$U153,$W153,$Y153,$AA153,$AC153,$AE153),2)+$B153/2&gt;G153,($G$5/$B$5),0),0))))</f>
        <v/>
      </c>
      <c r="I153" s="141" t="str">
        <f>IF($I$8="Habilitado",IF($A153="","",ROUND(VLOOKUP($A153,'Presupuesto Consolidado'!$Y$9:$AD$600,6,FALSE),2)),"")</f>
        <v/>
      </c>
      <c r="J153" s="142" t="str">
        <f t="shared" ref="J153" si="1858">IF($A153="","",IF(I153="","",IF($K$4="Media aritmética",(I153&lt;=$B153)*($G$5/$B$5)+(I153&gt;$B153)*0,IF(ROUND(AVERAGE($C153,$E153,$G153,$I153,$K153,$M153,$O153,$Q153,$S153,$U153,$W153,$Y153,$AA153,$AC153,$AE153),2)-$B153/2&lt;=I153,IF(ROUND(AVERAGE($C153,$E153,$G153,$I153,$K153,$M153,$O153,$Q153,$S153,$U153,$W153,$Y153,$AA153,$AC153,$AE153),2)+$B153/2&gt;I153,($G$5/$B$5),0),0))))</f>
        <v/>
      </c>
      <c r="K153" s="141" t="str">
        <f>IF($K$8="Habilitado",IF($A153="","",ROUND(VLOOKUP($A153,'Presupuesto Consolidado'!#REF!,6,FALSE),2)),"")</f>
        <v/>
      </c>
      <c r="L153" s="142" t="str">
        <f t="shared" ref="L153" si="1859">IF($A153="","",IF(K153="","",IF($K$4="Media aritmética",(K153&lt;=$B153)*($G$5/$B$5)+(K153&gt;$B153)*0,IF(ROUND(AVERAGE($C153,$E153,$G153,$I153,$K153,$M153,$O153,$Q153,$S153,$U153,$W153,$Y153,$AA153,$AC153,$AE153),2)-$B153/2&lt;=K153,IF(ROUND(AVERAGE($C153,$E153,$G153,$I153,$K153,$M153,$O153,$Q153,$S153,$U153,$W153,$Y153,$AA153,$AC153,$AE153),2)+$B153/2&gt;K153,($G$5/$B$5),0),0))))</f>
        <v/>
      </c>
      <c r="M153" s="141" t="str">
        <f>IF($M$8="Habilitado",IF($A153="","",ROUND(VLOOKUP($A153,'Presupuesto Consolidado'!#REF!,6,FALSE),2)),"")</f>
        <v/>
      </c>
      <c r="N153" s="142" t="str">
        <f t="shared" ref="N153" si="1860">IF($A153="","",IF(M153="","",IF($K$4="Media aritmética",(M153&lt;=$B153)*($G$5/$B$5)+(M153&gt;$B153)*0,IF(ROUND(AVERAGE($C153,$E153,$G153,$I153,$K153,$M153,$O153,$Q153,$S153,$U153,$W153,$Y153,$AA153,$AC153,$AE153),2)-$B153/2&lt;=M153,IF(ROUND(AVERAGE($C153,$E153,$G153,$I153,$K153,$M153,$O153,$Q153,$S153,$U153,$W153,$Y153,$AA153,$AC153,$AE153),2)+$B153/2&gt;M153,($G$5/$B$5),0),0))))</f>
        <v/>
      </c>
      <c r="O153" s="141" t="str">
        <f>IF($O$8="Habilitado",IF($A153="","",ROUND(VLOOKUP($A153,'Presupuesto Consolidado'!#REF!,6,FALSE),2)),"")</f>
        <v/>
      </c>
      <c r="P153" s="142" t="str">
        <f t="shared" ref="P153" si="1861">IF($A153="","",IF(O153="","",IF($K$4="Media aritmética",(O153&lt;=$B153)*($G$5/$B$5)+(O153&gt;$B153)*0,IF(ROUND(AVERAGE($C153,$E153,$G153,$I153,$K153,$M153,$O153,$Q153,$S153,$U153,$W153,$Y153,$AA153,$AC153,$AE153),2)-$B153/2&lt;=O153,IF(ROUND(AVERAGE($C153,$E153,$G153,$I153,$K153,$M153,$O153,$Q153,$S153,$U153,$W153,$Y153,$AA153,$AC153,$AE153),2)+$B153/2&gt;O153,($G$5/$B$5),0),0))))</f>
        <v/>
      </c>
      <c r="Q153" s="141" t="str">
        <f>IF($Q$8="Habilitado",IF($A153="","",ROUND(VLOOKUP($A153,'Presupuesto Consolidado'!#REF!,6,FALSE),2)),"")</f>
        <v/>
      </c>
      <c r="R153" s="142" t="str">
        <f t="shared" ref="R153" si="1862">IF($A153="","",IF(Q153="","",IF($K$4="Media aritmética",(Q153&lt;=$B153)*($G$5/$B$5)+(Q153&gt;$B153)*0,IF(ROUND(AVERAGE($C153,$E153,$G153,$I153,$K153,$M153,$O153,$Q153,$S153,$U153,$W153,$Y153,$AA153,$AC153,$AE153),2)-$B153/2&lt;=Q153,IF(ROUND(AVERAGE($C153,$E153,$G153,$I153,$K153,$M153,$O153,$Q153,$S153,$U153,$W153,$Y153,$AA153,$AC153,$AE153),2)+$B153/2&gt;Q153,($G$5/$B$5),0),0))))</f>
        <v/>
      </c>
      <c r="S153" s="141" t="str">
        <f>IF($S$8="Habilitado",IF($A153="","",ROUND(VLOOKUP($A153,'Presupuesto Consolidado'!#REF!,6,FALSE),2)),"")</f>
        <v/>
      </c>
      <c r="T153" s="142" t="str">
        <f t="shared" ref="T153" si="1863">IF($A153="","",IF(S153="","",IF($K$4="Media aritmética",(S153&lt;=$B153)*($G$5/$B$5)+(S153&gt;$B153)*0,IF(ROUND(AVERAGE($C153,$E153,$G153,$I153,$K153,$M153,$O153,$Q153,$S153,$U153,$W153,$Y153,$AA153,$AC153,$AE153),2)-$B153/2&lt;=S153,IF(ROUND(AVERAGE($C153,$E153,$G153,$I153,$K153,$M153,$O153,$Q153,$S153,$U153,$W153,$Y153,$AA153,$AC153,$AE153),2)+$B153/2&gt;S153,($G$5/$B$5),0),0))))</f>
        <v/>
      </c>
      <c r="U153" s="141" t="str">
        <f>IF($U$8="Habilitado",IF($A153="","",ROUND(VLOOKUP($A153,'Presupuesto Consolidado'!#REF!,6,FALSE),2)),"")</f>
        <v/>
      </c>
      <c r="V153" s="142" t="str">
        <f t="shared" ref="V153" si="1864">IF($A153="","",IF(U153="","",IF($K$4="Media aritmética",(U153&lt;=$B153)*($G$5/$B$5)+(U153&gt;$B153)*0,IF(ROUND(AVERAGE($C153,$E153,$G153,$I153,$K153,$M153,$O153,$Q153,$S153,$U153,$W153,$Y153,$AA153,$AC153,$AE153),2)-$B153/2&lt;=U153,IF(ROUND(AVERAGE($C153,$E153,$G153,$I153,$K153,$M153,$O153,$Q153,$S153,$U153,$W153,$Y153,$AA153,$AC153,$AE153),2)+$B153/2&gt;U153,($G$5/$B$5),0),0))))</f>
        <v/>
      </c>
      <c r="W153" s="141" t="str">
        <f>IF($W$8="Habilitado",IF($A153="","",ROUND(VLOOKUP($A153,'Presupuesto Consolidado'!#REF!,6,FALSE),2)),"")</f>
        <v/>
      </c>
      <c r="X153" s="142" t="str">
        <f t="shared" ref="X153" si="1865">IF($A153="","",IF(W153="","",IF($K$4="Media aritmética",(W153&lt;=$B153)*($G$5/$B$5)+(W153&gt;$B153)*0,IF(ROUND(AVERAGE($C153,$E153,$G153,$I153,$K153,$M153,$O153,$Q153,$S153,$U153,$W153,$Y153,$AA153,$AC153,$AE153),2)-$B153/2&lt;=W153,IF(ROUND(AVERAGE($C153,$E153,$G153,$I153,$K153,$M153,$O153,$Q153,$S153,$U153,$W153,$Y153,$AA153,$AC153,$AE153),2)+$B153/2&gt;W153,($G$5/$B$5),0),0))))</f>
        <v/>
      </c>
      <c r="Y153" s="141" t="str">
        <f>IF($Y$8="Habilitado",IF($A153="","",ROUND(VLOOKUP($A153,'Presupuesto Consolidado'!#REF!,6,FALSE),2)),"")</f>
        <v/>
      </c>
      <c r="Z153" s="142" t="str">
        <f t="shared" ref="Z153" si="1866">IF($A153="","",IF(Y153="","",IF($K$4="Media aritmética",(Y153&lt;=$B153)*($G$5/$B$5)+(Y153&gt;$B153)*0,IF(ROUND(AVERAGE($C153,$E153,$G153,$I153,$K153,$M153,$O153,$Q153,$S153,$U153,$W153,$Y153,$AA153,$AC153,$AE153),2)-$B153/2&lt;=Y153,IF(ROUND(AVERAGE($C153,$E153,$G153,$I153,$K153,$M153,$O153,$Q153,$S153,$U153,$W153,$Y153,$AA153,$AC153,$AE153),2)+$B153/2&gt;Y153,($G$5/$B$5),0),0))))</f>
        <v/>
      </c>
      <c r="AA153" s="141" t="str">
        <f>IF($AA$8="Habilitado",IF($A153="","",ROUND(VLOOKUP($A153,'Presupuesto Consolidado'!#REF!,6,FALSE),2)),"")</f>
        <v/>
      </c>
      <c r="AB153" s="142" t="str">
        <f t="shared" ref="AB153" si="1867">IF($A153="","",IF(AA153="","",IF($K$4="Media aritmética",(AA153&lt;=$B153)*($G$5/$B$5)+(AA153&gt;$B153)*0,IF(ROUND(AVERAGE($C153,$E153,$G153,$I153,$K153,$M153,$O153,$Q153,$S153,$U153,$W153,$Y153,$AA153,$AC153,$AE153),2)-$B153/2&lt;=AA153,IF(ROUND(AVERAGE($C153,$E153,$G153,$I153,$K153,$M153,$O153,$Q153,$S153,$U153,$W153,$Y153,$AA153,$AC153,$AE153),2)+$B153/2&gt;AA153,($G$5/$B$5),0),0))))</f>
        <v/>
      </c>
      <c r="AC153" s="141" t="str">
        <f>IF($AC$8="Habilitado",IF($A153="","",ROUND(VLOOKUP($A153,'Presupuesto Consolidado'!#REF!,6,FALSE),2)),"")</f>
        <v/>
      </c>
      <c r="AD153" s="142" t="str">
        <f t="shared" ref="AD153" si="1868">IF($A153="","",IF(AC153="","",IF($K$4="Media aritmética",(AC153&lt;=$B153)*($G$5/$B$5)+(AC153&gt;$B153)*0,IF(ROUND(AVERAGE($C153,$E153,$G153,$I153,$K153,$M153,$O153,$Q153,$S153,$U153,$W153,$Y153,$AA153,$AC153,$AE153),2)-$B153/2&lt;=AC153,IF(ROUND(AVERAGE($C153,$E153,$G153,$I153,$K153,$M153,$O153,$Q153,$S153,$U153,$W153,$Y153,$AA153,$AC153,$AE153),2)+$B153/2&gt;AC153,($G$5/$B$5),0),0))))</f>
        <v/>
      </c>
      <c r="AE153" s="141" t="str">
        <f>IF($AE$8="Habilitado",IF($A153="","",ROUND(VLOOKUP($A153,'Presupuesto Consolidado'!#REF!,6,FALSE),2)),"")</f>
        <v/>
      </c>
      <c r="AF153" s="142" t="str">
        <f t="shared" ref="AF153" si="1869">IF($A153="","",IF(AE153="","",IF($K$4="Media aritmética",(AE153&lt;=$B153)*($G$5/$B$5)+(AE153&gt;$B153)*0,IF(ROUND(AVERAGE($C153,$E153,$G153,$I153,$K153,$M153,$O153,$Q153,$S153,$U153,$W153,$Y153,$AA153,$AC153,$AE153),2)-$B153/2&lt;=AE153,IF(ROUND(AVERAGE($C153,$E153,$G153,$I153,$K153,$M153,$O153,$Q153,$S153,$U153,$W153,$Y153,$AA153,$AC153,$AE153),2)+$B153/2&gt;AE153,($G$5/$B$5),0),0))))</f>
        <v/>
      </c>
    </row>
    <row r="154" spans="1:32" s="135" customFormat="1" ht="21" customHeight="1">
      <c r="A154" s="132" t="str">
        <f>+'Presupuesto Consolidado'!A180</f>
        <v>12.4.29</v>
      </c>
      <c r="B154" s="140">
        <f t="shared" ref="B154" si="1870">IF(A154="","",IF($K$4="Media aritmética",ROUND(AVERAGE(C154,E154,G154,I154,K154,M154,O154,Q154,S154,U154,W154,Y154,AA154,AC154,AE154),2),ROUND(_xlfn.STDEV.P(C154,E154,G154,I154,K154,M154,O154,Q154,S154,U154,W154,Y154,AA154,AC154,AE154),2)))</f>
        <v>31050</v>
      </c>
      <c r="C154" s="141">
        <f>IF($C$8="Habilitado",IF($A154="","",ROUND(VLOOKUP($A154,'Presupuesto Consolidado'!$A$9:$F$600,6,FALSE),2)),"")</f>
        <v>31050</v>
      </c>
      <c r="D154" s="142">
        <f t="shared" ref="D154" si="1871">IF($A154="","",IF(C154="","",IF($K$4="Media aritmética",(C154&lt;=$B154)*($G$5/$B$5)+(C154&gt;$B154)*0,IF(ROUND(AVERAGE($C154,$E154,$G154,$I154,$K154,$M154,$O154,$Q154,$S154,$U154,$W154,$Y154,$AA154,$AC154,$AE154),2)-$B154/2&lt;=C154,IF(ROUND(AVERAGE($C154,$E154,$G154,$I154,$K154,$M154,$O154,$Q154,$S154,$U154,$W154,$Y154,$AA154,$AC154,$AE154),2)+$B154/2&gt;C154,($G$5/$B$5),0),0))))</f>
        <v>0.45714285714285713</v>
      </c>
      <c r="E154" s="141" t="str">
        <f>IF($E$8="Habilitado",IF($A154="","",ROUND(VLOOKUP($A154,'Presupuesto Consolidado'!$I$9:$N$600,6,FALSE),2)),"")</f>
        <v/>
      </c>
      <c r="F154" s="142" t="str">
        <f t="shared" ref="F154" si="1872">IF($A154="","",IF(E154="","",IF($K$4="Media aritmética",(E154&lt;=$B154)*($G$5/$B$5)+(E154&gt;$B154)*0,IF(ROUND(AVERAGE($C154,$E154,$G154,$I154,$K154,$M154,$O154,$Q154,$S154,$U154,$W154,$Y154,$AA154,$AC154,$AE154),2)-$B154/2&lt;=E154,IF(ROUND(AVERAGE($C154,$E154,$G154,$I154,$K154,$M154,$O154,$Q154,$S154,$U154,$W154,$Y154,$AA154,$AC154,$AE154),2)+$B154/2&gt;E154,($G$5/$B$5),0),0))))</f>
        <v/>
      </c>
      <c r="G154" s="141" t="str">
        <f>IF($G$8="Habilitado",IF($A154="","",ROUND(VLOOKUP($A154,'Presupuesto Consolidado'!$Q$9:$V$600,6,FALSE),2)),"")</f>
        <v/>
      </c>
      <c r="H154" s="142" t="str">
        <f t="shared" ref="H154" si="1873">IF($A154="","",IF(G154="","",IF($K$4="Media aritmética",(G154&lt;=$B154)*($G$5/$B$5)+(G154&gt;$B154)*0,IF(ROUND(AVERAGE($C154,$E154,$G154,$I154,$K154,$M154,$O154,$Q154,$S154,$U154,$W154,$Y154,$AA154,$AC154,$AE154),2)-$B154/2&lt;=G154,IF(ROUND(AVERAGE($C154,$E154,$G154,$I154,$K154,$M154,$O154,$Q154,$S154,$U154,$W154,$Y154,$AA154,$AC154,$AE154),2)+$B154/2&gt;G154,($G$5/$B$5),0),0))))</f>
        <v/>
      </c>
      <c r="I154" s="141" t="str">
        <f>IF($I$8="Habilitado",IF($A154="","",ROUND(VLOOKUP($A154,'Presupuesto Consolidado'!$Y$9:$AD$600,6,FALSE),2)),"")</f>
        <v/>
      </c>
      <c r="J154" s="142" t="str">
        <f t="shared" ref="J154" si="1874">IF($A154="","",IF(I154="","",IF($K$4="Media aritmética",(I154&lt;=$B154)*($G$5/$B$5)+(I154&gt;$B154)*0,IF(ROUND(AVERAGE($C154,$E154,$G154,$I154,$K154,$M154,$O154,$Q154,$S154,$U154,$W154,$Y154,$AA154,$AC154,$AE154),2)-$B154/2&lt;=I154,IF(ROUND(AVERAGE($C154,$E154,$G154,$I154,$K154,$M154,$O154,$Q154,$S154,$U154,$W154,$Y154,$AA154,$AC154,$AE154),2)+$B154/2&gt;I154,($G$5/$B$5),0),0))))</f>
        <v/>
      </c>
      <c r="K154" s="141" t="str">
        <f>IF($K$8="Habilitado",IF($A154="","",ROUND(VLOOKUP($A154,'Presupuesto Consolidado'!#REF!,6,FALSE),2)),"")</f>
        <v/>
      </c>
      <c r="L154" s="142" t="str">
        <f t="shared" ref="L154" si="1875">IF($A154="","",IF(K154="","",IF($K$4="Media aritmética",(K154&lt;=$B154)*($G$5/$B$5)+(K154&gt;$B154)*0,IF(ROUND(AVERAGE($C154,$E154,$G154,$I154,$K154,$M154,$O154,$Q154,$S154,$U154,$W154,$Y154,$AA154,$AC154,$AE154),2)-$B154/2&lt;=K154,IF(ROUND(AVERAGE($C154,$E154,$G154,$I154,$K154,$M154,$O154,$Q154,$S154,$U154,$W154,$Y154,$AA154,$AC154,$AE154),2)+$B154/2&gt;K154,($G$5/$B$5),0),0))))</f>
        <v/>
      </c>
      <c r="M154" s="141" t="str">
        <f>IF($M$8="Habilitado",IF($A154="","",ROUND(VLOOKUP($A154,'Presupuesto Consolidado'!#REF!,6,FALSE),2)),"")</f>
        <v/>
      </c>
      <c r="N154" s="142" t="str">
        <f t="shared" ref="N154" si="1876">IF($A154="","",IF(M154="","",IF($K$4="Media aritmética",(M154&lt;=$B154)*($G$5/$B$5)+(M154&gt;$B154)*0,IF(ROUND(AVERAGE($C154,$E154,$G154,$I154,$K154,$M154,$O154,$Q154,$S154,$U154,$W154,$Y154,$AA154,$AC154,$AE154),2)-$B154/2&lt;=M154,IF(ROUND(AVERAGE($C154,$E154,$G154,$I154,$K154,$M154,$O154,$Q154,$S154,$U154,$W154,$Y154,$AA154,$AC154,$AE154),2)+$B154/2&gt;M154,($G$5/$B$5),0),0))))</f>
        <v/>
      </c>
      <c r="O154" s="141" t="str">
        <f>IF($O$8="Habilitado",IF($A154="","",ROUND(VLOOKUP($A154,'Presupuesto Consolidado'!#REF!,6,FALSE),2)),"")</f>
        <v/>
      </c>
      <c r="P154" s="142" t="str">
        <f t="shared" ref="P154" si="1877">IF($A154="","",IF(O154="","",IF($K$4="Media aritmética",(O154&lt;=$B154)*($G$5/$B$5)+(O154&gt;$B154)*0,IF(ROUND(AVERAGE($C154,$E154,$G154,$I154,$K154,$M154,$O154,$Q154,$S154,$U154,$W154,$Y154,$AA154,$AC154,$AE154),2)-$B154/2&lt;=O154,IF(ROUND(AVERAGE($C154,$E154,$G154,$I154,$K154,$M154,$O154,$Q154,$S154,$U154,$W154,$Y154,$AA154,$AC154,$AE154),2)+$B154/2&gt;O154,($G$5/$B$5),0),0))))</f>
        <v/>
      </c>
      <c r="Q154" s="141" t="str">
        <f>IF($Q$8="Habilitado",IF($A154="","",ROUND(VLOOKUP($A154,'Presupuesto Consolidado'!#REF!,6,FALSE),2)),"")</f>
        <v/>
      </c>
      <c r="R154" s="142" t="str">
        <f t="shared" ref="R154" si="1878">IF($A154="","",IF(Q154="","",IF($K$4="Media aritmética",(Q154&lt;=$B154)*($G$5/$B$5)+(Q154&gt;$B154)*0,IF(ROUND(AVERAGE($C154,$E154,$G154,$I154,$K154,$M154,$O154,$Q154,$S154,$U154,$W154,$Y154,$AA154,$AC154,$AE154),2)-$B154/2&lt;=Q154,IF(ROUND(AVERAGE($C154,$E154,$G154,$I154,$K154,$M154,$O154,$Q154,$S154,$U154,$W154,$Y154,$AA154,$AC154,$AE154),2)+$B154/2&gt;Q154,($G$5/$B$5),0),0))))</f>
        <v/>
      </c>
      <c r="S154" s="141" t="str">
        <f>IF($S$8="Habilitado",IF($A154="","",ROUND(VLOOKUP($A154,'Presupuesto Consolidado'!#REF!,6,FALSE),2)),"")</f>
        <v/>
      </c>
      <c r="T154" s="142" t="str">
        <f t="shared" ref="T154" si="1879">IF($A154="","",IF(S154="","",IF($K$4="Media aritmética",(S154&lt;=$B154)*($G$5/$B$5)+(S154&gt;$B154)*0,IF(ROUND(AVERAGE($C154,$E154,$G154,$I154,$K154,$M154,$O154,$Q154,$S154,$U154,$W154,$Y154,$AA154,$AC154,$AE154),2)-$B154/2&lt;=S154,IF(ROUND(AVERAGE($C154,$E154,$G154,$I154,$K154,$M154,$O154,$Q154,$S154,$U154,$W154,$Y154,$AA154,$AC154,$AE154),2)+$B154/2&gt;S154,($G$5/$B$5),0),0))))</f>
        <v/>
      </c>
      <c r="U154" s="141" t="str">
        <f>IF($U$8="Habilitado",IF($A154="","",ROUND(VLOOKUP($A154,'Presupuesto Consolidado'!#REF!,6,FALSE),2)),"")</f>
        <v/>
      </c>
      <c r="V154" s="142" t="str">
        <f t="shared" ref="V154" si="1880">IF($A154="","",IF(U154="","",IF($K$4="Media aritmética",(U154&lt;=$B154)*($G$5/$B$5)+(U154&gt;$B154)*0,IF(ROUND(AVERAGE($C154,$E154,$G154,$I154,$K154,$M154,$O154,$Q154,$S154,$U154,$W154,$Y154,$AA154,$AC154,$AE154),2)-$B154/2&lt;=U154,IF(ROUND(AVERAGE($C154,$E154,$G154,$I154,$K154,$M154,$O154,$Q154,$S154,$U154,$W154,$Y154,$AA154,$AC154,$AE154),2)+$B154/2&gt;U154,($G$5/$B$5),0),0))))</f>
        <v/>
      </c>
      <c r="W154" s="141" t="str">
        <f>IF($W$8="Habilitado",IF($A154="","",ROUND(VLOOKUP($A154,'Presupuesto Consolidado'!#REF!,6,FALSE),2)),"")</f>
        <v/>
      </c>
      <c r="X154" s="142" t="str">
        <f t="shared" ref="X154" si="1881">IF($A154="","",IF(W154="","",IF($K$4="Media aritmética",(W154&lt;=$B154)*($G$5/$B$5)+(W154&gt;$B154)*0,IF(ROUND(AVERAGE($C154,$E154,$G154,$I154,$K154,$M154,$O154,$Q154,$S154,$U154,$W154,$Y154,$AA154,$AC154,$AE154),2)-$B154/2&lt;=W154,IF(ROUND(AVERAGE($C154,$E154,$G154,$I154,$K154,$M154,$O154,$Q154,$S154,$U154,$W154,$Y154,$AA154,$AC154,$AE154),2)+$B154/2&gt;W154,($G$5/$B$5),0),0))))</f>
        <v/>
      </c>
      <c r="Y154" s="141" t="str">
        <f>IF($Y$8="Habilitado",IF($A154="","",ROUND(VLOOKUP($A154,'Presupuesto Consolidado'!#REF!,6,FALSE),2)),"")</f>
        <v/>
      </c>
      <c r="Z154" s="142" t="str">
        <f t="shared" ref="Z154" si="1882">IF($A154="","",IF(Y154="","",IF($K$4="Media aritmética",(Y154&lt;=$B154)*($G$5/$B$5)+(Y154&gt;$B154)*0,IF(ROUND(AVERAGE($C154,$E154,$G154,$I154,$K154,$M154,$O154,$Q154,$S154,$U154,$W154,$Y154,$AA154,$AC154,$AE154),2)-$B154/2&lt;=Y154,IF(ROUND(AVERAGE($C154,$E154,$G154,$I154,$K154,$M154,$O154,$Q154,$S154,$U154,$W154,$Y154,$AA154,$AC154,$AE154),2)+$B154/2&gt;Y154,($G$5/$B$5),0),0))))</f>
        <v/>
      </c>
      <c r="AA154" s="141" t="str">
        <f>IF($AA$8="Habilitado",IF($A154="","",ROUND(VLOOKUP($A154,'Presupuesto Consolidado'!#REF!,6,FALSE),2)),"")</f>
        <v/>
      </c>
      <c r="AB154" s="142" t="str">
        <f t="shared" ref="AB154" si="1883">IF($A154="","",IF(AA154="","",IF($K$4="Media aritmética",(AA154&lt;=$B154)*($G$5/$B$5)+(AA154&gt;$B154)*0,IF(ROUND(AVERAGE($C154,$E154,$G154,$I154,$K154,$M154,$O154,$Q154,$S154,$U154,$W154,$Y154,$AA154,$AC154,$AE154),2)-$B154/2&lt;=AA154,IF(ROUND(AVERAGE($C154,$E154,$G154,$I154,$K154,$M154,$O154,$Q154,$S154,$U154,$W154,$Y154,$AA154,$AC154,$AE154),2)+$B154/2&gt;AA154,($G$5/$B$5),0),0))))</f>
        <v/>
      </c>
      <c r="AC154" s="141" t="str">
        <f>IF($AC$8="Habilitado",IF($A154="","",ROUND(VLOOKUP($A154,'Presupuesto Consolidado'!#REF!,6,FALSE),2)),"")</f>
        <v/>
      </c>
      <c r="AD154" s="142" t="str">
        <f t="shared" ref="AD154" si="1884">IF($A154="","",IF(AC154="","",IF($K$4="Media aritmética",(AC154&lt;=$B154)*($G$5/$B$5)+(AC154&gt;$B154)*0,IF(ROUND(AVERAGE($C154,$E154,$G154,$I154,$K154,$M154,$O154,$Q154,$S154,$U154,$W154,$Y154,$AA154,$AC154,$AE154),2)-$B154/2&lt;=AC154,IF(ROUND(AVERAGE($C154,$E154,$G154,$I154,$K154,$M154,$O154,$Q154,$S154,$U154,$W154,$Y154,$AA154,$AC154,$AE154),2)+$B154/2&gt;AC154,($G$5/$B$5),0),0))))</f>
        <v/>
      </c>
      <c r="AE154" s="141" t="str">
        <f>IF($AE$8="Habilitado",IF($A154="","",ROUND(VLOOKUP($A154,'Presupuesto Consolidado'!#REF!,6,FALSE),2)),"")</f>
        <v/>
      </c>
      <c r="AF154" s="142" t="str">
        <f t="shared" ref="AF154" si="1885">IF($A154="","",IF(AE154="","",IF($K$4="Media aritmética",(AE154&lt;=$B154)*($G$5/$B$5)+(AE154&gt;$B154)*0,IF(ROUND(AVERAGE($C154,$E154,$G154,$I154,$K154,$M154,$O154,$Q154,$S154,$U154,$W154,$Y154,$AA154,$AC154,$AE154),2)-$B154/2&lt;=AE154,IF(ROUND(AVERAGE($C154,$E154,$G154,$I154,$K154,$M154,$O154,$Q154,$S154,$U154,$W154,$Y154,$AA154,$AC154,$AE154),2)+$B154/2&gt;AE154,($G$5/$B$5),0),0))))</f>
        <v/>
      </c>
    </row>
    <row r="155" spans="1:32" s="135" customFormat="1" ht="21" customHeight="1">
      <c r="A155" s="132" t="str">
        <f>+'Presupuesto Consolidado'!A181</f>
        <v>12.4.30</v>
      </c>
      <c r="B155" s="140">
        <f t="shared" ref="B155" si="1886">IF(A155="","",IF($K$4="Media aritmética",ROUND(AVERAGE(C155,E155,G155,I155,K155,M155,O155,Q155,S155,U155,W155,Y155,AA155,AC155,AE155),2),ROUND(_xlfn.STDEV.P(C155,E155,G155,I155,K155,M155,O155,Q155,S155,U155,W155,Y155,AA155,AC155,AE155),2)))</f>
        <v>46575</v>
      </c>
      <c r="C155" s="141">
        <f>IF($C$8="Habilitado",IF($A155="","",ROUND(VLOOKUP($A155,'Presupuesto Consolidado'!$A$9:$F$600,6,FALSE),2)),"")</f>
        <v>46575</v>
      </c>
      <c r="D155" s="142">
        <f t="shared" ref="D155" si="1887">IF($A155="","",IF(C155="","",IF($K$4="Media aritmética",(C155&lt;=$B155)*($G$5/$B$5)+(C155&gt;$B155)*0,IF(ROUND(AVERAGE($C155,$E155,$G155,$I155,$K155,$M155,$O155,$Q155,$S155,$U155,$W155,$Y155,$AA155,$AC155,$AE155),2)-$B155/2&lt;=C155,IF(ROUND(AVERAGE($C155,$E155,$G155,$I155,$K155,$M155,$O155,$Q155,$S155,$U155,$W155,$Y155,$AA155,$AC155,$AE155),2)+$B155/2&gt;C155,($G$5/$B$5),0),0))))</f>
        <v>0.45714285714285713</v>
      </c>
      <c r="E155" s="141" t="str">
        <f>IF($E$8="Habilitado",IF($A155="","",ROUND(VLOOKUP($A155,'Presupuesto Consolidado'!$I$9:$N$600,6,FALSE),2)),"")</f>
        <v/>
      </c>
      <c r="F155" s="142" t="str">
        <f t="shared" ref="F155" si="1888">IF($A155="","",IF(E155="","",IF($K$4="Media aritmética",(E155&lt;=$B155)*($G$5/$B$5)+(E155&gt;$B155)*0,IF(ROUND(AVERAGE($C155,$E155,$G155,$I155,$K155,$M155,$O155,$Q155,$S155,$U155,$W155,$Y155,$AA155,$AC155,$AE155),2)-$B155/2&lt;=E155,IF(ROUND(AVERAGE($C155,$E155,$G155,$I155,$K155,$M155,$O155,$Q155,$S155,$U155,$W155,$Y155,$AA155,$AC155,$AE155),2)+$B155/2&gt;E155,($G$5/$B$5),0),0))))</f>
        <v/>
      </c>
      <c r="G155" s="141" t="str">
        <f>IF($G$8="Habilitado",IF($A155="","",ROUND(VLOOKUP($A155,'Presupuesto Consolidado'!$Q$9:$V$600,6,FALSE),2)),"")</f>
        <v/>
      </c>
      <c r="H155" s="142" t="str">
        <f t="shared" ref="H155" si="1889">IF($A155="","",IF(G155="","",IF($K$4="Media aritmética",(G155&lt;=$B155)*($G$5/$B$5)+(G155&gt;$B155)*0,IF(ROUND(AVERAGE($C155,$E155,$G155,$I155,$K155,$M155,$O155,$Q155,$S155,$U155,$W155,$Y155,$AA155,$AC155,$AE155),2)-$B155/2&lt;=G155,IF(ROUND(AVERAGE($C155,$E155,$G155,$I155,$K155,$M155,$O155,$Q155,$S155,$U155,$W155,$Y155,$AA155,$AC155,$AE155),2)+$B155/2&gt;G155,($G$5/$B$5),0),0))))</f>
        <v/>
      </c>
      <c r="I155" s="141" t="str">
        <f>IF($I$8="Habilitado",IF($A155="","",ROUND(VLOOKUP($A155,'Presupuesto Consolidado'!$Y$9:$AD$600,6,FALSE),2)),"")</f>
        <v/>
      </c>
      <c r="J155" s="142" t="str">
        <f t="shared" ref="J155" si="1890">IF($A155="","",IF(I155="","",IF($K$4="Media aritmética",(I155&lt;=$B155)*($G$5/$B$5)+(I155&gt;$B155)*0,IF(ROUND(AVERAGE($C155,$E155,$G155,$I155,$K155,$M155,$O155,$Q155,$S155,$U155,$W155,$Y155,$AA155,$AC155,$AE155),2)-$B155/2&lt;=I155,IF(ROUND(AVERAGE($C155,$E155,$G155,$I155,$K155,$M155,$O155,$Q155,$S155,$U155,$W155,$Y155,$AA155,$AC155,$AE155),2)+$B155/2&gt;I155,($G$5/$B$5),0),0))))</f>
        <v/>
      </c>
      <c r="K155" s="141" t="str">
        <f>IF($K$8="Habilitado",IF($A155="","",ROUND(VLOOKUP($A155,'Presupuesto Consolidado'!#REF!,6,FALSE),2)),"")</f>
        <v/>
      </c>
      <c r="L155" s="142" t="str">
        <f t="shared" ref="L155" si="1891">IF($A155="","",IF(K155="","",IF($K$4="Media aritmética",(K155&lt;=$B155)*($G$5/$B$5)+(K155&gt;$B155)*0,IF(ROUND(AVERAGE($C155,$E155,$G155,$I155,$K155,$M155,$O155,$Q155,$S155,$U155,$W155,$Y155,$AA155,$AC155,$AE155),2)-$B155/2&lt;=K155,IF(ROUND(AVERAGE($C155,$E155,$G155,$I155,$K155,$M155,$O155,$Q155,$S155,$U155,$W155,$Y155,$AA155,$AC155,$AE155),2)+$B155/2&gt;K155,($G$5/$B$5),0),0))))</f>
        <v/>
      </c>
      <c r="M155" s="141" t="str">
        <f>IF($M$8="Habilitado",IF($A155="","",ROUND(VLOOKUP($A155,'Presupuesto Consolidado'!#REF!,6,FALSE),2)),"")</f>
        <v/>
      </c>
      <c r="N155" s="142" t="str">
        <f t="shared" ref="N155" si="1892">IF($A155="","",IF(M155="","",IF($K$4="Media aritmética",(M155&lt;=$B155)*($G$5/$B$5)+(M155&gt;$B155)*0,IF(ROUND(AVERAGE($C155,$E155,$G155,$I155,$K155,$M155,$O155,$Q155,$S155,$U155,$W155,$Y155,$AA155,$AC155,$AE155),2)-$B155/2&lt;=M155,IF(ROUND(AVERAGE($C155,$E155,$G155,$I155,$K155,$M155,$O155,$Q155,$S155,$U155,$W155,$Y155,$AA155,$AC155,$AE155),2)+$B155/2&gt;M155,($G$5/$B$5),0),0))))</f>
        <v/>
      </c>
      <c r="O155" s="141" t="str">
        <f>IF($O$8="Habilitado",IF($A155="","",ROUND(VLOOKUP($A155,'Presupuesto Consolidado'!#REF!,6,FALSE),2)),"")</f>
        <v/>
      </c>
      <c r="P155" s="142" t="str">
        <f t="shared" ref="P155" si="1893">IF($A155="","",IF(O155="","",IF($K$4="Media aritmética",(O155&lt;=$B155)*($G$5/$B$5)+(O155&gt;$B155)*0,IF(ROUND(AVERAGE($C155,$E155,$G155,$I155,$K155,$M155,$O155,$Q155,$S155,$U155,$W155,$Y155,$AA155,$AC155,$AE155),2)-$B155/2&lt;=O155,IF(ROUND(AVERAGE($C155,$E155,$G155,$I155,$K155,$M155,$O155,$Q155,$S155,$U155,$W155,$Y155,$AA155,$AC155,$AE155),2)+$B155/2&gt;O155,($G$5/$B$5),0),0))))</f>
        <v/>
      </c>
      <c r="Q155" s="141" t="str">
        <f>IF($Q$8="Habilitado",IF($A155="","",ROUND(VLOOKUP($A155,'Presupuesto Consolidado'!#REF!,6,FALSE),2)),"")</f>
        <v/>
      </c>
      <c r="R155" s="142" t="str">
        <f t="shared" ref="R155" si="1894">IF($A155="","",IF(Q155="","",IF($K$4="Media aritmética",(Q155&lt;=$B155)*($G$5/$B$5)+(Q155&gt;$B155)*0,IF(ROUND(AVERAGE($C155,$E155,$G155,$I155,$K155,$M155,$O155,$Q155,$S155,$U155,$W155,$Y155,$AA155,$AC155,$AE155),2)-$B155/2&lt;=Q155,IF(ROUND(AVERAGE($C155,$E155,$G155,$I155,$K155,$M155,$O155,$Q155,$S155,$U155,$W155,$Y155,$AA155,$AC155,$AE155),2)+$B155/2&gt;Q155,($G$5/$B$5),0),0))))</f>
        <v/>
      </c>
      <c r="S155" s="141" t="str">
        <f>IF($S$8="Habilitado",IF($A155="","",ROUND(VLOOKUP($A155,'Presupuesto Consolidado'!#REF!,6,FALSE),2)),"")</f>
        <v/>
      </c>
      <c r="T155" s="142" t="str">
        <f t="shared" ref="T155" si="1895">IF($A155="","",IF(S155="","",IF($K$4="Media aritmética",(S155&lt;=$B155)*($G$5/$B$5)+(S155&gt;$B155)*0,IF(ROUND(AVERAGE($C155,$E155,$G155,$I155,$K155,$M155,$O155,$Q155,$S155,$U155,$W155,$Y155,$AA155,$AC155,$AE155),2)-$B155/2&lt;=S155,IF(ROUND(AVERAGE($C155,$E155,$G155,$I155,$K155,$M155,$O155,$Q155,$S155,$U155,$W155,$Y155,$AA155,$AC155,$AE155),2)+$B155/2&gt;S155,($G$5/$B$5),0),0))))</f>
        <v/>
      </c>
      <c r="U155" s="141" t="str">
        <f>IF($U$8="Habilitado",IF($A155="","",ROUND(VLOOKUP($A155,'Presupuesto Consolidado'!#REF!,6,FALSE),2)),"")</f>
        <v/>
      </c>
      <c r="V155" s="142" t="str">
        <f t="shared" ref="V155" si="1896">IF($A155="","",IF(U155="","",IF($K$4="Media aritmética",(U155&lt;=$B155)*($G$5/$B$5)+(U155&gt;$B155)*0,IF(ROUND(AVERAGE($C155,$E155,$G155,$I155,$K155,$M155,$O155,$Q155,$S155,$U155,$W155,$Y155,$AA155,$AC155,$AE155),2)-$B155/2&lt;=U155,IF(ROUND(AVERAGE($C155,$E155,$G155,$I155,$K155,$M155,$O155,$Q155,$S155,$U155,$W155,$Y155,$AA155,$AC155,$AE155),2)+$B155/2&gt;U155,($G$5/$B$5),0),0))))</f>
        <v/>
      </c>
      <c r="W155" s="141" t="str">
        <f>IF($W$8="Habilitado",IF($A155="","",ROUND(VLOOKUP($A155,'Presupuesto Consolidado'!#REF!,6,FALSE),2)),"")</f>
        <v/>
      </c>
      <c r="X155" s="142" t="str">
        <f t="shared" ref="X155" si="1897">IF($A155="","",IF(W155="","",IF($K$4="Media aritmética",(W155&lt;=$B155)*($G$5/$B$5)+(W155&gt;$B155)*0,IF(ROUND(AVERAGE($C155,$E155,$G155,$I155,$K155,$M155,$O155,$Q155,$S155,$U155,$W155,$Y155,$AA155,$AC155,$AE155),2)-$B155/2&lt;=W155,IF(ROUND(AVERAGE($C155,$E155,$G155,$I155,$K155,$M155,$O155,$Q155,$S155,$U155,$W155,$Y155,$AA155,$AC155,$AE155),2)+$B155/2&gt;W155,($G$5/$B$5),0),0))))</f>
        <v/>
      </c>
      <c r="Y155" s="141" t="str">
        <f>IF($Y$8="Habilitado",IF($A155="","",ROUND(VLOOKUP($A155,'Presupuesto Consolidado'!#REF!,6,FALSE),2)),"")</f>
        <v/>
      </c>
      <c r="Z155" s="142" t="str">
        <f t="shared" ref="Z155" si="1898">IF($A155="","",IF(Y155="","",IF($K$4="Media aritmética",(Y155&lt;=$B155)*($G$5/$B$5)+(Y155&gt;$B155)*0,IF(ROUND(AVERAGE($C155,$E155,$G155,$I155,$K155,$M155,$O155,$Q155,$S155,$U155,$W155,$Y155,$AA155,$AC155,$AE155),2)-$B155/2&lt;=Y155,IF(ROUND(AVERAGE($C155,$E155,$G155,$I155,$K155,$M155,$O155,$Q155,$S155,$U155,$W155,$Y155,$AA155,$AC155,$AE155),2)+$B155/2&gt;Y155,($G$5/$B$5),0),0))))</f>
        <v/>
      </c>
      <c r="AA155" s="141" t="str">
        <f>IF($AA$8="Habilitado",IF($A155="","",ROUND(VLOOKUP($A155,'Presupuesto Consolidado'!#REF!,6,FALSE),2)),"")</f>
        <v/>
      </c>
      <c r="AB155" s="142" t="str">
        <f t="shared" ref="AB155" si="1899">IF($A155="","",IF(AA155="","",IF($K$4="Media aritmética",(AA155&lt;=$B155)*($G$5/$B$5)+(AA155&gt;$B155)*0,IF(ROUND(AVERAGE($C155,$E155,$G155,$I155,$K155,$M155,$O155,$Q155,$S155,$U155,$W155,$Y155,$AA155,$AC155,$AE155),2)-$B155/2&lt;=AA155,IF(ROUND(AVERAGE($C155,$E155,$G155,$I155,$K155,$M155,$O155,$Q155,$S155,$U155,$W155,$Y155,$AA155,$AC155,$AE155),2)+$B155/2&gt;AA155,($G$5/$B$5),0),0))))</f>
        <v/>
      </c>
      <c r="AC155" s="141" t="str">
        <f>IF($AC$8="Habilitado",IF($A155="","",ROUND(VLOOKUP($A155,'Presupuesto Consolidado'!#REF!,6,FALSE),2)),"")</f>
        <v/>
      </c>
      <c r="AD155" s="142" t="str">
        <f t="shared" ref="AD155" si="1900">IF($A155="","",IF(AC155="","",IF($K$4="Media aritmética",(AC155&lt;=$B155)*($G$5/$B$5)+(AC155&gt;$B155)*0,IF(ROUND(AVERAGE($C155,$E155,$G155,$I155,$K155,$M155,$O155,$Q155,$S155,$U155,$W155,$Y155,$AA155,$AC155,$AE155),2)-$B155/2&lt;=AC155,IF(ROUND(AVERAGE($C155,$E155,$G155,$I155,$K155,$M155,$O155,$Q155,$S155,$U155,$W155,$Y155,$AA155,$AC155,$AE155),2)+$B155/2&gt;AC155,($G$5/$B$5),0),0))))</f>
        <v/>
      </c>
      <c r="AE155" s="141" t="str">
        <f>IF($AE$8="Habilitado",IF($A155="","",ROUND(VLOOKUP($A155,'Presupuesto Consolidado'!#REF!,6,FALSE),2)),"")</f>
        <v/>
      </c>
      <c r="AF155" s="142" t="str">
        <f t="shared" ref="AF155" si="1901">IF($A155="","",IF(AE155="","",IF($K$4="Media aritmética",(AE155&lt;=$B155)*($G$5/$B$5)+(AE155&gt;$B155)*0,IF(ROUND(AVERAGE($C155,$E155,$G155,$I155,$K155,$M155,$O155,$Q155,$S155,$U155,$W155,$Y155,$AA155,$AC155,$AE155),2)-$B155/2&lt;=AE155,IF(ROUND(AVERAGE($C155,$E155,$G155,$I155,$K155,$M155,$O155,$Q155,$S155,$U155,$W155,$Y155,$AA155,$AC155,$AE155),2)+$B155/2&gt;AE155,($G$5/$B$5),0),0))))</f>
        <v/>
      </c>
    </row>
    <row r="156" spans="1:32" s="135" customFormat="1" ht="21" customHeight="1">
      <c r="A156" s="132" t="str">
        <f>+'Presupuesto Consolidado'!A182</f>
        <v>12.4.31</v>
      </c>
      <c r="B156" s="140">
        <f t="shared" ref="B156" si="1902">IF(A156="","",IF($K$4="Media aritmética",ROUND(AVERAGE(C156,E156,G156,I156,K156,M156,O156,Q156,S156,U156,W156,Y156,AA156,AC156,AE156),2),ROUND(_xlfn.STDEV.P(C156,E156,G156,I156,K156,M156,O156,Q156,S156,U156,W156,Y156,AA156,AC156,AE156),2)))</f>
        <v>2970450</v>
      </c>
      <c r="C156" s="141">
        <f>IF($C$8="Habilitado",IF($A156="","",ROUND(VLOOKUP($A156,'Presupuesto Consolidado'!$A$9:$F$600,6,FALSE),2)),"")</f>
        <v>2970450</v>
      </c>
      <c r="D156" s="142">
        <f t="shared" ref="D156" si="1903">IF($A156="","",IF(C156="","",IF($K$4="Media aritmética",(C156&lt;=$B156)*($G$5/$B$5)+(C156&gt;$B156)*0,IF(ROUND(AVERAGE($C156,$E156,$G156,$I156,$K156,$M156,$O156,$Q156,$S156,$U156,$W156,$Y156,$AA156,$AC156,$AE156),2)-$B156/2&lt;=C156,IF(ROUND(AVERAGE($C156,$E156,$G156,$I156,$K156,$M156,$O156,$Q156,$S156,$U156,$W156,$Y156,$AA156,$AC156,$AE156),2)+$B156/2&gt;C156,($G$5/$B$5),0),0))))</f>
        <v>0.45714285714285713</v>
      </c>
      <c r="E156" s="141" t="str">
        <f>IF($E$8="Habilitado",IF($A156="","",ROUND(VLOOKUP($A156,'Presupuesto Consolidado'!$I$9:$N$600,6,FALSE),2)),"")</f>
        <v/>
      </c>
      <c r="F156" s="142" t="str">
        <f t="shared" ref="F156" si="1904">IF($A156="","",IF(E156="","",IF($K$4="Media aritmética",(E156&lt;=$B156)*($G$5/$B$5)+(E156&gt;$B156)*0,IF(ROUND(AVERAGE($C156,$E156,$G156,$I156,$K156,$M156,$O156,$Q156,$S156,$U156,$W156,$Y156,$AA156,$AC156,$AE156),2)-$B156/2&lt;=E156,IF(ROUND(AVERAGE($C156,$E156,$G156,$I156,$K156,$M156,$O156,$Q156,$S156,$U156,$W156,$Y156,$AA156,$AC156,$AE156),2)+$B156/2&gt;E156,($G$5/$B$5),0),0))))</f>
        <v/>
      </c>
      <c r="G156" s="141" t="str">
        <f>IF($G$8="Habilitado",IF($A156="","",ROUND(VLOOKUP($A156,'Presupuesto Consolidado'!$Q$9:$V$600,6,FALSE),2)),"")</f>
        <v/>
      </c>
      <c r="H156" s="142" t="str">
        <f t="shared" ref="H156" si="1905">IF($A156="","",IF(G156="","",IF($K$4="Media aritmética",(G156&lt;=$B156)*($G$5/$B$5)+(G156&gt;$B156)*0,IF(ROUND(AVERAGE($C156,$E156,$G156,$I156,$K156,$M156,$O156,$Q156,$S156,$U156,$W156,$Y156,$AA156,$AC156,$AE156),2)-$B156/2&lt;=G156,IF(ROUND(AVERAGE($C156,$E156,$G156,$I156,$K156,$M156,$O156,$Q156,$S156,$U156,$W156,$Y156,$AA156,$AC156,$AE156),2)+$B156/2&gt;G156,($G$5/$B$5),0),0))))</f>
        <v/>
      </c>
      <c r="I156" s="141" t="str">
        <f>IF($I$8="Habilitado",IF($A156="","",ROUND(VLOOKUP($A156,'Presupuesto Consolidado'!$Y$9:$AD$600,6,FALSE),2)),"")</f>
        <v/>
      </c>
      <c r="J156" s="142" t="str">
        <f t="shared" ref="J156" si="1906">IF($A156="","",IF(I156="","",IF($K$4="Media aritmética",(I156&lt;=$B156)*($G$5/$B$5)+(I156&gt;$B156)*0,IF(ROUND(AVERAGE($C156,$E156,$G156,$I156,$K156,$M156,$O156,$Q156,$S156,$U156,$W156,$Y156,$AA156,$AC156,$AE156),2)-$B156/2&lt;=I156,IF(ROUND(AVERAGE($C156,$E156,$G156,$I156,$K156,$M156,$O156,$Q156,$S156,$U156,$W156,$Y156,$AA156,$AC156,$AE156),2)+$B156/2&gt;I156,($G$5/$B$5),0),0))))</f>
        <v/>
      </c>
      <c r="K156" s="141" t="str">
        <f>IF($K$8="Habilitado",IF($A156="","",ROUND(VLOOKUP($A156,'Presupuesto Consolidado'!#REF!,6,FALSE),2)),"")</f>
        <v/>
      </c>
      <c r="L156" s="142" t="str">
        <f t="shared" ref="L156" si="1907">IF($A156="","",IF(K156="","",IF($K$4="Media aritmética",(K156&lt;=$B156)*($G$5/$B$5)+(K156&gt;$B156)*0,IF(ROUND(AVERAGE($C156,$E156,$G156,$I156,$K156,$M156,$O156,$Q156,$S156,$U156,$W156,$Y156,$AA156,$AC156,$AE156),2)-$B156/2&lt;=K156,IF(ROUND(AVERAGE($C156,$E156,$G156,$I156,$K156,$M156,$O156,$Q156,$S156,$U156,$W156,$Y156,$AA156,$AC156,$AE156),2)+$B156/2&gt;K156,($G$5/$B$5),0),0))))</f>
        <v/>
      </c>
      <c r="M156" s="141" t="str">
        <f>IF($M$8="Habilitado",IF($A156="","",ROUND(VLOOKUP($A156,'Presupuesto Consolidado'!#REF!,6,FALSE),2)),"")</f>
        <v/>
      </c>
      <c r="N156" s="142" t="str">
        <f t="shared" ref="N156" si="1908">IF($A156="","",IF(M156="","",IF($K$4="Media aritmética",(M156&lt;=$B156)*($G$5/$B$5)+(M156&gt;$B156)*0,IF(ROUND(AVERAGE($C156,$E156,$G156,$I156,$K156,$M156,$O156,$Q156,$S156,$U156,$W156,$Y156,$AA156,$AC156,$AE156),2)-$B156/2&lt;=M156,IF(ROUND(AVERAGE($C156,$E156,$G156,$I156,$K156,$M156,$O156,$Q156,$S156,$U156,$W156,$Y156,$AA156,$AC156,$AE156),2)+$B156/2&gt;M156,($G$5/$B$5),0),0))))</f>
        <v/>
      </c>
      <c r="O156" s="141" t="str">
        <f>IF($O$8="Habilitado",IF($A156="","",ROUND(VLOOKUP($A156,'Presupuesto Consolidado'!#REF!,6,FALSE),2)),"")</f>
        <v/>
      </c>
      <c r="P156" s="142" t="str">
        <f t="shared" ref="P156" si="1909">IF($A156="","",IF(O156="","",IF($K$4="Media aritmética",(O156&lt;=$B156)*($G$5/$B$5)+(O156&gt;$B156)*0,IF(ROUND(AVERAGE($C156,$E156,$G156,$I156,$K156,$M156,$O156,$Q156,$S156,$U156,$W156,$Y156,$AA156,$AC156,$AE156),2)-$B156/2&lt;=O156,IF(ROUND(AVERAGE($C156,$E156,$G156,$I156,$K156,$M156,$O156,$Q156,$S156,$U156,$W156,$Y156,$AA156,$AC156,$AE156),2)+$B156/2&gt;O156,($G$5/$B$5),0),0))))</f>
        <v/>
      </c>
      <c r="Q156" s="141" t="str">
        <f>IF($Q$8="Habilitado",IF($A156="","",ROUND(VLOOKUP($A156,'Presupuesto Consolidado'!#REF!,6,FALSE),2)),"")</f>
        <v/>
      </c>
      <c r="R156" s="142" t="str">
        <f t="shared" ref="R156" si="1910">IF($A156="","",IF(Q156="","",IF($K$4="Media aritmética",(Q156&lt;=$B156)*($G$5/$B$5)+(Q156&gt;$B156)*0,IF(ROUND(AVERAGE($C156,$E156,$G156,$I156,$K156,$M156,$O156,$Q156,$S156,$U156,$W156,$Y156,$AA156,$AC156,$AE156),2)-$B156/2&lt;=Q156,IF(ROUND(AVERAGE($C156,$E156,$G156,$I156,$K156,$M156,$O156,$Q156,$S156,$U156,$W156,$Y156,$AA156,$AC156,$AE156),2)+$B156/2&gt;Q156,($G$5/$B$5),0),0))))</f>
        <v/>
      </c>
      <c r="S156" s="141" t="str">
        <f>IF($S$8="Habilitado",IF($A156="","",ROUND(VLOOKUP($A156,'Presupuesto Consolidado'!#REF!,6,FALSE),2)),"")</f>
        <v/>
      </c>
      <c r="T156" s="142" t="str">
        <f t="shared" ref="T156" si="1911">IF($A156="","",IF(S156="","",IF($K$4="Media aritmética",(S156&lt;=$B156)*($G$5/$B$5)+(S156&gt;$B156)*0,IF(ROUND(AVERAGE($C156,$E156,$G156,$I156,$K156,$M156,$O156,$Q156,$S156,$U156,$W156,$Y156,$AA156,$AC156,$AE156),2)-$B156/2&lt;=S156,IF(ROUND(AVERAGE($C156,$E156,$G156,$I156,$K156,$M156,$O156,$Q156,$S156,$U156,$W156,$Y156,$AA156,$AC156,$AE156),2)+$B156/2&gt;S156,($G$5/$B$5),0),0))))</f>
        <v/>
      </c>
      <c r="U156" s="141" t="str">
        <f>IF($U$8="Habilitado",IF($A156="","",ROUND(VLOOKUP($A156,'Presupuesto Consolidado'!#REF!,6,FALSE),2)),"")</f>
        <v/>
      </c>
      <c r="V156" s="142" t="str">
        <f t="shared" ref="V156" si="1912">IF($A156="","",IF(U156="","",IF($K$4="Media aritmética",(U156&lt;=$B156)*($G$5/$B$5)+(U156&gt;$B156)*0,IF(ROUND(AVERAGE($C156,$E156,$G156,$I156,$K156,$M156,$O156,$Q156,$S156,$U156,$W156,$Y156,$AA156,$AC156,$AE156),2)-$B156/2&lt;=U156,IF(ROUND(AVERAGE($C156,$E156,$G156,$I156,$K156,$M156,$O156,$Q156,$S156,$U156,$W156,$Y156,$AA156,$AC156,$AE156),2)+$B156/2&gt;U156,($G$5/$B$5),0),0))))</f>
        <v/>
      </c>
      <c r="W156" s="141" t="str">
        <f>IF($W$8="Habilitado",IF($A156="","",ROUND(VLOOKUP($A156,'Presupuesto Consolidado'!#REF!,6,FALSE),2)),"")</f>
        <v/>
      </c>
      <c r="X156" s="142" t="str">
        <f t="shared" ref="X156" si="1913">IF($A156="","",IF(W156="","",IF($K$4="Media aritmética",(W156&lt;=$B156)*($G$5/$B$5)+(W156&gt;$B156)*0,IF(ROUND(AVERAGE($C156,$E156,$G156,$I156,$K156,$M156,$O156,$Q156,$S156,$U156,$W156,$Y156,$AA156,$AC156,$AE156),2)-$B156/2&lt;=W156,IF(ROUND(AVERAGE($C156,$E156,$G156,$I156,$K156,$M156,$O156,$Q156,$S156,$U156,$W156,$Y156,$AA156,$AC156,$AE156),2)+$B156/2&gt;W156,($G$5/$B$5),0),0))))</f>
        <v/>
      </c>
      <c r="Y156" s="141" t="str">
        <f>IF($Y$8="Habilitado",IF($A156="","",ROUND(VLOOKUP($A156,'Presupuesto Consolidado'!#REF!,6,FALSE),2)),"")</f>
        <v/>
      </c>
      <c r="Z156" s="142" t="str">
        <f t="shared" ref="Z156" si="1914">IF($A156="","",IF(Y156="","",IF($K$4="Media aritmética",(Y156&lt;=$B156)*($G$5/$B$5)+(Y156&gt;$B156)*0,IF(ROUND(AVERAGE($C156,$E156,$G156,$I156,$K156,$M156,$O156,$Q156,$S156,$U156,$W156,$Y156,$AA156,$AC156,$AE156),2)-$B156/2&lt;=Y156,IF(ROUND(AVERAGE($C156,$E156,$G156,$I156,$K156,$M156,$O156,$Q156,$S156,$U156,$W156,$Y156,$AA156,$AC156,$AE156),2)+$B156/2&gt;Y156,($G$5/$B$5),0),0))))</f>
        <v/>
      </c>
      <c r="AA156" s="141" t="str">
        <f>IF($AA$8="Habilitado",IF($A156="","",ROUND(VLOOKUP($A156,'Presupuesto Consolidado'!#REF!,6,FALSE),2)),"")</f>
        <v/>
      </c>
      <c r="AB156" s="142" t="str">
        <f t="shared" ref="AB156" si="1915">IF($A156="","",IF(AA156="","",IF($K$4="Media aritmética",(AA156&lt;=$B156)*($G$5/$B$5)+(AA156&gt;$B156)*0,IF(ROUND(AVERAGE($C156,$E156,$G156,$I156,$K156,$M156,$O156,$Q156,$S156,$U156,$W156,$Y156,$AA156,$AC156,$AE156),2)-$B156/2&lt;=AA156,IF(ROUND(AVERAGE($C156,$E156,$G156,$I156,$K156,$M156,$O156,$Q156,$S156,$U156,$W156,$Y156,$AA156,$AC156,$AE156),2)+$B156/2&gt;AA156,($G$5/$B$5),0),0))))</f>
        <v/>
      </c>
      <c r="AC156" s="141" t="str">
        <f>IF($AC$8="Habilitado",IF($A156="","",ROUND(VLOOKUP($A156,'Presupuesto Consolidado'!#REF!,6,FALSE),2)),"")</f>
        <v/>
      </c>
      <c r="AD156" s="142" t="str">
        <f t="shared" ref="AD156" si="1916">IF($A156="","",IF(AC156="","",IF($K$4="Media aritmética",(AC156&lt;=$B156)*($G$5/$B$5)+(AC156&gt;$B156)*0,IF(ROUND(AVERAGE($C156,$E156,$G156,$I156,$K156,$M156,$O156,$Q156,$S156,$U156,$W156,$Y156,$AA156,$AC156,$AE156),2)-$B156/2&lt;=AC156,IF(ROUND(AVERAGE($C156,$E156,$G156,$I156,$K156,$M156,$O156,$Q156,$S156,$U156,$W156,$Y156,$AA156,$AC156,$AE156),2)+$B156/2&gt;AC156,($G$5/$B$5),0),0))))</f>
        <v/>
      </c>
      <c r="AE156" s="141" t="str">
        <f>IF($AE$8="Habilitado",IF($A156="","",ROUND(VLOOKUP($A156,'Presupuesto Consolidado'!#REF!,6,FALSE),2)),"")</f>
        <v/>
      </c>
      <c r="AF156" s="142" t="str">
        <f t="shared" ref="AF156" si="1917">IF($A156="","",IF(AE156="","",IF($K$4="Media aritmética",(AE156&lt;=$B156)*($G$5/$B$5)+(AE156&gt;$B156)*0,IF(ROUND(AVERAGE($C156,$E156,$G156,$I156,$K156,$M156,$O156,$Q156,$S156,$U156,$W156,$Y156,$AA156,$AC156,$AE156),2)-$B156/2&lt;=AE156,IF(ROUND(AVERAGE($C156,$E156,$G156,$I156,$K156,$M156,$O156,$Q156,$S156,$U156,$W156,$Y156,$AA156,$AC156,$AE156),2)+$B156/2&gt;AE156,($G$5/$B$5),0),0))))</f>
        <v/>
      </c>
    </row>
    <row r="157" spans="1:32" s="135" customFormat="1" ht="21" customHeight="1">
      <c r="A157" s="132" t="str">
        <f>+'Presupuesto Consolidado'!A184</f>
        <v>12.5.1</v>
      </c>
      <c r="B157" s="140">
        <f t="shared" ref="B157" si="1918">IF(A157="","",IF($K$4="Media aritmética",ROUND(AVERAGE(C157,E157,G157,I157,K157,M157,O157,Q157,S157,U157,W157,Y157,AA157,AC157,AE157),2),ROUND(_xlfn.STDEV.P(C157,E157,G157,I157,K157,M157,O157,Q157,S157,U157,W157,Y157,AA157,AC157,AE157),2)))</f>
        <v>3726000</v>
      </c>
      <c r="C157" s="141">
        <f>IF($C$8="Habilitado",IF($A157="","",ROUND(VLOOKUP($A157,'Presupuesto Consolidado'!$A$9:$F$600,6,FALSE),2)),"")</f>
        <v>3726000</v>
      </c>
      <c r="D157" s="142">
        <f t="shared" ref="D157" si="1919">IF($A157="","",IF(C157="","",IF($K$4="Media aritmética",(C157&lt;=$B157)*($G$5/$B$5)+(C157&gt;$B157)*0,IF(ROUND(AVERAGE($C157,$E157,$G157,$I157,$K157,$M157,$O157,$Q157,$S157,$U157,$W157,$Y157,$AA157,$AC157,$AE157),2)-$B157/2&lt;=C157,IF(ROUND(AVERAGE($C157,$E157,$G157,$I157,$K157,$M157,$O157,$Q157,$S157,$U157,$W157,$Y157,$AA157,$AC157,$AE157),2)+$B157/2&gt;C157,($G$5/$B$5),0),0))))</f>
        <v>0.45714285714285713</v>
      </c>
      <c r="E157" s="141" t="str">
        <f>IF($E$8="Habilitado",IF($A157="","",ROUND(VLOOKUP($A157,'Presupuesto Consolidado'!$I$9:$N$600,6,FALSE),2)),"")</f>
        <v/>
      </c>
      <c r="F157" s="142" t="str">
        <f t="shared" ref="F157" si="1920">IF($A157="","",IF(E157="","",IF($K$4="Media aritmética",(E157&lt;=$B157)*($G$5/$B$5)+(E157&gt;$B157)*0,IF(ROUND(AVERAGE($C157,$E157,$G157,$I157,$K157,$M157,$O157,$Q157,$S157,$U157,$W157,$Y157,$AA157,$AC157,$AE157),2)-$B157/2&lt;=E157,IF(ROUND(AVERAGE($C157,$E157,$G157,$I157,$K157,$M157,$O157,$Q157,$S157,$U157,$W157,$Y157,$AA157,$AC157,$AE157),2)+$B157/2&gt;E157,($G$5/$B$5),0),0))))</f>
        <v/>
      </c>
      <c r="G157" s="141" t="str">
        <f>IF($G$8="Habilitado",IF($A157="","",ROUND(VLOOKUP($A157,'Presupuesto Consolidado'!$Q$9:$V$600,6,FALSE),2)),"")</f>
        <v/>
      </c>
      <c r="H157" s="142" t="str">
        <f t="shared" ref="H157" si="1921">IF($A157="","",IF(G157="","",IF($K$4="Media aritmética",(G157&lt;=$B157)*($G$5/$B$5)+(G157&gt;$B157)*0,IF(ROUND(AVERAGE($C157,$E157,$G157,$I157,$K157,$M157,$O157,$Q157,$S157,$U157,$W157,$Y157,$AA157,$AC157,$AE157),2)-$B157/2&lt;=G157,IF(ROUND(AVERAGE($C157,$E157,$G157,$I157,$K157,$M157,$O157,$Q157,$S157,$U157,$W157,$Y157,$AA157,$AC157,$AE157),2)+$B157/2&gt;G157,($G$5/$B$5),0),0))))</f>
        <v/>
      </c>
      <c r="I157" s="141" t="str">
        <f>IF($I$8="Habilitado",IF($A157="","",ROUND(VLOOKUP($A157,'Presupuesto Consolidado'!$Y$9:$AD$600,6,FALSE),2)),"")</f>
        <v/>
      </c>
      <c r="J157" s="142" t="str">
        <f t="shared" ref="J157" si="1922">IF($A157="","",IF(I157="","",IF($K$4="Media aritmética",(I157&lt;=$B157)*($G$5/$B$5)+(I157&gt;$B157)*0,IF(ROUND(AVERAGE($C157,$E157,$G157,$I157,$K157,$M157,$O157,$Q157,$S157,$U157,$W157,$Y157,$AA157,$AC157,$AE157),2)-$B157/2&lt;=I157,IF(ROUND(AVERAGE($C157,$E157,$G157,$I157,$K157,$M157,$O157,$Q157,$S157,$U157,$W157,$Y157,$AA157,$AC157,$AE157),2)+$B157/2&gt;I157,($G$5/$B$5),0),0))))</f>
        <v/>
      </c>
      <c r="K157" s="141" t="str">
        <f>IF($K$8="Habilitado",IF($A157="","",ROUND(VLOOKUP($A157,'Presupuesto Consolidado'!#REF!,6,FALSE),2)),"")</f>
        <v/>
      </c>
      <c r="L157" s="142" t="str">
        <f t="shared" ref="L157" si="1923">IF($A157="","",IF(K157="","",IF($K$4="Media aritmética",(K157&lt;=$B157)*($G$5/$B$5)+(K157&gt;$B157)*0,IF(ROUND(AVERAGE($C157,$E157,$G157,$I157,$K157,$M157,$O157,$Q157,$S157,$U157,$W157,$Y157,$AA157,$AC157,$AE157),2)-$B157/2&lt;=K157,IF(ROUND(AVERAGE($C157,$E157,$G157,$I157,$K157,$M157,$O157,$Q157,$S157,$U157,$W157,$Y157,$AA157,$AC157,$AE157),2)+$B157/2&gt;K157,($G$5/$B$5),0),0))))</f>
        <v/>
      </c>
      <c r="M157" s="141" t="str">
        <f>IF($M$8="Habilitado",IF($A157="","",ROUND(VLOOKUP($A157,'Presupuesto Consolidado'!#REF!,6,FALSE),2)),"")</f>
        <v/>
      </c>
      <c r="N157" s="142" t="str">
        <f t="shared" ref="N157" si="1924">IF($A157="","",IF(M157="","",IF($K$4="Media aritmética",(M157&lt;=$B157)*($G$5/$B$5)+(M157&gt;$B157)*0,IF(ROUND(AVERAGE($C157,$E157,$G157,$I157,$K157,$M157,$O157,$Q157,$S157,$U157,$W157,$Y157,$AA157,$AC157,$AE157),2)-$B157/2&lt;=M157,IF(ROUND(AVERAGE($C157,$E157,$G157,$I157,$K157,$M157,$O157,$Q157,$S157,$U157,$W157,$Y157,$AA157,$AC157,$AE157),2)+$B157/2&gt;M157,($G$5/$B$5),0),0))))</f>
        <v/>
      </c>
      <c r="O157" s="141" t="str">
        <f>IF($O$8="Habilitado",IF($A157="","",ROUND(VLOOKUP($A157,'Presupuesto Consolidado'!#REF!,6,FALSE),2)),"")</f>
        <v/>
      </c>
      <c r="P157" s="142" t="str">
        <f t="shared" ref="P157" si="1925">IF($A157="","",IF(O157="","",IF($K$4="Media aritmética",(O157&lt;=$B157)*($G$5/$B$5)+(O157&gt;$B157)*0,IF(ROUND(AVERAGE($C157,$E157,$G157,$I157,$K157,$M157,$O157,$Q157,$S157,$U157,$W157,$Y157,$AA157,$AC157,$AE157),2)-$B157/2&lt;=O157,IF(ROUND(AVERAGE($C157,$E157,$G157,$I157,$K157,$M157,$O157,$Q157,$S157,$U157,$W157,$Y157,$AA157,$AC157,$AE157),2)+$B157/2&gt;O157,($G$5/$B$5),0),0))))</f>
        <v/>
      </c>
      <c r="Q157" s="141" t="str">
        <f>IF($Q$8="Habilitado",IF($A157="","",ROUND(VLOOKUP($A157,'Presupuesto Consolidado'!#REF!,6,FALSE),2)),"")</f>
        <v/>
      </c>
      <c r="R157" s="142" t="str">
        <f t="shared" ref="R157" si="1926">IF($A157="","",IF(Q157="","",IF($K$4="Media aritmética",(Q157&lt;=$B157)*($G$5/$B$5)+(Q157&gt;$B157)*0,IF(ROUND(AVERAGE($C157,$E157,$G157,$I157,$K157,$M157,$O157,$Q157,$S157,$U157,$W157,$Y157,$AA157,$AC157,$AE157),2)-$B157/2&lt;=Q157,IF(ROUND(AVERAGE($C157,$E157,$G157,$I157,$K157,$M157,$O157,$Q157,$S157,$U157,$W157,$Y157,$AA157,$AC157,$AE157),2)+$B157/2&gt;Q157,($G$5/$B$5),0),0))))</f>
        <v/>
      </c>
      <c r="S157" s="141" t="str">
        <f>IF($S$8="Habilitado",IF($A157="","",ROUND(VLOOKUP($A157,'Presupuesto Consolidado'!#REF!,6,FALSE),2)),"")</f>
        <v/>
      </c>
      <c r="T157" s="142" t="str">
        <f t="shared" ref="T157" si="1927">IF($A157="","",IF(S157="","",IF($K$4="Media aritmética",(S157&lt;=$B157)*($G$5/$B$5)+(S157&gt;$B157)*0,IF(ROUND(AVERAGE($C157,$E157,$G157,$I157,$K157,$M157,$O157,$Q157,$S157,$U157,$W157,$Y157,$AA157,$AC157,$AE157),2)-$B157/2&lt;=S157,IF(ROUND(AVERAGE($C157,$E157,$G157,$I157,$K157,$M157,$O157,$Q157,$S157,$U157,$W157,$Y157,$AA157,$AC157,$AE157),2)+$B157/2&gt;S157,($G$5/$B$5),0),0))))</f>
        <v/>
      </c>
      <c r="U157" s="141" t="str">
        <f>IF($U$8="Habilitado",IF($A157="","",ROUND(VLOOKUP($A157,'Presupuesto Consolidado'!#REF!,6,FALSE),2)),"")</f>
        <v/>
      </c>
      <c r="V157" s="142" t="str">
        <f t="shared" ref="V157" si="1928">IF($A157="","",IF(U157="","",IF($K$4="Media aritmética",(U157&lt;=$B157)*($G$5/$B$5)+(U157&gt;$B157)*0,IF(ROUND(AVERAGE($C157,$E157,$G157,$I157,$K157,$M157,$O157,$Q157,$S157,$U157,$W157,$Y157,$AA157,$AC157,$AE157),2)-$B157/2&lt;=U157,IF(ROUND(AVERAGE($C157,$E157,$G157,$I157,$K157,$M157,$O157,$Q157,$S157,$U157,$W157,$Y157,$AA157,$AC157,$AE157),2)+$B157/2&gt;U157,($G$5/$B$5),0),0))))</f>
        <v/>
      </c>
      <c r="W157" s="141" t="str">
        <f>IF($W$8="Habilitado",IF($A157="","",ROUND(VLOOKUP($A157,'Presupuesto Consolidado'!#REF!,6,FALSE),2)),"")</f>
        <v/>
      </c>
      <c r="X157" s="142" t="str">
        <f t="shared" ref="X157" si="1929">IF($A157="","",IF(W157="","",IF($K$4="Media aritmética",(W157&lt;=$B157)*($G$5/$B$5)+(W157&gt;$B157)*0,IF(ROUND(AVERAGE($C157,$E157,$G157,$I157,$K157,$M157,$O157,$Q157,$S157,$U157,$W157,$Y157,$AA157,$AC157,$AE157),2)-$B157/2&lt;=W157,IF(ROUND(AVERAGE($C157,$E157,$G157,$I157,$K157,$M157,$O157,$Q157,$S157,$U157,$W157,$Y157,$AA157,$AC157,$AE157),2)+$B157/2&gt;W157,($G$5/$B$5),0),0))))</f>
        <v/>
      </c>
      <c r="Y157" s="141" t="str">
        <f>IF($Y$8="Habilitado",IF($A157="","",ROUND(VLOOKUP($A157,'Presupuesto Consolidado'!#REF!,6,FALSE),2)),"")</f>
        <v/>
      </c>
      <c r="Z157" s="142" t="str">
        <f t="shared" ref="Z157" si="1930">IF($A157="","",IF(Y157="","",IF($K$4="Media aritmética",(Y157&lt;=$B157)*($G$5/$B$5)+(Y157&gt;$B157)*0,IF(ROUND(AVERAGE($C157,$E157,$G157,$I157,$K157,$M157,$O157,$Q157,$S157,$U157,$W157,$Y157,$AA157,$AC157,$AE157),2)-$B157/2&lt;=Y157,IF(ROUND(AVERAGE($C157,$E157,$G157,$I157,$K157,$M157,$O157,$Q157,$S157,$U157,$W157,$Y157,$AA157,$AC157,$AE157),2)+$B157/2&gt;Y157,($G$5/$B$5),0),0))))</f>
        <v/>
      </c>
      <c r="AA157" s="141" t="str">
        <f>IF($AA$8="Habilitado",IF($A157="","",ROUND(VLOOKUP($A157,'Presupuesto Consolidado'!#REF!,6,FALSE),2)),"")</f>
        <v/>
      </c>
      <c r="AB157" s="142" t="str">
        <f t="shared" ref="AB157" si="1931">IF($A157="","",IF(AA157="","",IF($K$4="Media aritmética",(AA157&lt;=$B157)*($G$5/$B$5)+(AA157&gt;$B157)*0,IF(ROUND(AVERAGE($C157,$E157,$G157,$I157,$K157,$M157,$O157,$Q157,$S157,$U157,$W157,$Y157,$AA157,$AC157,$AE157),2)-$B157/2&lt;=AA157,IF(ROUND(AVERAGE($C157,$E157,$G157,$I157,$K157,$M157,$O157,$Q157,$S157,$U157,$W157,$Y157,$AA157,$AC157,$AE157),2)+$B157/2&gt;AA157,($G$5/$B$5),0),0))))</f>
        <v/>
      </c>
      <c r="AC157" s="141" t="str">
        <f>IF($AC$8="Habilitado",IF($A157="","",ROUND(VLOOKUP($A157,'Presupuesto Consolidado'!#REF!,6,FALSE),2)),"")</f>
        <v/>
      </c>
      <c r="AD157" s="142" t="str">
        <f t="shared" ref="AD157" si="1932">IF($A157="","",IF(AC157="","",IF($K$4="Media aritmética",(AC157&lt;=$B157)*($G$5/$B$5)+(AC157&gt;$B157)*0,IF(ROUND(AVERAGE($C157,$E157,$G157,$I157,$K157,$M157,$O157,$Q157,$S157,$U157,$W157,$Y157,$AA157,$AC157,$AE157),2)-$B157/2&lt;=AC157,IF(ROUND(AVERAGE($C157,$E157,$G157,$I157,$K157,$M157,$O157,$Q157,$S157,$U157,$W157,$Y157,$AA157,$AC157,$AE157),2)+$B157/2&gt;AC157,($G$5/$B$5),0),0))))</f>
        <v/>
      </c>
      <c r="AE157" s="141" t="str">
        <f>IF($AE$8="Habilitado",IF($A157="","",ROUND(VLOOKUP($A157,'Presupuesto Consolidado'!#REF!,6,FALSE),2)),"")</f>
        <v/>
      </c>
      <c r="AF157" s="142" t="str">
        <f t="shared" ref="AF157" si="1933">IF($A157="","",IF(AE157="","",IF($K$4="Media aritmética",(AE157&lt;=$B157)*($G$5/$B$5)+(AE157&gt;$B157)*0,IF(ROUND(AVERAGE($C157,$E157,$G157,$I157,$K157,$M157,$O157,$Q157,$S157,$U157,$W157,$Y157,$AA157,$AC157,$AE157),2)-$B157/2&lt;=AE157,IF(ROUND(AVERAGE($C157,$E157,$G157,$I157,$K157,$M157,$O157,$Q157,$S157,$U157,$W157,$Y157,$AA157,$AC157,$AE157),2)+$B157/2&gt;AE157,($G$5/$B$5),0),0))))</f>
        <v/>
      </c>
    </row>
    <row r="158" spans="1:32" s="135" customFormat="1" ht="21" customHeight="1">
      <c r="A158" s="132" t="str">
        <f>+'Presupuesto Consolidado'!A185</f>
        <v>12.5.2</v>
      </c>
      <c r="B158" s="140">
        <f t="shared" ref="B158" si="1934">IF(A158="","",IF($K$4="Media aritmética",ROUND(AVERAGE(C158,E158,G158,I158,K158,M158,O158,Q158,S158,U158,W158,Y158,AA158,AC158,AE158),2),ROUND(_xlfn.STDEV.P(C158,E158,G158,I158,K158,M158,O158,Q158,S158,U158,W158,Y158,AA158,AC158,AE158),2)))</f>
        <v>621000</v>
      </c>
      <c r="C158" s="141">
        <f>IF($C$8="Habilitado",IF($A158="","",ROUND(VLOOKUP($A158,'Presupuesto Consolidado'!$A$9:$F$600,6,FALSE),2)),"")</f>
        <v>621000</v>
      </c>
      <c r="D158" s="142">
        <f t="shared" ref="D158" si="1935">IF($A158="","",IF(C158="","",IF($K$4="Media aritmética",(C158&lt;=$B158)*($G$5/$B$5)+(C158&gt;$B158)*0,IF(ROUND(AVERAGE($C158,$E158,$G158,$I158,$K158,$M158,$O158,$Q158,$S158,$U158,$W158,$Y158,$AA158,$AC158,$AE158),2)-$B158/2&lt;=C158,IF(ROUND(AVERAGE($C158,$E158,$G158,$I158,$K158,$M158,$O158,$Q158,$S158,$U158,$W158,$Y158,$AA158,$AC158,$AE158),2)+$B158/2&gt;C158,($G$5/$B$5),0),0))))</f>
        <v>0.45714285714285713</v>
      </c>
      <c r="E158" s="141" t="str">
        <f>IF($E$8="Habilitado",IF($A158="","",ROUND(VLOOKUP($A158,'Presupuesto Consolidado'!$I$9:$N$600,6,FALSE),2)),"")</f>
        <v/>
      </c>
      <c r="F158" s="142" t="str">
        <f t="shared" ref="F158" si="1936">IF($A158="","",IF(E158="","",IF($K$4="Media aritmética",(E158&lt;=$B158)*($G$5/$B$5)+(E158&gt;$B158)*0,IF(ROUND(AVERAGE($C158,$E158,$G158,$I158,$K158,$M158,$O158,$Q158,$S158,$U158,$W158,$Y158,$AA158,$AC158,$AE158),2)-$B158/2&lt;=E158,IF(ROUND(AVERAGE($C158,$E158,$G158,$I158,$K158,$M158,$O158,$Q158,$S158,$U158,$W158,$Y158,$AA158,$AC158,$AE158),2)+$B158/2&gt;E158,($G$5/$B$5),0),0))))</f>
        <v/>
      </c>
      <c r="G158" s="141" t="str">
        <f>IF($G$8="Habilitado",IF($A158="","",ROUND(VLOOKUP($A158,'Presupuesto Consolidado'!$Q$9:$V$600,6,FALSE),2)),"")</f>
        <v/>
      </c>
      <c r="H158" s="142" t="str">
        <f t="shared" ref="H158" si="1937">IF($A158="","",IF(G158="","",IF($K$4="Media aritmética",(G158&lt;=$B158)*($G$5/$B$5)+(G158&gt;$B158)*0,IF(ROUND(AVERAGE($C158,$E158,$G158,$I158,$K158,$M158,$O158,$Q158,$S158,$U158,$W158,$Y158,$AA158,$AC158,$AE158),2)-$B158/2&lt;=G158,IF(ROUND(AVERAGE($C158,$E158,$G158,$I158,$K158,$M158,$O158,$Q158,$S158,$U158,$W158,$Y158,$AA158,$AC158,$AE158),2)+$B158/2&gt;G158,($G$5/$B$5),0),0))))</f>
        <v/>
      </c>
      <c r="I158" s="141" t="str">
        <f>IF($I$8="Habilitado",IF($A158="","",ROUND(VLOOKUP($A158,'Presupuesto Consolidado'!$Y$9:$AD$600,6,FALSE),2)),"")</f>
        <v/>
      </c>
      <c r="J158" s="142" t="str">
        <f t="shared" ref="J158" si="1938">IF($A158="","",IF(I158="","",IF($K$4="Media aritmética",(I158&lt;=$B158)*($G$5/$B$5)+(I158&gt;$B158)*0,IF(ROUND(AVERAGE($C158,$E158,$G158,$I158,$K158,$M158,$O158,$Q158,$S158,$U158,$W158,$Y158,$AA158,$AC158,$AE158),2)-$B158/2&lt;=I158,IF(ROUND(AVERAGE($C158,$E158,$G158,$I158,$K158,$M158,$O158,$Q158,$S158,$U158,$W158,$Y158,$AA158,$AC158,$AE158),2)+$B158/2&gt;I158,($G$5/$B$5),0),0))))</f>
        <v/>
      </c>
      <c r="K158" s="141" t="str">
        <f>IF($K$8="Habilitado",IF($A158="","",ROUND(VLOOKUP($A158,'Presupuesto Consolidado'!#REF!,6,FALSE),2)),"")</f>
        <v/>
      </c>
      <c r="L158" s="142" t="str">
        <f t="shared" ref="L158" si="1939">IF($A158="","",IF(K158="","",IF($K$4="Media aritmética",(K158&lt;=$B158)*($G$5/$B$5)+(K158&gt;$B158)*0,IF(ROUND(AVERAGE($C158,$E158,$G158,$I158,$K158,$M158,$O158,$Q158,$S158,$U158,$W158,$Y158,$AA158,$AC158,$AE158),2)-$B158/2&lt;=K158,IF(ROUND(AVERAGE($C158,$E158,$G158,$I158,$K158,$M158,$O158,$Q158,$S158,$U158,$W158,$Y158,$AA158,$AC158,$AE158),2)+$B158/2&gt;K158,($G$5/$B$5),0),0))))</f>
        <v/>
      </c>
      <c r="M158" s="141" t="str">
        <f>IF($M$8="Habilitado",IF($A158="","",ROUND(VLOOKUP($A158,'Presupuesto Consolidado'!#REF!,6,FALSE),2)),"")</f>
        <v/>
      </c>
      <c r="N158" s="142" t="str">
        <f t="shared" ref="N158" si="1940">IF($A158="","",IF(M158="","",IF($K$4="Media aritmética",(M158&lt;=$B158)*($G$5/$B$5)+(M158&gt;$B158)*0,IF(ROUND(AVERAGE($C158,$E158,$G158,$I158,$K158,$M158,$O158,$Q158,$S158,$U158,$W158,$Y158,$AA158,$AC158,$AE158),2)-$B158/2&lt;=M158,IF(ROUND(AVERAGE($C158,$E158,$G158,$I158,$K158,$M158,$O158,$Q158,$S158,$U158,$W158,$Y158,$AA158,$AC158,$AE158),2)+$B158/2&gt;M158,($G$5/$B$5),0),0))))</f>
        <v/>
      </c>
      <c r="O158" s="141" t="str">
        <f>IF($O$8="Habilitado",IF($A158="","",ROUND(VLOOKUP($A158,'Presupuesto Consolidado'!#REF!,6,FALSE),2)),"")</f>
        <v/>
      </c>
      <c r="P158" s="142" t="str">
        <f t="shared" ref="P158" si="1941">IF($A158="","",IF(O158="","",IF($K$4="Media aritmética",(O158&lt;=$B158)*($G$5/$B$5)+(O158&gt;$B158)*0,IF(ROUND(AVERAGE($C158,$E158,$G158,$I158,$K158,$M158,$O158,$Q158,$S158,$U158,$W158,$Y158,$AA158,$AC158,$AE158),2)-$B158/2&lt;=O158,IF(ROUND(AVERAGE($C158,$E158,$G158,$I158,$K158,$M158,$O158,$Q158,$S158,$U158,$W158,$Y158,$AA158,$AC158,$AE158),2)+$B158/2&gt;O158,($G$5/$B$5),0),0))))</f>
        <v/>
      </c>
      <c r="Q158" s="141" t="str">
        <f>IF($Q$8="Habilitado",IF($A158="","",ROUND(VLOOKUP($A158,'Presupuesto Consolidado'!#REF!,6,FALSE),2)),"")</f>
        <v/>
      </c>
      <c r="R158" s="142" t="str">
        <f t="shared" ref="R158" si="1942">IF($A158="","",IF(Q158="","",IF($K$4="Media aritmética",(Q158&lt;=$B158)*($G$5/$B$5)+(Q158&gt;$B158)*0,IF(ROUND(AVERAGE($C158,$E158,$G158,$I158,$K158,$M158,$O158,$Q158,$S158,$U158,$W158,$Y158,$AA158,$AC158,$AE158),2)-$B158/2&lt;=Q158,IF(ROUND(AVERAGE($C158,$E158,$G158,$I158,$K158,$M158,$O158,$Q158,$S158,$U158,$W158,$Y158,$AA158,$AC158,$AE158),2)+$B158/2&gt;Q158,($G$5/$B$5),0),0))))</f>
        <v/>
      </c>
      <c r="S158" s="141" t="str">
        <f>IF($S$8="Habilitado",IF($A158="","",ROUND(VLOOKUP($A158,'Presupuesto Consolidado'!#REF!,6,FALSE),2)),"")</f>
        <v/>
      </c>
      <c r="T158" s="142" t="str">
        <f t="shared" ref="T158" si="1943">IF($A158="","",IF(S158="","",IF($K$4="Media aritmética",(S158&lt;=$B158)*($G$5/$B$5)+(S158&gt;$B158)*0,IF(ROUND(AVERAGE($C158,$E158,$G158,$I158,$K158,$M158,$O158,$Q158,$S158,$U158,$W158,$Y158,$AA158,$AC158,$AE158),2)-$B158/2&lt;=S158,IF(ROUND(AVERAGE($C158,$E158,$G158,$I158,$K158,$M158,$O158,$Q158,$S158,$U158,$W158,$Y158,$AA158,$AC158,$AE158),2)+$B158/2&gt;S158,($G$5/$B$5),0),0))))</f>
        <v/>
      </c>
      <c r="U158" s="141" t="str">
        <f>IF($U$8="Habilitado",IF($A158="","",ROUND(VLOOKUP($A158,'Presupuesto Consolidado'!#REF!,6,FALSE),2)),"")</f>
        <v/>
      </c>
      <c r="V158" s="142" t="str">
        <f t="shared" ref="V158" si="1944">IF($A158="","",IF(U158="","",IF($K$4="Media aritmética",(U158&lt;=$B158)*($G$5/$B$5)+(U158&gt;$B158)*0,IF(ROUND(AVERAGE($C158,$E158,$G158,$I158,$K158,$M158,$O158,$Q158,$S158,$U158,$W158,$Y158,$AA158,$AC158,$AE158),2)-$B158/2&lt;=U158,IF(ROUND(AVERAGE($C158,$E158,$G158,$I158,$K158,$M158,$O158,$Q158,$S158,$U158,$W158,$Y158,$AA158,$AC158,$AE158),2)+$B158/2&gt;U158,($G$5/$B$5),0),0))))</f>
        <v/>
      </c>
      <c r="W158" s="141" t="str">
        <f>IF($W$8="Habilitado",IF($A158="","",ROUND(VLOOKUP($A158,'Presupuesto Consolidado'!#REF!,6,FALSE),2)),"")</f>
        <v/>
      </c>
      <c r="X158" s="142" t="str">
        <f t="shared" ref="X158" si="1945">IF($A158="","",IF(W158="","",IF($K$4="Media aritmética",(W158&lt;=$B158)*($G$5/$B$5)+(W158&gt;$B158)*0,IF(ROUND(AVERAGE($C158,$E158,$G158,$I158,$K158,$M158,$O158,$Q158,$S158,$U158,$W158,$Y158,$AA158,$AC158,$AE158),2)-$B158/2&lt;=W158,IF(ROUND(AVERAGE($C158,$E158,$G158,$I158,$K158,$M158,$O158,$Q158,$S158,$U158,$W158,$Y158,$AA158,$AC158,$AE158),2)+$B158/2&gt;W158,($G$5/$B$5),0),0))))</f>
        <v/>
      </c>
      <c r="Y158" s="141" t="str">
        <f>IF($Y$8="Habilitado",IF($A158="","",ROUND(VLOOKUP($A158,'Presupuesto Consolidado'!#REF!,6,FALSE),2)),"")</f>
        <v/>
      </c>
      <c r="Z158" s="142" t="str">
        <f t="shared" ref="Z158" si="1946">IF($A158="","",IF(Y158="","",IF($K$4="Media aritmética",(Y158&lt;=$B158)*($G$5/$B$5)+(Y158&gt;$B158)*0,IF(ROUND(AVERAGE($C158,$E158,$G158,$I158,$K158,$M158,$O158,$Q158,$S158,$U158,$W158,$Y158,$AA158,$AC158,$AE158),2)-$B158/2&lt;=Y158,IF(ROUND(AVERAGE($C158,$E158,$G158,$I158,$K158,$M158,$O158,$Q158,$S158,$U158,$W158,$Y158,$AA158,$AC158,$AE158),2)+$B158/2&gt;Y158,($G$5/$B$5),0),0))))</f>
        <v/>
      </c>
      <c r="AA158" s="141" t="str">
        <f>IF($AA$8="Habilitado",IF($A158="","",ROUND(VLOOKUP($A158,'Presupuesto Consolidado'!#REF!,6,FALSE),2)),"")</f>
        <v/>
      </c>
      <c r="AB158" s="142" t="str">
        <f t="shared" ref="AB158" si="1947">IF($A158="","",IF(AA158="","",IF($K$4="Media aritmética",(AA158&lt;=$B158)*($G$5/$B$5)+(AA158&gt;$B158)*0,IF(ROUND(AVERAGE($C158,$E158,$G158,$I158,$K158,$M158,$O158,$Q158,$S158,$U158,$W158,$Y158,$AA158,$AC158,$AE158),2)-$B158/2&lt;=AA158,IF(ROUND(AVERAGE($C158,$E158,$G158,$I158,$K158,$M158,$O158,$Q158,$S158,$U158,$W158,$Y158,$AA158,$AC158,$AE158),2)+$B158/2&gt;AA158,($G$5/$B$5),0),0))))</f>
        <v/>
      </c>
      <c r="AC158" s="141" t="str">
        <f>IF($AC$8="Habilitado",IF($A158="","",ROUND(VLOOKUP($A158,'Presupuesto Consolidado'!#REF!,6,FALSE),2)),"")</f>
        <v/>
      </c>
      <c r="AD158" s="142" t="str">
        <f t="shared" ref="AD158" si="1948">IF($A158="","",IF(AC158="","",IF($K$4="Media aritmética",(AC158&lt;=$B158)*($G$5/$B$5)+(AC158&gt;$B158)*0,IF(ROUND(AVERAGE($C158,$E158,$G158,$I158,$K158,$M158,$O158,$Q158,$S158,$U158,$W158,$Y158,$AA158,$AC158,$AE158),2)-$B158/2&lt;=AC158,IF(ROUND(AVERAGE($C158,$E158,$G158,$I158,$K158,$M158,$O158,$Q158,$S158,$U158,$W158,$Y158,$AA158,$AC158,$AE158),2)+$B158/2&gt;AC158,($G$5/$B$5),0),0))))</f>
        <v/>
      </c>
      <c r="AE158" s="141" t="str">
        <f>IF($AE$8="Habilitado",IF($A158="","",ROUND(VLOOKUP($A158,'Presupuesto Consolidado'!#REF!,6,FALSE),2)),"")</f>
        <v/>
      </c>
      <c r="AF158" s="142" t="str">
        <f t="shared" ref="AF158" si="1949">IF($A158="","",IF(AE158="","",IF($K$4="Media aritmética",(AE158&lt;=$B158)*($G$5/$B$5)+(AE158&gt;$B158)*0,IF(ROUND(AVERAGE($C158,$E158,$G158,$I158,$K158,$M158,$O158,$Q158,$S158,$U158,$W158,$Y158,$AA158,$AC158,$AE158),2)-$B158/2&lt;=AE158,IF(ROUND(AVERAGE($C158,$E158,$G158,$I158,$K158,$M158,$O158,$Q158,$S158,$U158,$W158,$Y158,$AA158,$AC158,$AE158),2)+$B158/2&gt;AE158,($G$5/$B$5),0),0))))</f>
        <v/>
      </c>
    </row>
    <row r="159" spans="1:32" s="135" customFormat="1" ht="21" customHeight="1">
      <c r="A159" s="132" t="str">
        <f>+'Presupuesto Consolidado'!A186</f>
        <v>12.5.3</v>
      </c>
      <c r="B159" s="140">
        <f t="shared" ref="B159" si="1950">IF(A159="","",IF($K$4="Media aritmética",ROUND(AVERAGE(C159,E159,G159,I159,K159,M159,O159,Q159,S159,U159,W159,Y159,AA159,AC159,AE159),2),ROUND(_xlfn.STDEV.P(C159,E159,G159,I159,K159,M159,O159,Q159,S159,U159,W159,Y159,AA159,AC159,AE159),2)))</f>
        <v>465750</v>
      </c>
      <c r="C159" s="141">
        <f>IF($C$8="Habilitado",IF($A159="","",ROUND(VLOOKUP($A159,'Presupuesto Consolidado'!$A$9:$F$600,6,FALSE),2)),"")</f>
        <v>465750</v>
      </c>
      <c r="D159" s="142">
        <f t="shared" ref="D159" si="1951">IF($A159="","",IF(C159="","",IF($K$4="Media aritmética",(C159&lt;=$B159)*($G$5/$B$5)+(C159&gt;$B159)*0,IF(ROUND(AVERAGE($C159,$E159,$G159,$I159,$K159,$M159,$O159,$Q159,$S159,$U159,$W159,$Y159,$AA159,$AC159,$AE159),2)-$B159/2&lt;=C159,IF(ROUND(AVERAGE($C159,$E159,$G159,$I159,$K159,$M159,$O159,$Q159,$S159,$U159,$W159,$Y159,$AA159,$AC159,$AE159),2)+$B159/2&gt;C159,($G$5/$B$5),0),0))))</f>
        <v>0.45714285714285713</v>
      </c>
      <c r="E159" s="141" t="str">
        <f>IF($E$8="Habilitado",IF($A159="","",ROUND(VLOOKUP($A159,'Presupuesto Consolidado'!$I$9:$N$600,6,FALSE),2)),"")</f>
        <v/>
      </c>
      <c r="F159" s="142" t="str">
        <f t="shared" ref="F159" si="1952">IF($A159="","",IF(E159="","",IF($K$4="Media aritmética",(E159&lt;=$B159)*($G$5/$B$5)+(E159&gt;$B159)*0,IF(ROUND(AVERAGE($C159,$E159,$G159,$I159,$K159,$M159,$O159,$Q159,$S159,$U159,$W159,$Y159,$AA159,$AC159,$AE159),2)-$B159/2&lt;=E159,IF(ROUND(AVERAGE($C159,$E159,$G159,$I159,$K159,$M159,$O159,$Q159,$S159,$U159,$W159,$Y159,$AA159,$AC159,$AE159),2)+$B159/2&gt;E159,($G$5/$B$5),0),0))))</f>
        <v/>
      </c>
      <c r="G159" s="141" t="str">
        <f>IF($G$8="Habilitado",IF($A159="","",ROUND(VLOOKUP($A159,'Presupuesto Consolidado'!$Q$9:$V$600,6,FALSE),2)),"")</f>
        <v/>
      </c>
      <c r="H159" s="142" t="str">
        <f t="shared" ref="H159" si="1953">IF($A159="","",IF(G159="","",IF($K$4="Media aritmética",(G159&lt;=$B159)*($G$5/$B$5)+(G159&gt;$B159)*0,IF(ROUND(AVERAGE($C159,$E159,$G159,$I159,$K159,$M159,$O159,$Q159,$S159,$U159,$W159,$Y159,$AA159,$AC159,$AE159),2)-$B159/2&lt;=G159,IF(ROUND(AVERAGE($C159,$E159,$G159,$I159,$K159,$M159,$O159,$Q159,$S159,$U159,$W159,$Y159,$AA159,$AC159,$AE159),2)+$B159/2&gt;G159,($G$5/$B$5),0),0))))</f>
        <v/>
      </c>
      <c r="I159" s="141" t="str">
        <f>IF($I$8="Habilitado",IF($A159="","",ROUND(VLOOKUP($A159,'Presupuesto Consolidado'!$Y$9:$AD$600,6,FALSE),2)),"")</f>
        <v/>
      </c>
      <c r="J159" s="142" t="str">
        <f t="shared" ref="J159" si="1954">IF($A159="","",IF(I159="","",IF($K$4="Media aritmética",(I159&lt;=$B159)*($G$5/$B$5)+(I159&gt;$B159)*0,IF(ROUND(AVERAGE($C159,$E159,$G159,$I159,$K159,$M159,$O159,$Q159,$S159,$U159,$W159,$Y159,$AA159,$AC159,$AE159),2)-$B159/2&lt;=I159,IF(ROUND(AVERAGE($C159,$E159,$G159,$I159,$K159,$M159,$O159,$Q159,$S159,$U159,$W159,$Y159,$AA159,$AC159,$AE159),2)+$B159/2&gt;I159,($G$5/$B$5),0),0))))</f>
        <v/>
      </c>
      <c r="K159" s="141" t="str">
        <f>IF($K$8="Habilitado",IF($A159="","",ROUND(VLOOKUP($A159,'Presupuesto Consolidado'!#REF!,6,FALSE),2)),"")</f>
        <v/>
      </c>
      <c r="L159" s="142" t="str">
        <f t="shared" ref="L159" si="1955">IF($A159="","",IF(K159="","",IF($K$4="Media aritmética",(K159&lt;=$B159)*($G$5/$B$5)+(K159&gt;$B159)*0,IF(ROUND(AVERAGE($C159,$E159,$G159,$I159,$K159,$M159,$O159,$Q159,$S159,$U159,$W159,$Y159,$AA159,$AC159,$AE159),2)-$B159/2&lt;=K159,IF(ROUND(AVERAGE($C159,$E159,$G159,$I159,$K159,$M159,$O159,$Q159,$S159,$U159,$W159,$Y159,$AA159,$AC159,$AE159),2)+$B159/2&gt;K159,($G$5/$B$5),0),0))))</f>
        <v/>
      </c>
      <c r="M159" s="141" t="str">
        <f>IF($M$8="Habilitado",IF($A159="","",ROUND(VLOOKUP($A159,'Presupuesto Consolidado'!#REF!,6,FALSE),2)),"")</f>
        <v/>
      </c>
      <c r="N159" s="142" t="str">
        <f t="shared" ref="N159" si="1956">IF($A159="","",IF(M159="","",IF($K$4="Media aritmética",(M159&lt;=$B159)*($G$5/$B$5)+(M159&gt;$B159)*0,IF(ROUND(AVERAGE($C159,$E159,$G159,$I159,$K159,$M159,$O159,$Q159,$S159,$U159,$W159,$Y159,$AA159,$AC159,$AE159),2)-$B159/2&lt;=M159,IF(ROUND(AVERAGE($C159,$E159,$G159,$I159,$K159,$M159,$O159,$Q159,$S159,$U159,$W159,$Y159,$AA159,$AC159,$AE159),2)+$B159/2&gt;M159,($G$5/$B$5),0),0))))</f>
        <v/>
      </c>
      <c r="O159" s="141" t="str">
        <f>IF($O$8="Habilitado",IF($A159="","",ROUND(VLOOKUP($A159,'Presupuesto Consolidado'!#REF!,6,FALSE),2)),"")</f>
        <v/>
      </c>
      <c r="P159" s="142" t="str">
        <f t="shared" ref="P159" si="1957">IF($A159="","",IF(O159="","",IF($K$4="Media aritmética",(O159&lt;=$B159)*($G$5/$B$5)+(O159&gt;$B159)*0,IF(ROUND(AVERAGE($C159,$E159,$G159,$I159,$K159,$M159,$O159,$Q159,$S159,$U159,$W159,$Y159,$AA159,$AC159,$AE159),2)-$B159/2&lt;=O159,IF(ROUND(AVERAGE($C159,$E159,$G159,$I159,$K159,$M159,$O159,$Q159,$S159,$U159,$W159,$Y159,$AA159,$AC159,$AE159),2)+$B159/2&gt;O159,($G$5/$B$5),0),0))))</f>
        <v/>
      </c>
      <c r="Q159" s="141" t="str">
        <f>IF($Q$8="Habilitado",IF($A159="","",ROUND(VLOOKUP($A159,'Presupuesto Consolidado'!#REF!,6,FALSE),2)),"")</f>
        <v/>
      </c>
      <c r="R159" s="142" t="str">
        <f t="shared" ref="R159" si="1958">IF($A159="","",IF(Q159="","",IF($K$4="Media aritmética",(Q159&lt;=$B159)*($G$5/$B$5)+(Q159&gt;$B159)*0,IF(ROUND(AVERAGE($C159,$E159,$G159,$I159,$K159,$M159,$O159,$Q159,$S159,$U159,$W159,$Y159,$AA159,$AC159,$AE159),2)-$B159/2&lt;=Q159,IF(ROUND(AVERAGE($C159,$E159,$G159,$I159,$K159,$M159,$O159,$Q159,$S159,$U159,$W159,$Y159,$AA159,$AC159,$AE159),2)+$B159/2&gt;Q159,($G$5/$B$5),0),0))))</f>
        <v/>
      </c>
      <c r="S159" s="141" t="str">
        <f>IF($S$8="Habilitado",IF($A159="","",ROUND(VLOOKUP($A159,'Presupuesto Consolidado'!#REF!,6,FALSE),2)),"")</f>
        <v/>
      </c>
      <c r="T159" s="142" t="str">
        <f t="shared" ref="T159" si="1959">IF($A159="","",IF(S159="","",IF($K$4="Media aritmética",(S159&lt;=$B159)*($G$5/$B$5)+(S159&gt;$B159)*0,IF(ROUND(AVERAGE($C159,$E159,$G159,$I159,$K159,$M159,$O159,$Q159,$S159,$U159,$W159,$Y159,$AA159,$AC159,$AE159),2)-$B159/2&lt;=S159,IF(ROUND(AVERAGE($C159,$E159,$G159,$I159,$K159,$M159,$O159,$Q159,$S159,$U159,$W159,$Y159,$AA159,$AC159,$AE159),2)+$B159/2&gt;S159,($G$5/$B$5),0),0))))</f>
        <v/>
      </c>
      <c r="U159" s="141" t="str">
        <f>IF($U$8="Habilitado",IF($A159="","",ROUND(VLOOKUP($A159,'Presupuesto Consolidado'!#REF!,6,FALSE),2)),"")</f>
        <v/>
      </c>
      <c r="V159" s="142" t="str">
        <f t="shared" ref="V159" si="1960">IF($A159="","",IF(U159="","",IF($K$4="Media aritmética",(U159&lt;=$B159)*($G$5/$B$5)+(U159&gt;$B159)*0,IF(ROUND(AVERAGE($C159,$E159,$G159,$I159,$K159,$M159,$O159,$Q159,$S159,$U159,$W159,$Y159,$AA159,$AC159,$AE159),2)-$B159/2&lt;=U159,IF(ROUND(AVERAGE($C159,$E159,$G159,$I159,$K159,$M159,$O159,$Q159,$S159,$U159,$W159,$Y159,$AA159,$AC159,$AE159),2)+$B159/2&gt;U159,($G$5/$B$5),0),0))))</f>
        <v/>
      </c>
      <c r="W159" s="141" t="str">
        <f>IF($W$8="Habilitado",IF($A159="","",ROUND(VLOOKUP($A159,'Presupuesto Consolidado'!#REF!,6,FALSE),2)),"")</f>
        <v/>
      </c>
      <c r="X159" s="142" t="str">
        <f t="shared" ref="X159" si="1961">IF($A159="","",IF(W159="","",IF($K$4="Media aritmética",(W159&lt;=$B159)*($G$5/$B$5)+(W159&gt;$B159)*0,IF(ROUND(AVERAGE($C159,$E159,$G159,$I159,$K159,$M159,$O159,$Q159,$S159,$U159,$W159,$Y159,$AA159,$AC159,$AE159),2)-$B159/2&lt;=W159,IF(ROUND(AVERAGE($C159,$E159,$G159,$I159,$K159,$M159,$O159,$Q159,$S159,$U159,$W159,$Y159,$AA159,$AC159,$AE159),2)+$B159/2&gt;W159,($G$5/$B$5),0),0))))</f>
        <v/>
      </c>
      <c r="Y159" s="141" t="str">
        <f>IF($Y$8="Habilitado",IF($A159="","",ROUND(VLOOKUP($A159,'Presupuesto Consolidado'!#REF!,6,FALSE),2)),"")</f>
        <v/>
      </c>
      <c r="Z159" s="142" t="str">
        <f t="shared" ref="Z159" si="1962">IF($A159="","",IF(Y159="","",IF($K$4="Media aritmética",(Y159&lt;=$B159)*($G$5/$B$5)+(Y159&gt;$B159)*0,IF(ROUND(AVERAGE($C159,$E159,$G159,$I159,$K159,$M159,$O159,$Q159,$S159,$U159,$W159,$Y159,$AA159,$AC159,$AE159),2)-$B159/2&lt;=Y159,IF(ROUND(AVERAGE($C159,$E159,$G159,$I159,$K159,$M159,$O159,$Q159,$S159,$U159,$W159,$Y159,$AA159,$AC159,$AE159),2)+$B159/2&gt;Y159,($G$5/$B$5),0),0))))</f>
        <v/>
      </c>
      <c r="AA159" s="141" t="str">
        <f>IF($AA$8="Habilitado",IF($A159="","",ROUND(VLOOKUP($A159,'Presupuesto Consolidado'!#REF!,6,FALSE),2)),"")</f>
        <v/>
      </c>
      <c r="AB159" s="142" t="str">
        <f t="shared" ref="AB159" si="1963">IF($A159="","",IF(AA159="","",IF($K$4="Media aritmética",(AA159&lt;=$B159)*($G$5/$B$5)+(AA159&gt;$B159)*0,IF(ROUND(AVERAGE($C159,$E159,$G159,$I159,$K159,$M159,$O159,$Q159,$S159,$U159,$W159,$Y159,$AA159,$AC159,$AE159),2)-$B159/2&lt;=AA159,IF(ROUND(AVERAGE($C159,$E159,$G159,$I159,$K159,$M159,$O159,$Q159,$S159,$U159,$W159,$Y159,$AA159,$AC159,$AE159),2)+$B159/2&gt;AA159,($G$5/$B$5),0),0))))</f>
        <v/>
      </c>
      <c r="AC159" s="141" t="str">
        <f>IF($AC$8="Habilitado",IF($A159="","",ROUND(VLOOKUP($A159,'Presupuesto Consolidado'!#REF!,6,FALSE),2)),"")</f>
        <v/>
      </c>
      <c r="AD159" s="142" t="str">
        <f t="shared" ref="AD159" si="1964">IF($A159="","",IF(AC159="","",IF($K$4="Media aritmética",(AC159&lt;=$B159)*($G$5/$B$5)+(AC159&gt;$B159)*0,IF(ROUND(AVERAGE($C159,$E159,$G159,$I159,$K159,$M159,$O159,$Q159,$S159,$U159,$W159,$Y159,$AA159,$AC159,$AE159),2)-$B159/2&lt;=AC159,IF(ROUND(AVERAGE($C159,$E159,$G159,$I159,$K159,$M159,$O159,$Q159,$S159,$U159,$W159,$Y159,$AA159,$AC159,$AE159),2)+$B159/2&gt;AC159,($G$5/$B$5),0),0))))</f>
        <v/>
      </c>
      <c r="AE159" s="141" t="str">
        <f>IF($AE$8="Habilitado",IF($A159="","",ROUND(VLOOKUP($A159,'Presupuesto Consolidado'!#REF!,6,FALSE),2)),"")</f>
        <v/>
      </c>
      <c r="AF159" s="142" t="str">
        <f t="shared" ref="AF159" si="1965">IF($A159="","",IF(AE159="","",IF($K$4="Media aritmética",(AE159&lt;=$B159)*($G$5/$B$5)+(AE159&gt;$B159)*0,IF(ROUND(AVERAGE($C159,$E159,$G159,$I159,$K159,$M159,$O159,$Q159,$S159,$U159,$W159,$Y159,$AA159,$AC159,$AE159),2)-$B159/2&lt;=AE159,IF(ROUND(AVERAGE($C159,$E159,$G159,$I159,$K159,$M159,$O159,$Q159,$S159,$U159,$W159,$Y159,$AA159,$AC159,$AE159),2)+$B159/2&gt;AE159,($G$5/$B$5),0),0))))</f>
        <v/>
      </c>
    </row>
    <row r="160" spans="1:32" s="135" customFormat="1" ht="21" customHeight="1">
      <c r="A160" s="132" t="str">
        <f>+'Presupuesto Consolidado'!A187</f>
        <v>12.5.4</v>
      </c>
      <c r="B160" s="140">
        <f t="shared" ref="B160" si="1966">IF(A160="","",IF($K$4="Media aritmética",ROUND(AVERAGE(C160,E160,G160,I160,K160,M160,O160,Q160,S160,U160,W160,Y160,AA160,AC160,AE160),2),ROUND(_xlfn.STDEV.P(C160,E160,G160,I160,K160,M160,O160,Q160,S160,U160,W160,Y160,AA160,AC160,AE160),2)))</f>
        <v>10867500</v>
      </c>
      <c r="C160" s="141">
        <f>IF($C$8="Habilitado",IF($A160="","",ROUND(VLOOKUP($A160,'Presupuesto Consolidado'!$A$9:$F$600,6,FALSE),2)),"")</f>
        <v>10867500</v>
      </c>
      <c r="D160" s="142">
        <f t="shared" ref="D160" si="1967">IF($A160="","",IF(C160="","",IF($K$4="Media aritmética",(C160&lt;=$B160)*($G$5/$B$5)+(C160&gt;$B160)*0,IF(ROUND(AVERAGE($C160,$E160,$G160,$I160,$K160,$M160,$O160,$Q160,$S160,$U160,$W160,$Y160,$AA160,$AC160,$AE160),2)-$B160/2&lt;=C160,IF(ROUND(AVERAGE($C160,$E160,$G160,$I160,$K160,$M160,$O160,$Q160,$S160,$U160,$W160,$Y160,$AA160,$AC160,$AE160),2)+$B160/2&gt;C160,($G$5/$B$5),0),0))))</f>
        <v>0.45714285714285713</v>
      </c>
      <c r="E160" s="141" t="str">
        <f>IF($E$8="Habilitado",IF($A160="","",ROUND(VLOOKUP($A160,'Presupuesto Consolidado'!$I$9:$N$600,6,FALSE),2)),"")</f>
        <v/>
      </c>
      <c r="F160" s="142" t="str">
        <f t="shared" ref="F160" si="1968">IF($A160="","",IF(E160="","",IF($K$4="Media aritmética",(E160&lt;=$B160)*($G$5/$B$5)+(E160&gt;$B160)*0,IF(ROUND(AVERAGE($C160,$E160,$G160,$I160,$K160,$M160,$O160,$Q160,$S160,$U160,$W160,$Y160,$AA160,$AC160,$AE160),2)-$B160/2&lt;=E160,IF(ROUND(AVERAGE($C160,$E160,$G160,$I160,$K160,$M160,$O160,$Q160,$S160,$U160,$W160,$Y160,$AA160,$AC160,$AE160),2)+$B160/2&gt;E160,($G$5/$B$5),0),0))))</f>
        <v/>
      </c>
      <c r="G160" s="141" t="str">
        <f>IF($G$8="Habilitado",IF($A160="","",ROUND(VLOOKUP($A160,'Presupuesto Consolidado'!$Q$9:$V$600,6,FALSE),2)),"")</f>
        <v/>
      </c>
      <c r="H160" s="142" t="str">
        <f t="shared" ref="H160" si="1969">IF($A160="","",IF(G160="","",IF($K$4="Media aritmética",(G160&lt;=$B160)*($G$5/$B$5)+(G160&gt;$B160)*0,IF(ROUND(AVERAGE($C160,$E160,$G160,$I160,$K160,$M160,$O160,$Q160,$S160,$U160,$W160,$Y160,$AA160,$AC160,$AE160),2)-$B160/2&lt;=G160,IF(ROUND(AVERAGE($C160,$E160,$G160,$I160,$K160,$M160,$O160,$Q160,$S160,$U160,$W160,$Y160,$AA160,$AC160,$AE160),2)+$B160/2&gt;G160,($G$5/$B$5),0),0))))</f>
        <v/>
      </c>
      <c r="I160" s="141" t="str">
        <f>IF($I$8="Habilitado",IF($A160="","",ROUND(VLOOKUP($A160,'Presupuesto Consolidado'!$Y$9:$AD$600,6,FALSE),2)),"")</f>
        <v/>
      </c>
      <c r="J160" s="142" t="str">
        <f t="shared" ref="J160" si="1970">IF($A160="","",IF(I160="","",IF($K$4="Media aritmética",(I160&lt;=$B160)*($G$5/$B$5)+(I160&gt;$B160)*0,IF(ROUND(AVERAGE($C160,$E160,$G160,$I160,$K160,$M160,$O160,$Q160,$S160,$U160,$W160,$Y160,$AA160,$AC160,$AE160),2)-$B160/2&lt;=I160,IF(ROUND(AVERAGE($C160,$E160,$G160,$I160,$K160,$M160,$O160,$Q160,$S160,$U160,$W160,$Y160,$AA160,$AC160,$AE160),2)+$B160/2&gt;I160,($G$5/$B$5),0),0))))</f>
        <v/>
      </c>
      <c r="K160" s="141" t="str">
        <f>IF($K$8="Habilitado",IF($A160="","",ROUND(VLOOKUP($A160,'Presupuesto Consolidado'!#REF!,6,FALSE),2)),"")</f>
        <v/>
      </c>
      <c r="L160" s="142" t="str">
        <f t="shared" ref="L160" si="1971">IF($A160="","",IF(K160="","",IF($K$4="Media aritmética",(K160&lt;=$B160)*($G$5/$B$5)+(K160&gt;$B160)*0,IF(ROUND(AVERAGE($C160,$E160,$G160,$I160,$K160,$M160,$O160,$Q160,$S160,$U160,$W160,$Y160,$AA160,$AC160,$AE160),2)-$B160/2&lt;=K160,IF(ROUND(AVERAGE($C160,$E160,$G160,$I160,$K160,$M160,$O160,$Q160,$S160,$U160,$W160,$Y160,$AA160,$AC160,$AE160),2)+$B160/2&gt;K160,($G$5/$B$5),0),0))))</f>
        <v/>
      </c>
      <c r="M160" s="141" t="str">
        <f>IF($M$8="Habilitado",IF($A160="","",ROUND(VLOOKUP($A160,'Presupuesto Consolidado'!#REF!,6,FALSE),2)),"")</f>
        <v/>
      </c>
      <c r="N160" s="142" t="str">
        <f t="shared" ref="N160" si="1972">IF($A160="","",IF(M160="","",IF($K$4="Media aritmética",(M160&lt;=$B160)*($G$5/$B$5)+(M160&gt;$B160)*0,IF(ROUND(AVERAGE($C160,$E160,$G160,$I160,$K160,$M160,$O160,$Q160,$S160,$U160,$W160,$Y160,$AA160,$AC160,$AE160),2)-$B160/2&lt;=M160,IF(ROUND(AVERAGE($C160,$E160,$G160,$I160,$K160,$M160,$O160,$Q160,$S160,$U160,$W160,$Y160,$AA160,$AC160,$AE160),2)+$B160/2&gt;M160,($G$5/$B$5),0),0))))</f>
        <v/>
      </c>
      <c r="O160" s="141" t="str">
        <f>IF($O$8="Habilitado",IF($A160="","",ROUND(VLOOKUP($A160,'Presupuesto Consolidado'!#REF!,6,FALSE),2)),"")</f>
        <v/>
      </c>
      <c r="P160" s="142" t="str">
        <f t="shared" ref="P160" si="1973">IF($A160="","",IF(O160="","",IF($K$4="Media aritmética",(O160&lt;=$B160)*($G$5/$B$5)+(O160&gt;$B160)*0,IF(ROUND(AVERAGE($C160,$E160,$G160,$I160,$K160,$M160,$O160,$Q160,$S160,$U160,$W160,$Y160,$AA160,$AC160,$AE160),2)-$B160/2&lt;=O160,IF(ROUND(AVERAGE($C160,$E160,$G160,$I160,$K160,$M160,$O160,$Q160,$S160,$U160,$W160,$Y160,$AA160,$AC160,$AE160),2)+$B160/2&gt;O160,($G$5/$B$5),0),0))))</f>
        <v/>
      </c>
      <c r="Q160" s="141" t="str">
        <f>IF($Q$8="Habilitado",IF($A160="","",ROUND(VLOOKUP($A160,'Presupuesto Consolidado'!#REF!,6,FALSE),2)),"")</f>
        <v/>
      </c>
      <c r="R160" s="142" t="str">
        <f t="shared" ref="R160" si="1974">IF($A160="","",IF(Q160="","",IF($K$4="Media aritmética",(Q160&lt;=$B160)*($G$5/$B$5)+(Q160&gt;$B160)*0,IF(ROUND(AVERAGE($C160,$E160,$G160,$I160,$K160,$M160,$O160,$Q160,$S160,$U160,$W160,$Y160,$AA160,$AC160,$AE160),2)-$B160/2&lt;=Q160,IF(ROUND(AVERAGE($C160,$E160,$G160,$I160,$K160,$M160,$O160,$Q160,$S160,$U160,$W160,$Y160,$AA160,$AC160,$AE160),2)+$B160/2&gt;Q160,($G$5/$B$5),0),0))))</f>
        <v/>
      </c>
      <c r="S160" s="141" t="str">
        <f>IF($S$8="Habilitado",IF($A160="","",ROUND(VLOOKUP($A160,'Presupuesto Consolidado'!#REF!,6,FALSE),2)),"")</f>
        <v/>
      </c>
      <c r="T160" s="142" t="str">
        <f t="shared" ref="T160" si="1975">IF($A160="","",IF(S160="","",IF($K$4="Media aritmética",(S160&lt;=$B160)*($G$5/$B$5)+(S160&gt;$B160)*0,IF(ROUND(AVERAGE($C160,$E160,$G160,$I160,$K160,$M160,$O160,$Q160,$S160,$U160,$W160,$Y160,$AA160,$AC160,$AE160),2)-$B160/2&lt;=S160,IF(ROUND(AVERAGE($C160,$E160,$G160,$I160,$K160,$M160,$O160,$Q160,$S160,$U160,$W160,$Y160,$AA160,$AC160,$AE160),2)+$B160/2&gt;S160,($G$5/$B$5),0),0))))</f>
        <v/>
      </c>
      <c r="U160" s="141" t="str">
        <f>IF($U$8="Habilitado",IF($A160="","",ROUND(VLOOKUP($A160,'Presupuesto Consolidado'!#REF!,6,FALSE),2)),"")</f>
        <v/>
      </c>
      <c r="V160" s="142" t="str">
        <f t="shared" ref="V160" si="1976">IF($A160="","",IF(U160="","",IF($K$4="Media aritmética",(U160&lt;=$B160)*($G$5/$B$5)+(U160&gt;$B160)*0,IF(ROUND(AVERAGE($C160,$E160,$G160,$I160,$K160,$M160,$O160,$Q160,$S160,$U160,$W160,$Y160,$AA160,$AC160,$AE160),2)-$B160/2&lt;=U160,IF(ROUND(AVERAGE($C160,$E160,$G160,$I160,$K160,$M160,$O160,$Q160,$S160,$U160,$W160,$Y160,$AA160,$AC160,$AE160),2)+$B160/2&gt;U160,($G$5/$B$5),0),0))))</f>
        <v/>
      </c>
      <c r="W160" s="141" t="str">
        <f>IF($W$8="Habilitado",IF($A160="","",ROUND(VLOOKUP($A160,'Presupuesto Consolidado'!#REF!,6,FALSE),2)),"")</f>
        <v/>
      </c>
      <c r="X160" s="142" t="str">
        <f t="shared" ref="X160" si="1977">IF($A160="","",IF(W160="","",IF($K$4="Media aritmética",(W160&lt;=$B160)*($G$5/$B$5)+(W160&gt;$B160)*0,IF(ROUND(AVERAGE($C160,$E160,$G160,$I160,$K160,$M160,$O160,$Q160,$S160,$U160,$W160,$Y160,$AA160,$AC160,$AE160),2)-$B160/2&lt;=W160,IF(ROUND(AVERAGE($C160,$E160,$G160,$I160,$K160,$M160,$O160,$Q160,$S160,$U160,$W160,$Y160,$AA160,$AC160,$AE160),2)+$B160/2&gt;W160,($G$5/$B$5),0),0))))</f>
        <v/>
      </c>
      <c r="Y160" s="141" t="str">
        <f>IF($Y$8="Habilitado",IF($A160="","",ROUND(VLOOKUP($A160,'Presupuesto Consolidado'!#REF!,6,FALSE),2)),"")</f>
        <v/>
      </c>
      <c r="Z160" s="142" t="str">
        <f t="shared" ref="Z160" si="1978">IF($A160="","",IF(Y160="","",IF($K$4="Media aritmética",(Y160&lt;=$B160)*($G$5/$B$5)+(Y160&gt;$B160)*0,IF(ROUND(AVERAGE($C160,$E160,$G160,$I160,$K160,$M160,$O160,$Q160,$S160,$U160,$W160,$Y160,$AA160,$AC160,$AE160),2)-$B160/2&lt;=Y160,IF(ROUND(AVERAGE($C160,$E160,$G160,$I160,$K160,$M160,$O160,$Q160,$S160,$U160,$W160,$Y160,$AA160,$AC160,$AE160),2)+$B160/2&gt;Y160,($G$5/$B$5),0),0))))</f>
        <v/>
      </c>
      <c r="AA160" s="141" t="str">
        <f>IF($AA$8="Habilitado",IF($A160="","",ROUND(VLOOKUP($A160,'Presupuesto Consolidado'!#REF!,6,FALSE),2)),"")</f>
        <v/>
      </c>
      <c r="AB160" s="142" t="str">
        <f t="shared" ref="AB160" si="1979">IF($A160="","",IF(AA160="","",IF($K$4="Media aritmética",(AA160&lt;=$B160)*($G$5/$B$5)+(AA160&gt;$B160)*0,IF(ROUND(AVERAGE($C160,$E160,$G160,$I160,$K160,$M160,$O160,$Q160,$S160,$U160,$W160,$Y160,$AA160,$AC160,$AE160),2)-$B160/2&lt;=AA160,IF(ROUND(AVERAGE($C160,$E160,$G160,$I160,$K160,$M160,$O160,$Q160,$S160,$U160,$W160,$Y160,$AA160,$AC160,$AE160),2)+$B160/2&gt;AA160,($G$5/$B$5),0),0))))</f>
        <v/>
      </c>
      <c r="AC160" s="141" t="str">
        <f>IF($AC$8="Habilitado",IF($A160="","",ROUND(VLOOKUP($A160,'Presupuesto Consolidado'!#REF!,6,FALSE),2)),"")</f>
        <v/>
      </c>
      <c r="AD160" s="142" t="str">
        <f t="shared" ref="AD160" si="1980">IF($A160="","",IF(AC160="","",IF($K$4="Media aritmética",(AC160&lt;=$B160)*($G$5/$B$5)+(AC160&gt;$B160)*0,IF(ROUND(AVERAGE($C160,$E160,$G160,$I160,$K160,$M160,$O160,$Q160,$S160,$U160,$W160,$Y160,$AA160,$AC160,$AE160),2)-$B160/2&lt;=AC160,IF(ROUND(AVERAGE($C160,$E160,$G160,$I160,$K160,$M160,$O160,$Q160,$S160,$U160,$W160,$Y160,$AA160,$AC160,$AE160),2)+$B160/2&gt;AC160,($G$5/$B$5),0),0))))</f>
        <v/>
      </c>
      <c r="AE160" s="141" t="str">
        <f>IF($AE$8="Habilitado",IF($A160="","",ROUND(VLOOKUP($A160,'Presupuesto Consolidado'!#REF!,6,FALSE),2)),"")</f>
        <v/>
      </c>
      <c r="AF160" s="142" t="str">
        <f t="shared" ref="AF160" si="1981">IF($A160="","",IF(AE160="","",IF($K$4="Media aritmética",(AE160&lt;=$B160)*($G$5/$B$5)+(AE160&gt;$B160)*0,IF(ROUND(AVERAGE($C160,$E160,$G160,$I160,$K160,$M160,$O160,$Q160,$S160,$U160,$W160,$Y160,$AA160,$AC160,$AE160),2)-$B160/2&lt;=AE160,IF(ROUND(AVERAGE($C160,$E160,$G160,$I160,$K160,$M160,$O160,$Q160,$S160,$U160,$W160,$Y160,$AA160,$AC160,$AE160),2)+$B160/2&gt;AE160,($G$5/$B$5),0),0))))</f>
        <v/>
      </c>
    </row>
    <row r="161" spans="1:32" s="135" customFormat="1" ht="21" customHeight="1">
      <c r="A161" s="132" t="str">
        <f>+'Presupuesto Consolidado'!A188</f>
        <v>12.5.5</v>
      </c>
      <c r="B161" s="140">
        <f t="shared" ref="B161" si="1982">IF(A161="","",IF($K$4="Media aritmética",ROUND(AVERAGE(C161,E161,G161,I161,K161,M161,O161,Q161,S161,U161,W161,Y161,AA161,AC161,AE161),2),ROUND(_xlfn.STDEV.P(C161,E161,G161,I161,K161,M161,O161,Q161,S161,U161,W161,Y161,AA161,AC161,AE161),2)))</f>
        <v>1552500</v>
      </c>
      <c r="C161" s="141">
        <f>IF($C$8="Habilitado",IF($A161="","",ROUND(VLOOKUP($A161,'Presupuesto Consolidado'!$A$9:$F$600,6,FALSE),2)),"")</f>
        <v>1552500</v>
      </c>
      <c r="D161" s="142">
        <f t="shared" ref="D161" si="1983">IF($A161="","",IF(C161="","",IF($K$4="Media aritmética",(C161&lt;=$B161)*($G$5/$B$5)+(C161&gt;$B161)*0,IF(ROUND(AVERAGE($C161,$E161,$G161,$I161,$K161,$M161,$O161,$Q161,$S161,$U161,$W161,$Y161,$AA161,$AC161,$AE161),2)-$B161/2&lt;=C161,IF(ROUND(AVERAGE($C161,$E161,$G161,$I161,$K161,$M161,$O161,$Q161,$S161,$U161,$W161,$Y161,$AA161,$AC161,$AE161),2)+$B161/2&gt;C161,($G$5/$B$5),0),0))))</f>
        <v>0.45714285714285713</v>
      </c>
      <c r="E161" s="141" t="str">
        <f>IF($E$8="Habilitado",IF($A161="","",ROUND(VLOOKUP($A161,'Presupuesto Consolidado'!$I$9:$N$600,6,FALSE),2)),"")</f>
        <v/>
      </c>
      <c r="F161" s="142" t="str">
        <f t="shared" ref="F161" si="1984">IF($A161="","",IF(E161="","",IF($K$4="Media aritmética",(E161&lt;=$B161)*($G$5/$B$5)+(E161&gt;$B161)*0,IF(ROUND(AVERAGE($C161,$E161,$G161,$I161,$K161,$M161,$O161,$Q161,$S161,$U161,$W161,$Y161,$AA161,$AC161,$AE161),2)-$B161/2&lt;=E161,IF(ROUND(AVERAGE($C161,$E161,$G161,$I161,$K161,$M161,$O161,$Q161,$S161,$U161,$W161,$Y161,$AA161,$AC161,$AE161),2)+$B161/2&gt;E161,($G$5/$B$5),0),0))))</f>
        <v/>
      </c>
      <c r="G161" s="141" t="str">
        <f>IF($G$8="Habilitado",IF($A161="","",ROUND(VLOOKUP($A161,'Presupuesto Consolidado'!$Q$9:$V$600,6,FALSE),2)),"")</f>
        <v/>
      </c>
      <c r="H161" s="142" t="str">
        <f t="shared" ref="H161" si="1985">IF($A161="","",IF(G161="","",IF($K$4="Media aritmética",(G161&lt;=$B161)*($G$5/$B$5)+(G161&gt;$B161)*0,IF(ROUND(AVERAGE($C161,$E161,$G161,$I161,$K161,$M161,$O161,$Q161,$S161,$U161,$W161,$Y161,$AA161,$AC161,$AE161),2)-$B161/2&lt;=G161,IF(ROUND(AVERAGE($C161,$E161,$G161,$I161,$K161,$M161,$O161,$Q161,$S161,$U161,$W161,$Y161,$AA161,$AC161,$AE161),2)+$B161/2&gt;G161,($G$5/$B$5),0),0))))</f>
        <v/>
      </c>
      <c r="I161" s="141" t="str">
        <f>IF($I$8="Habilitado",IF($A161="","",ROUND(VLOOKUP($A161,'Presupuesto Consolidado'!$Y$9:$AD$600,6,FALSE),2)),"")</f>
        <v/>
      </c>
      <c r="J161" s="142" t="str">
        <f t="shared" ref="J161" si="1986">IF($A161="","",IF(I161="","",IF($K$4="Media aritmética",(I161&lt;=$B161)*($G$5/$B$5)+(I161&gt;$B161)*0,IF(ROUND(AVERAGE($C161,$E161,$G161,$I161,$K161,$M161,$O161,$Q161,$S161,$U161,$W161,$Y161,$AA161,$AC161,$AE161),2)-$B161/2&lt;=I161,IF(ROUND(AVERAGE($C161,$E161,$G161,$I161,$K161,$M161,$O161,$Q161,$S161,$U161,$W161,$Y161,$AA161,$AC161,$AE161),2)+$B161/2&gt;I161,($G$5/$B$5),0),0))))</f>
        <v/>
      </c>
      <c r="K161" s="141" t="str">
        <f>IF($K$8="Habilitado",IF($A161="","",ROUND(VLOOKUP($A161,'Presupuesto Consolidado'!#REF!,6,FALSE),2)),"")</f>
        <v/>
      </c>
      <c r="L161" s="142" t="str">
        <f t="shared" ref="L161" si="1987">IF($A161="","",IF(K161="","",IF($K$4="Media aritmética",(K161&lt;=$B161)*($G$5/$B$5)+(K161&gt;$B161)*0,IF(ROUND(AVERAGE($C161,$E161,$G161,$I161,$K161,$M161,$O161,$Q161,$S161,$U161,$W161,$Y161,$AA161,$AC161,$AE161),2)-$B161/2&lt;=K161,IF(ROUND(AVERAGE($C161,$E161,$G161,$I161,$K161,$M161,$O161,$Q161,$S161,$U161,$W161,$Y161,$AA161,$AC161,$AE161),2)+$B161/2&gt;K161,($G$5/$B$5),0),0))))</f>
        <v/>
      </c>
      <c r="M161" s="141" t="str">
        <f>IF($M$8="Habilitado",IF($A161="","",ROUND(VLOOKUP($A161,'Presupuesto Consolidado'!#REF!,6,FALSE),2)),"")</f>
        <v/>
      </c>
      <c r="N161" s="142" t="str">
        <f t="shared" ref="N161" si="1988">IF($A161="","",IF(M161="","",IF($K$4="Media aritmética",(M161&lt;=$B161)*($G$5/$B$5)+(M161&gt;$B161)*0,IF(ROUND(AVERAGE($C161,$E161,$G161,$I161,$K161,$M161,$O161,$Q161,$S161,$U161,$W161,$Y161,$AA161,$AC161,$AE161),2)-$B161/2&lt;=M161,IF(ROUND(AVERAGE($C161,$E161,$G161,$I161,$K161,$M161,$O161,$Q161,$S161,$U161,$W161,$Y161,$AA161,$AC161,$AE161),2)+$B161/2&gt;M161,($G$5/$B$5),0),0))))</f>
        <v/>
      </c>
      <c r="O161" s="141" t="str">
        <f>IF($O$8="Habilitado",IF($A161="","",ROUND(VLOOKUP($A161,'Presupuesto Consolidado'!#REF!,6,FALSE),2)),"")</f>
        <v/>
      </c>
      <c r="P161" s="142" t="str">
        <f t="shared" ref="P161" si="1989">IF($A161="","",IF(O161="","",IF($K$4="Media aritmética",(O161&lt;=$B161)*($G$5/$B$5)+(O161&gt;$B161)*0,IF(ROUND(AVERAGE($C161,$E161,$G161,$I161,$K161,$M161,$O161,$Q161,$S161,$U161,$W161,$Y161,$AA161,$AC161,$AE161),2)-$B161/2&lt;=O161,IF(ROUND(AVERAGE($C161,$E161,$G161,$I161,$K161,$M161,$O161,$Q161,$S161,$U161,$W161,$Y161,$AA161,$AC161,$AE161),2)+$B161/2&gt;O161,($G$5/$B$5),0),0))))</f>
        <v/>
      </c>
      <c r="Q161" s="141" t="str">
        <f>IF($Q$8="Habilitado",IF($A161="","",ROUND(VLOOKUP($A161,'Presupuesto Consolidado'!#REF!,6,FALSE),2)),"")</f>
        <v/>
      </c>
      <c r="R161" s="142" t="str">
        <f t="shared" ref="R161" si="1990">IF($A161="","",IF(Q161="","",IF($K$4="Media aritmética",(Q161&lt;=$B161)*($G$5/$B$5)+(Q161&gt;$B161)*0,IF(ROUND(AVERAGE($C161,$E161,$G161,$I161,$K161,$M161,$O161,$Q161,$S161,$U161,$W161,$Y161,$AA161,$AC161,$AE161),2)-$B161/2&lt;=Q161,IF(ROUND(AVERAGE($C161,$E161,$G161,$I161,$K161,$M161,$O161,$Q161,$S161,$U161,$W161,$Y161,$AA161,$AC161,$AE161),2)+$B161/2&gt;Q161,($G$5/$B$5),0),0))))</f>
        <v/>
      </c>
      <c r="S161" s="141" t="str">
        <f>IF($S$8="Habilitado",IF($A161="","",ROUND(VLOOKUP($A161,'Presupuesto Consolidado'!#REF!,6,FALSE),2)),"")</f>
        <v/>
      </c>
      <c r="T161" s="142" t="str">
        <f t="shared" ref="T161" si="1991">IF($A161="","",IF(S161="","",IF($K$4="Media aritmética",(S161&lt;=$B161)*($G$5/$B$5)+(S161&gt;$B161)*0,IF(ROUND(AVERAGE($C161,$E161,$G161,$I161,$K161,$M161,$O161,$Q161,$S161,$U161,$W161,$Y161,$AA161,$AC161,$AE161),2)-$B161/2&lt;=S161,IF(ROUND(AVERAGE($C161,$E161,$G161,$I161,$K161,$M161,$O161,$Q161,$S161,$U161,$W161,$Y161,$AA161,$AC161,$AE161),2)+$B161/2&gt;S161,($G$5/$B$5),0),0))))</f>
        <v/>
      </c>
      <c r="U161" s="141" t="str">
        <f>IF($U$8="Habilitado",IF($A161="","",ROUND(VLOOKUP($A161,'Presupuesto Consolidado'!#REF!,6,FALSE),2)),"")</f>
        <v/>
      </c>
      <c r="V161" s="142" t="str">
        <f t="shared" ref="V161" si="1992">IF($A161="","",IF(U161="","",IF($K$4="Media aritmética",(U161&lt;=$B161)*($G$5/$B$5)+(U161&gt;$B161)*0,IF(ROUND(AVERAGE($C161,$E161,$G161,$I161,$K161,$M161,$O161,$Q161,$S161,$U161,$W161,$Y161,$AA161,$AC161,$AE161),2)-$B161/2&lt;=U161,IF(ROUND(AVERAGE($C161,$E161,$G161,$I161,$K161,$M161,$O161,$Q161,$S161,$U161,$W161,$Y161,$AA161,$AC161,$AE161),2)+$B161/2&gt;U161,($G$5/$B$5),0),0))))</f>
        <v/>
      </c>
      <c r="W161" s="141" t="str">
        <f>IF($W$8="Habilitado",IF($A161="","",ROUND(VLOOKUP($A161,'Presupuesto Consolidado'!#REF!,6,FALSE),2)),"")</f>
        <v/>
      </c>
      <c r="X161" s="142" t="str">
        <f t="shared" ref="X161" si="1993">IF($A161="","",IF(W161="","",IF($K$4="Media aritmética",(W161&lt;=$B161)*($G$5/$B$5)+(W161&gt;$B161)*0,IF(ROUND(AVERAGE($C161,$E161,$G161,$I161,$K161,$M161,$O161,$Q161,$S161,$U161,$W161,$Y161,$AA161,$AC161,$AE161),2)-$B161/2&lt;=W161,IF(ROUND(AVERAGE($C161,$E161,$G161,$I161,$K161,$M161,$O161,$Q161,$S161,$U161,$W161,$Y161,$AA161,$AC161,$AE161),2)+$B161/2&gt;W161,($G$5/$B$5),0),0))))</f>
        <v/>
      </c>
      <c r="Y161" s="141" t="str">
        <f>IF($Y$8="Habilitado",IF($A161="","",ROUND(VLOOKUP($A161,'Presupuesto Consolidado'!#REF!,6,FALSE),2)),"")</f>
        <v/>
      </c>
      <c r="Z161" s="142" t="str">
        <f t="shared" ref="Z161" si="1994">IF($A161="","",IF(Y161="","",IF($K$4="Media aritmética",(Y161&lt;=$B161)*($G$5/$B$5)+(Y161&gt;$B161)*0,IF(ROUND(AVERAGE($C161,$E161,$G161,$I161,$K161,$M161,$O161,$Q161,$S161,$U161,$W161,$Y161,$AA161,$AC161,$AE161),2)-$B161/2&lt;=Y161,IF(ROUND(AVERAGE($C161,$E161,$G161,$I161,$K161,$M161,$O161,$Q161,$S161,$U161,$W161,$Y161,$AA161,$AC161,$AE161),2)+$B161/2&gt;Y161,($G$5/$B$5),0),0))))</f>
        <v/>
      </c>
      <c r="AA161" s="141" t="str">
        <f>IF($AA$8="Habilitado",IF($A161="","",ROUND(VLOOKUP($A161,'Presupuesto Consolidado'!#REF!,6,FALSE),2)),"")</f>
        <v/>
      </c>
      <c r="AB161" s="142" t="str">
        <f t="shared" ref="AB161" si="1995">IF($A161="","",IF(AA161="","",IF($K$4="Media aritmética",(AA161&lt;=$B161)*($G$5/$B$5)+(AA161&gt;$B161)*0,IF(ROUND(AVERAGE($C161,$E161,$G161,$I161,$K161,$M161,$O161,$Q161,$S161,$U161,$W161,$Y161,$AA161,$AC161,$AE161),2)-$B161/2&lt;=AA161,IF(ROUND(AVERAGE($C161,$E161,$G161,$I161,$K161,$M161,$O161,$Q161,$S161,$U161,$W161,$Y161,$AA161,$AC161,$AE161),2)+$B161/2&gt;AA161,($G$5/$B$5),0),0))))</f>
        <v/>
      </c>
      <c r="AC161" s="141" t="str">
        <f>IF($AC$8="Habilitado",IF($A161="","",ROUND(VLOOKUP($A161,'Presupuesto Consolidado'!#REF!,6,FALSE),2)),"")</f>
        <v/>
      </c>
      <c r="AD161" s="142" t="str">
        <f t="shared" ref="AD161" si="1996">IF($A161="","",IF(AC161="","",IF($K$4="Media aritmética",(AC161&lt;=$B161)*($G$5/$B$5)+(AC161&gt;$B161)*0,IF(ROUND(AVERAGE($C161,$E161,$G161,$I161,$K161,$M161,$O161,$Q161,$S161,$U161,$W161,$Y161,$AA161,$AC161,$AE161),2)-$B161/2&lt;=AC161,IF(ROUND(AVERAGE($C161,$E161,$G161,$I161,$K161,$M161,$O161,$Q161,$S161,$U161,$W161,$Y161,$AA161,$AC161,$AE161),2)+$B161/2&gt;AC161,($G$5/$B$5),0),0))))</f>
        <v/>
      </c>
      <c r="AE161" s="141" t="str">
        <f>IF($AE$8="Habilitado",IF($A161="","",ROUND(VLOOKUP($A161,'Presupuesto Consolidado'!#REF!,6,FALSE),2)),"")</f>
        <v/>
      </c>
      <c r="AF161" s="142" t="str">
        <f t="shared" ref="AF161" si="1997">IF($A161="","",IF(AE161="","",IF($K$4="Media aritmética",(AE161&lt;=$B161)*($G$5/$B$5)+(AE161&gt;$B161)*0,IF(ROUND(AVERAGE($C161,$E161,$G161,$I161,$K161,$M161,$O161,$Q161,$S161,$U161,$W161,$Y161,$AA161,$AC161,$AE161),2)-$B161/2&lt;=AE161,IF(ROUND(AVERAGE($C161,$E161,$G161,$I161,$K161,$M161,$O161,$Q161,$S161,$U161,$W161,$Y161,$AA161,$AC161,$AE161),2)+$B161/2&gt;AE161,($G$5/$B$5),0),0))))</f>
        <v/>
      </c>
    </row>
    <row r="162" spans="1:32" s="135" customFormat="1" ht="21" customHeight="1">
      <c r="A162" s="132" t="str">
        <f>+'Presupuesto Consolidado'!A189</f>
        <v>12.5.6</v>
      </c>
      <c r="B162" s="140">
        <f t="shared" ref="B162" si="1998">IF(A162="","",IF($K$4="Media aritmética",ROUND(AVERAGE(C162,E162,G162,I162,K162,M162,O162,Q162,S162,U162,W162,Y162,AA162,AC162,AE162),2),ROUND(_xlfn.STDEV.P(C162,E162,G162,I162,K162,M162,O162,Q162,S162,U162,W162,Y162,AA162,AC162,AE162),2)))</f>
        <v>1863000</v>
      </c>
      <c r="C162" s="141">
        <f>IF($C$8="Habilitado",IF($A162="","",ROUND(VLOOKUP($A162,'Presupuesto Consolidado'!$A$9:$F$600,6,FALSE),2)),"")</f>
        <v>1863000</v>
      </c>
      <c r="D162" s="142">
        <f t="shared" ref="D162" si="1999">IF($A162="","",IF(C162="","",IF($K$4="Media aritmética",(C162&lt;=$B162)*($G$5/$B$5)+(C162&gt;$B162)*0,IF(ROUND(AVERAGE($C162,$E162,$G162,$I162,$K162,$M162,$O162,$Q162,$S162,$U162,$W162,$Y162,$AA162,$AC162,$AE162),2)-$B162/2&lt;=C162,IF(ROUND(AVERAGE($C162,$E162,$G162,$I162,$K162,$M162,$O162,$Q162,$S162,$U162,$W162,$Y162,$AA162,$AC162,$AE162),2)+$B162/2&gt;C162,($G$5/$B$5),0),0))))</f>
        <v>0.45714285714285713</v>
      </c>
      <c r="E162" s="141" t="str">
        <f>IF($E$8="Habilitado",IF($A162="","",ROUND(VLOOKUP($A162,'Presupuesto Consolidado'!$I$9:$N$600,6,FALSE),2)),"")</f>
        <v/>
      </c>
      <c r="F162" s="142" t="str">
        <f t="shared" ref="F162" si="2000">IF($A162="","",IF(E162="","",IF($K$4="Media aritmética",(E162&lt;=$B162)*($G$5/$B$5)+(E162&gt;$B162)*0,IF(ROUND(AVERAGE($C162,$E162,$G162,$I162,$K162,$M162,$O162,$Q162,$S162,$U162,$W162,$Y162,$AA162,$AC162,$AE162),2)-$B162/2&lt;=E162,IF(ROUND(AVERAGE($C162,$E162,$G162,$I162,$K162,$M162,$O162,$Q162,$S162,$U162,$W162,$Y162,$AA162,$AC162,$AE162),2)+$B162/2&gt;E162,($G$5/$B$5),0),0))))</f>
        <v/>
      </c>
      <c r="G162" s="141" t="str">
        <f>IF($G$8="Habilitado",IF($A162="","",ROUND(VLOOKUP($A162,'Presupuesto Consolidado'!$Q$9:$V$600,6,FALSE),2)),"")</f>
        <v/>
      </c>
      <c r="H162" s="142" t="str">
        <f t="shared" ref="H162" si="2001">IF($A162="","",IF(G162="","",IF($K$4="Media aritmética",(G162&lt;=$B162)*($G$5/$B$5)+(G162&gt;$B162)*0,IF(ROUND(AVERAGE($C162,$E162,$G162,$I162,$K162,$M162,$O162,$Q162,$S162,$U162,$W162,$Y162,$AA162,$AC162,$AE162),2)-$B162/2&lt;=G162,IF(ROUND(AVERAGE($C162,$E162,$G162,$I162,$K162,$M162,$O162,$Q162,$S162,$U162,$W162,$Y162,$AA162,$AC162,$AE162),2)+$B162/2&gt;G162,($G$5/$B$5),0),0))))</f>
        <v/>
      </c>
      <c r="I162" s="141" t="str">
        <f>IF($I$8="Habilitado",IF($A162="","",ROUND(VLOOKUP($A162,'Presupuesto Consolidado'!$Y$9:$AD$600,6,FALSE),2)),"")</f>
        <v/>
      </c>
      <c r="J162" s="142" t="str">
        <f t="shared" ref="J162" si="2002">IF($A162="","",IF(I162="","",IF($K$4="Media aritmética",(I162&lt;=$B162)*($G$5/$B$5)+(I162&gt;$B162)*0,IF(ROUND(AVERAGE($C162,$E162,$G162,$I162,$K162,$M162,$O162,$Q162,$S162,$U162,$W162,$Y162,$AA162,$AC162,$AE162),2)-$B162/2&lt;=I162,IF(ROUND(AVERAGE($C162,$E162,$G162,$I162,$K162,$M162,$O162,$Q162,$S162,$U162,$W162,$Y162,$AA162,$AC162,$AE162),2)+$B162/2&gt;I162,($G$5/$B$5),0),0))))</f>
        <v/>
      </c>
      <c r="K162" s="141" t="str">
        <f>IF($K$8="Habilitado",IF($A162="","",ROUND(VLOOKUP($A162,'Presupuesto Consolidado'!#REF!,6,FALSE),2)),"")</f>
        <v/>
      </c>
      <c r="L162" s="142" t="str">
        <f t="shared" ref="L162" si="2003">IF($A162="","",IF(K162="","",IF($K$4="Media aritmética",(K162&lt;=$B162)*($G$5/$B$5)+(K162&gt;$B162)*0,IF(ROUND(AVERAGE($C162,$E162,$G162,$I162,$K162,$M162,$O162,$Q162,$S162,$U162,$W162,$Y162,$AA162,$AC162,$AE162),2)-$B162/2&lt;=K162,IF(ROUND(AVERAGE($C162,$E162,$G162,$I162,$K162,$M162,$O162,$Q162,$S162,$U162,$W162,$Y162,$AA162,$AC162,$AE162),2)+$B162/2&gt;K162,($G$5/$B$5),0),0))))</f>
        <v/>
      </c>
      <c r="M162" s="141" t="str">
        <f>IF($M$8="Habilitado",IF($A162="","",ROUND(VLOOKUP($A162,'Presupuesto Consolidado'!#REF!,6,FALSE),2)),"")</f>
        <v/>
      </c>
      <c r="N162" s="142" t="str">
        <f t="shared" ref="N162" si="2004">IF($A162="","",IF(M162="","",IF($K$4="Media aritmética",(M162&lt;=$B162)*($G$5/$B$5)+(M162&gt;$B162)*0,IF(ROUND(AVERAGE($C162,$E162,$G162,$I162,$K162,$M162,$O162,$Q162,$S162,$U162,$W162,$Y162,$AA162,$AC162,$AE162),2)-$B162/2&lt;=M162,IF(ROUND(AVERAGE($C162,$E162,$G162,$I162,$K162,$M162,$O162,$Q162,$S162,$U162,$W162,$Y162,$AA162,$AC162,$AE162),2)+$B162/2&gt;M162,($G$5/$B$5),0),0))))</f>
        <v/>
      </c>
      <c r="O162" s="141" t="str">
        <f>IF($O$8="Habilitado",IF($A162="","",ROUND(VLOOKUP($A162,'Presupuesto Consolidado'!#REF!,6,FALSE),2)),"")</f>
        <v/>
      </c>
      <c r="P162" s="142" t="str">
        <f t="shared" ref="P162" si="2005">IF($A162="","",IF(O162="","",IF($K$4="Media aritmética",(O162&lt;=$B162)*($G$5/$B$5)+(O162&gt;$B162)*0,IF(ROUND(AVERAGE($C162,$E162,$G162,$I162,$K162,$M162,$O162,$Q162,$S162,$U162,$W162,$Y162,$AA162,$AC162,$AE162),2)-$B162/2&lt;=O162,IF(ROUND(AVERAGE($C162,$E162,$G162,$I162,$K162,$M162,$O162,$Q162,$S162,$U162,$W162,$Y162,$AA162,$AC162,$AE162),2)+$B162/2&gt;O162,($G$5/$B$5),0),0))))</f>
        <v/>
      </c>
      <c r="Q162" s="141" t="str">
        <f>IF($Q$8="Habilitado",IF($A162="","",ROUND(VLOOKUP($A162,'Presupuesto Consolidado'!#REF!,6,FALSE),2)),"")</f>
        <v/>
      </c>
      <c r="R162" s="142" t="str">
        <f t="shared" ref="R162" si="2006">IF($A162="","",IF(Q162="","",IF($K$4="Media aritmética",(Q162&lt;=$B162)*($G$5/$B$5)+(Q162&gt;$B162)*0,IF(ROUND(AVERAGE($C162,$E162,$G162,$I162,$K162,$M162,$O162,$Q162,$S162,$U162,$W162,$Y162,$AA162,$AC162,$AE162),2)-$B162/2&lt;=Q162,IF(ROUND(AVERAGE($C162,$E162,$G162,$I162,$K162,$M162,$O162,$Q162,$S162,$U162,$W162,$Y162,$AA162,$AC162,$AE162),2)+$B162/2&gt;Q162,($G$5/$B$5),0),0))))</f>
        <v/>
      </c>
      <c r="S162" s="141" t="str">
        <f>IF($S$8="Habilitado",IF($A162="","",ROUND(VLOOKUP($A162,'Presupuesto Consolidado'!#REF!,6,FALSE),2)),"")</f>
        <v/>
      </c>
      <c r="T162" s="142" t="str">
        <f t="shared" ref="T162" si="2007">IF($A162="","",IF(S162="","",IF($K$4="Media aritmética",(S162&lt;=$B162)*($G$5/$B$5)+(S162&gt;$B162)*0,IF(ROUND(AVERAGE($C162,$E162,$G162,$I162,$K162,$M162,$O162,$Q162,$S162,$U162,$W162,$Y162,$AA162,$AC162,$AE162),2)-$B162/2&lt;=S162,IF(ROUND(AVERAGE($C162,$E162,$G162,$I162,$K162,$M162,$O162,$Q162,$S162,$U162,$W162,$Y162,$AA162,$AC162,$AE162),2)+$B162/2&gt;S162,($G$5/$B$5),0),0))))</f>
        <v/>
      </c>
      <c r="U162" s="141" t="str">
        <f>IF($U$8="Habilitado",IF($A162="","",ROUND(VLOOKUP($A162,'Presupuesto Consolidado'!#REF!,6,FALSE),2)),"")</f>
        <v/>
      </c>
      <c r="V162" s="142" t="str">
        <f t="shared" ref="V162" si="2008">IF($A162="","",IF(U162="","",IF($K$4="Media aritmética",(U162&lt;=$B162)*($G$5/$B$5)+(U162&gt;$B162)*0,IF(ROUND(AVERAGE($C162,$E162,$G162,$I162,$K162,$M162,$O162,$Q162,$S162,$U162,$W162,$Y162,$AA162,$AC162,$AE162),2)-$B162/2&lt;=U162,IF(ROUND(AVERAGE($C162,$E162,$G162,$I162,$K162,$M162,$O162,$Q162,$S162,$U162,$W162,$Y162,$AA162,$AC162,$AE162),2)+$B162/2&gt;U162,($G$5/$B$5),0),0))))</f>
        <v/>
      </c>
      <c r="W162" s="141" t="str">
        <f>IF($W$8="Habilitado",IF($A162="","",ROUND(VLOOKUP($A162,'Presupuesto Consolidado'!#REF!,6,FALSE),2)),"")</f>
        <v/>
      </c>
      <c r="X162" s="142" t="str">
        <f t="shared" ref="X162" si="2009">IF($A162="","",IF(W162="","",IF($K$4="Media aritmética",(W162&lt;=$B162)*($G$5/$B$5)+(W162&gt;$B162)*0,IF(ROUND(AVERAGE($C162,$E162,$G162,$I162,$K162,$M162,$O162,$Q162,$S162,$U162,$W162,$Y162,$AA162,$AC162,$AE162),2)-$B162/2&lt;=W162,IF(ROUND(AVERAGE($C162,$E162,$G162,$I162,$K162,$M162,$O162,$Q162,$S162,$U162,$W162,$Y162,$AA162,$AC162,$AE162),2)+$B162/2&gt;W162,($G$5/$B$5),0),0))))</f>
        <v/>
      </c>
      <c r="Y162" s="141" t="str">
        <f>IF($Y$8="Habilitado",IF($A162="","",ROUND(VLOOKUP($A162,'Presupuesto Consolidado'!#REF!,6,FALSE),2)),"")</f>
        <v/>
      </c>
      <c r="Z162" s="142" t="str">
        <f t="shared" ref="Z162" si="2010">IF($A162="","",IF(Y162="","",IF($K$4="Media aritmética",(Y162&lt;=$B162)*($G$5/$B$5)+(Y162&gt;$B162)*0,IF(ROUND(AVERAGE($C162,$E162,$G162,$I162,$K162,$M162,$O162,$Q162,$S162,$U162,$W162,$Y162,$AA162,$AC162,$AE162),2)-$B162/2&lt;=Y162,IF(ROUND(AVERAGE($C162,$E162,$G162,$I162,$K162,$M162,$O162,$Q162,$S162,$U162,$W162,$Y162,$AA162,$AC162,$AE162),2)+$B162/2&gt;Y162,($G$5/$B$5),0),0))))</f>
        <v/>
      </c>
      <c r="AA162" s="141" t="str">
        <f>IF($AA$8="Habilitado",IF($A162="","",ROUND(VLOOKUP($A162,'Presupuesto Consolidado'!#REF!,6,FALSE),2)),"")</f>
        <v/>
      </c>
      <c r="AB162" s="142" t="str">
        <f t="shared" ref="AB162" si="2011">IF($A162="","",IF(AA162="","",IF($K$4="Media aritmética",(AA162&lt;=$B162)*($G$5/$B$5)+(AA162&gt;$B162)*0,IF(ROUND(AVERAGE($C162,$E162,$G162,$I162,$K162,$M162,$O162,$Q162,$S162,$U162,$W162,$Y162,$AA162,$AC162,$AE162),2)-$B162/2&lt;=AA162,IF(ROUND(AVERAGE($C162,$E162,$G162,$I162,$K162,$M162,$O162,$Q162,$S162,$U162,$W162,$Y162,$AA162,$AC162,$AE162),2)+$B162/2&gt;AA162,($G$5/$B$5),0),0))))</f>
        <v/>
      </c>
      <c r="AC162" s="141" t="str">
        <f>IF($AC$8="Habilitado",IF($A162="","",ROUND(VLOOKUP($A162,'Presupuesto Consolidado'!#REF!,6,FALSE),2)),"")</f>
        <v/>
      </c>
      <c r="AD162" s="142" t="str">
        <f t="shared" ref="AD162" si="2012">IF($A162="","",IF(AC162="","",IF($K$4="Media aritmética",(AC162&lt;=$B162)*($G$5/$B$5)+(AC162&gt;$B162)*0,IF(ROUND(AVERAGE($C162,$E162,$G162,$I162,$K162,$M162,$O162,$Q162,$S162,$U162,$W162,$Y162,$AA162,$AC162,$AE162),2)-$B162/2&lt;=AC162,IF(ROUND(AVERAGE($C162,$E162,$G162,$I162,$K162,$M162,$O162,$Q162,$S162,$U162,$W162,$Y162,$AA162,$AC162,$AE162),2)+$B162/2&gt;AC162,($G$5/$B$5),0),0))))</f>
        <v/>
      </c>
      <c r="AE162" s="141" t="str">
        <f>IF($AE$8="Habilitado",IF($A162="","",ROUND(VLOOKUP($A162,'Presupuesto Consolidado'!#REF!,6,FALSE),2)),"")</f>
        <v/>
      </c>
      <c r="AF162" s="142" t="str">
        <f t="shared" ref="AF162" si="2013">IF($A162="","",IF(AE162="","",IF($K$4="Media aritmética",(AE162&lt;=$B162)*($G$5/$B$5)+(AE162&gt;$B162)*0,IF(ROUND(AVERAGE($C162,$E162,$G162,$I162,$K162,$M162,$O162,$Q162,$S162,$U162,$W162,$Y162,$AA162,$AC162,$AE162),2)-$B162/2&lt;=AE162,IF(ROUND(AVERAGE($C162,$E162,$G162,$I162,$K162,$M162,$O162,$Q162,$S162,$U162,$W162,$Y162,$AA162,$AC162,$AE162),2)+$B162/2&gt;AE162,($G$5/$B$5),0),0))))</f>
        <v/>
      </c>
    </row>
    <row r="163" spans="1:32" s="135" customFormat="1" ht="21" customHeight="1">
      <c r="A163" s="132" t="str">
        <f>+'Presupuesto Consolidado'!A190</f>
        <v>12.5.7</v>
      </c>
      <c r="B163" s="140">
        <f t="shared" ref="B163" si="2014">IF(A163="","",IF($K$4="Media aritmética",ROUND(AVERAGE(C163,E163,G163,I163,K163,M163,O163,Q163,S163,U163,W163,Y163,AA163,AC163,AE163),2),ROUND(_xlfn.STDEV.P(C163,E163,G163,I163,K163,M163,O163,Q163,S163,U163,W163,Y163,AA163,AC163,AE163),2)))</f>
        <v>1035000</v>
      </c>
      <c r="C163" s="141">
        <f>IF($C$8="Habilitado",IF($A163="","",ROUND(VLOOKUP($A163,'Presupuesto Consolidado'!$A$9:$F$600,6,FALSE),2)),"")</f>
        <v>1035000</v>
      </c>
      <c r="D163" s="142">
        <f t="shared" ref="D163" si="2015">IF($A163="","",IF(C163="","",IF($K$4="Media aritmética",(C163&lt;=$B163)*($G$5/$B$5)+(C163&gt;$B163)*0,IF(ROUND(AVERAGE($C163,$E163,$G163,$I163,$K163,$M163,$O163,$Q163,$S163,$U163,$W163,$Y163,$AA163,$AC163,$AE163),2)-$B163/2&lt;=C163,IF(ROUND(AVERAGE($C163,$E163,$G163,$I163,$K163,$M163,$O163,$Q163,$S163,$U163,$W163,$Y163,$AA163,$AC163,$AE163),2)+$B163/2&gt;C163,($G$5/$B$5),0),0))))</f>
        <v>0.45714285714285713</v>
      </c>
      <c r="E163" s="141" t="str">
        <f>IF($E$8="Habilitado",IF($A163="","",ROUND(VLOOKUP($A163,'Presupuesto Consolidado'!$I$9:$N$600,6,FALSE),2)),"")</f>
        <v/>
      </c>
      <c r="F163" s="142" t="str">
        <f t="shared" ref="F163" si="2016">IF($A163="","",IF(E163="","",IF($K$4="Media aritmética",(E163&lt;=$B163)*($G$5/$B$5)+(E163&gt;$B163)*0,IF(ROUND(AVERAGE($C163,$E163,$G163,$I163,$K163,$M163,$O163,$Q163,$S163,$U163,$W163,$Y163,$AA163,$AC163,$AE163),2)-$B163/2&lt;=E163,IF(ROUND(AVERAGE($C163,$E163,$G163,$I163,$K163,$M163,$O163,$Q163,$S163,$U163,$W163,$Y163,$AA163,$AC163,$AE163),2)+$B163/2&gt;E163,($G$5/$B$5),0),0))))</f>
        <v/>
      </c>
      <c r="G163" s="141" t="str">
        <f>IF($G$8="Habilitado",IF($A163="","",ROUND(VLOOKUP($A163,'Presupuesto Consolidado'!$Q$9:$V$600,6,FALSE),2)),"")</f>
        <v/>
      </c>
      <c r="H163" s="142" t="str">
        <f t="shared" ref="H163" si="2017">IF($A163="","",IF(G163="","",IF($K$4="Media aritmética",(G163&lt;=$B163)*($G$5/$B$5)+(G163&gt;$B163)*0,IF(ROUND(AVERAGE($C163,$E163,$G163,$I163,$K163,$M163,$O163,$Q163,$S163,$U163,$W163,$Y163,$AA163,$AC163,$AE163),2)-$B163/2&lt;=G163,IF(ROUND(AVERAGE($C163,$E163,$G163,$I163,$K163,$M163,$O163,$Q163,$S163,$U163,$W163,$Y163,$AA163,$AC163,$AE163),2)+$B163/2&gt;G163,($G$5/$B$5),0),0))))</f>
        <v/>
      </c>
      <c r="I163" s="141" t="str">
        <f>IF($I$8="Habilitado",IF($A163="","",ROUND(VLOOKUP($A163,'Presupuesto Consolidado'!$Y$9:$AD$600,6,FALSE),2)),"")</f>
        <v/>
      </c>
      <c r="J163" s="142" t="str">
        <f t="shared" ref="J163" si="2018">IF($A163="","",IF(I163="","",IF($K$4="Media aritmética",(I163&lt;=$B163)*($G$5/$B$5)+(I163&gt;$B163)*0,IF(ROUND(AVERAGE($C163,$E163,$G163,$I163,$K163,$M163,$O163,$Q163,$S163,$U163,$W163,$Y163,$AA163,$AC163,$AE163),2)-$B163/2&lt;=I163,IF(ROUND(AVERAGE($C163,$E163,$G163,$I163,$K163,$M163,$O163,$Q163,$S163,$U163,$W163,$Y163,$AA163,$AC163,$AE163),2)+$B163/2&gt;I163,($G$5/$B$5),0),0))))</f>
        <v/>
      </c>
      <c r="K163" s="141" t="str">
        <f>IF($K$8="Habilitado",IF($A163="","",ROUND(VLOOKUP($A163,'Presupuesto Consolidado'!#REF!,6,FALSE),2)),"")</f>
        <v/>
      </c>
      <c r="L163" s="142" t="str">
        <f t="shared" ref="L163" si="2019">IF($A163="","",IF(K163="","",IF($K$4="Media aritmética",(K163&lt;=$B163)*($G$5/$B$5)+(K163&gt;$B163)*0,IF(ROUND(AVERAGE($C163,$E163,$G163,$I163,$K163,$M163,$O163,$Q163,$S163,$U163,$W163,$Y163,$AA163,$AC163,$AE163),2)-$B163/2&lt;=K163,IF(ROUND(AVERAGE($C163,$E163,$G163,$I163,$K163,$M163,$O163,$Q163,$S163,$U163,$W163,$Y163,$AA163,$AC163,$AE163),2)+$B163/2&gt;K163,($G$5/$B$5),0),0))))</f>
        <v/>
      </c>
      <c r="M163" s="141" t="str">
        <f>IF($M$8="Habilitado",IF($A163="","",ROUND(VLOOKUP($A163,'Presupuesto Consolidado'!#REF!,6,FALSE),2)),"")</f>
        <v/>
      </c>
      <c r="N163" s="142" t="str">
        <f t="shared" ref="N163" si="2020">IF($A163="","",IF(M163="","",IF($K$4="Media aritmética",(M163&lt;=$B163)*($G$5/$B$5)+(M163&gt;$B163)*0,IF(ROUND(AVERAGE($C163,$E163,$G163,$I163,$K163,$M163,$O163,$Q163,$S163,$U163,$W163,$Y163,$AA163,$AC163,$AE163),2)-$B163/2&lt;=M163,IF(ROUND(AVERAGE($C163,$E163,$G163,$I163,$K163,$M163,$O163,$Q163,$S163,$U163,$W163,$Y163,$AA163,$AC163,$AE163),2)+$B163/2&gt;M163,($G$5/$B$5),0),0))))</f>
        <v/>
      </c>
      <c r="O163" s="141" t="str">
        <f>IF($O$8="Habilitado",IF($A163="","",ROUND(VLOOKUP($A163,'Presupuesto Consolidado'!#REF!,6,FALSE),2)),"")</f>
        <v/>
      </c>
      <c r="P163" s="142" t="str">
        <f t="shared" ref="P163" si="2021">IF($A163="","",IF(O163="","",IF($K$4="Media aritmética",(O163&lt;=$B163)*($G$5/$B$5)+(O163&gt;$B163)*0,IF(ROUND(AVERAGE($C163,$E163,$G163,$I163,$K163,$M163,$O163,$Q163,$S163,$U163,$W163,$Y163,$AA163,$AC163,$AE163),2)-$B163/2&lt;=O163,IF(ROUND(AVERAGE($C163,$E163,$G163,$I163,$K163,$M163,$O163,$Q163,$S163,$U163,$W163,$Y163,$AA163,$AC163,$AE163),2)+$B163/2&gt;O163,($G$5/$B$5),0),0))))</f>
        <v/>
      </c>
      <c r="Q163" s="141" t="str">
        <f>IF($Q$8="Habilitado",IF($A163="","",ROUND(VLOOKUP($A163,'Presupuesto Consolidado'!#REF!,6,FALSE),2)),"")</f>
        <v/>
      </c>
      <c r="R163" s="142" t="str">
        <f t="shared" ref="R163" si="2022">IF($A163="","",IF(Q163="","",IF($K$4="Media aritmética",(Q163&lt;=$B163)*($G$5/$B$5)+(Q163&gt;$B163)*0,IF(ROUND(AVERAGE($C163,$E163,$G163,$I163,$K163,$M163,$O163,$Q163,$S163,$U163,$W163,$Y163,$AA163,$AC163,$AE163),2)-$B163/2&lt;=Q163,IF(ROUND(AVERAGE($C163,$E163,$G163,$I163,$K163,$M163,$O163,$Q163,$S163,$U163,$W163,$Y163,$AA163,$AC163,$AE163),2)+$B163/2&gt;Q163,($G$5/$B$5),0),0))))</f>
        <v/>
      </c>
      <c r="S163" s="141" t="str">
        <f>IF($S$8="Habilitado",IF($A163="","",ROUND(VLOOKUP($A163,'Presupuesto Consolidado'!#REF!,6,FALSE),2)),"")</f>
        <v/>
      </c>
      <c r="T163" s="142" t="str">
        <f t="shared" ref="T163" si="2023">IF($A163="","",IF(S163="","",IF($K$4="Media aritmética",(S163&lt;=$B163)*($G$5/$B$5)+(S163&gt;$B163)*0,IF(ROUND(AVERAGE($C163,$E163,$G163,$I163,$K163,$M163,$O163,$Q163,$S163,$U163,$W163,$Y163,$AA163,$AC163,$AE163),2)-$B163/2&lt;=S163,IF(ROUND(AVERAGE($C163,$E163,$G163,$I163,$K163,$M163,$O163,$Q163,$S163,$U163,$W163,$Y163,$AA163,$AC163,$AE163),2)+$B163/2&gt;S163,($G$5/$B$5),0),0))))</f>
        <v/>
      </c>
      <c r="U163" s="141" t="str">
        <f>IF($U$8="Habilitado",IF($A163="","",ROUND(VLOOKUP($A163,'Presupuesto Consolidado'!#REF!,6,FALSE),2)),"")</f>
        <v/>
      </c>
      <c r="V163" s="142" t="str">
        <f t="shared" ref="V163" si="2024">IF($A163="","",IF(U163="","",IF($K$4="Media aritmética",(U163&lt;=$B163)*($G$5/$B$5)+(U163&gt;$B163)*0,IF(ROUND(AVERAGE($C163,$E163,$G163,$I163,$K163,$M163,$O163,$Q163,$S163,$U163,$W163,$Y163,$AA163,$AC163,$AE163),2)-$B163/2&lt;=U163,IF(ROUND(AVERAGE($C163,$E163,$G163,$I163,$K163,$M163,$O163,$Q163,$S163,$U163,$W163,$Y163,$AA163,$AC163,$AE163),2)+$B163/2&gt;U163,($G$5/$B$5),0),0))))</f>
        <v/>
      </c>
      <c r="W163" s="141" t="str">
        <f>IF($W$8="Habilitado",IF($A163="","",ROUND(VLOOKUP($A163,'Presupuesto Consolidado'!#REF!,6,FALSE),2)),"")</f>
        <v/>
      </c>
      <c r="X163" s="142" t="str">
        <f t="shared" ref="X163" si="2025">IF($A163="","",IF(W163="","",IF($K$4="Media aritmética",(W163&lt;=$B163)*($G$5/$B$5)+(W163&gt;$B163)*0,IF(ROUND(AVERAGE($C163,$E163,$G163,$I163,$K163,$M163,$O163,$Q163,$S163,$U163,$W163,$Y163,$AA163,$AC163,$AE163),2)-$B163/2&lt;=W163,IF(ROUND(AVERAGE($C163,$E163,$G163,$I163,$K163,$M163,$O163,$Q163,$S163,$U163,$W163,$Y163,$AA163,$AC163,$AE163),2)+$B163/2&gt;W163,($G$5/$B$5),0),0))))</f>
        <v/>
      </c>
      <c r="Y163" s="141" t="str">
        <f>IF($Y$8="Habilitado",IF($A163="","",ROUND(VLOOKUP($A163,'Presupuesto Consolidado'!#REF!,6,FALSE),2)),"")</f>
        <v/>
      </c>
      <c r="Z163" s="142" t="str">
        <f t="shared" ref="Z163" si="2026">IF($A163="","",IF(Y163="","",IF($K$4="Media aritmética",(Y163&lt;=$B163)*($G$5/$B$5)+(Y163&gt;$B163)*0,IF(ROUND(AVERAGE($C163,$E163,$G163,$I163,$K163,$M163,$O163,$Q163,$S163,$U163,$W163,$Y163,$AA163,$AC163,$AE163),2)-$B163/2&lt;=Y163,IF(ROUND(AVERAGE($C163,$E163,$G163,$I163,$K163,$M163,$O163,$Q163,$S163,$U163,$W163,$Y163,$AA163,$AC163,$AE163),2)+$B163/2&gt;Y163,($G$5/$B$5),0),0))))</f>
        <v/>
      </c>
      <c r="AA163" s="141" t="str">
        <f>IF($AA$8="Habilitado",IF($A163="","",ROUND(VLOOKUP($A163,'Presupuesto Consolidado'!#REF!,6,FALSE),2)),"")</f>
        <v/>
      </c>
      <c r="AB163" s="142" t="str">
        <f t="shared" ref="AB163" si="2027">IF($A163="","",IF(AA163="","",IF($K$4="Media aritmética",(AA163&lt;=$B163)*($G$5/$B$5)+(AA163&gt;$B163)*0,IF(ROUND(AVERAGE($C163,$E163,$G163,$I163,$K163,$M163,$O163,$Q163,$S163,$U163,$W163,$Y163,$AA163,$AC163,$AE163),2)-$B163/2&lt;=AA163,IF(ROUND(AVERAGE($C163,$E163,$G163,$I163,$K163,$M163,$O163,$Q163,$S163,$U163,$W163,$Y163,$AA163,$AC163,$AE163),2)+$B163/2&gt;AA163,($G$5/$B$5),0),0))))</f>
        <v/>
      </c>
      <c r="AC163" s="141" t="str">
        <f>IF($AC$8="Habilitado",IF($A163="","",ROUND(VLOOKUP($A163,'Presupuesto Consolidado'!#REF!,6,FALSE),2)),"")</f>
        <v/>
      </c>
      <c r="AD163" s="142" t="str">
        <f t="shared" ref="AD163" si="2028">IF($A163="","",IF(AC163="","",IF($K$4="Media aritmética",(AC163&lt;=$B163)*($G$5/$B$5)+(AC163&gt;$B163)*0,IF(ROUND(AVERAGE($C163,$E163,$G163,$I163,$K163,$M163,$O163,$Q163,$S163,$U163,$W163,$Y163,$AA163,$AC163,$AE163),2)-$B163/2&lt;=AC163,IF(ROUND(AVERAGE($C163,$E163,$G163,$I163,$K163,$M163,$O163,$Q163,$S163,$U163,$W163,$Y163,$AA163,$AC163,$AE163),2)+$B163/2&gt;AC163,($G$5/$B$5),0),0))))</f>
        <v/>
      </c>
      <c r="AE163" s="141" t="str">
        <f>IF($AE$8="Habilitado",IF($A163="","",ROUND(VLOOKUP($A163,'Presupuesto Consolidado'!#REF!,6,FALSE),2)),"")</f>
        <v/>
      </c>
      <c r="AF163" s="142" t="str">
        <f t="shared" ref="AF163" si="2029">IF($A163="","",IF(AE163="","",IF($K$4="Media aritmética",(AE163&lt;=$B163)*($G$5/$B$5)+(AE163&gt;$B163)*0,IF(ROUND(AVERAGE($C163,$E163,$G163,$I163,$K163,$M163,$O163,$Q163,$S163,$U163,$W163,$Y163,$AA163,$AC163,$AE163),2)-$B163/2&lt;=AE163,IF(ROUND(AVERAGE($C163,$E163,$G163,$I163,$K163,$M163,$O163,$Q163,$S163,$U163,$W163,$Y163,$AA163,$AC163,$AE163),2)+$B163/2&gt;AE163,($G$5/$B$5),0),0))))</f>
        <v/>
      </c>
    </row>
    <row r="164" spans="1:32" s="135" customFormat="1" ht="21" customHeight="1">
      <c r="A164" s="132" t="str">
        <f>+'Presupuesto Consolidado'!A191</f>
        <v>12.5.8</v>
      </c>
      <c r="B164" s="140">
        <f t="shared" ref="B164" si="2030">IF(A164="","",IF($K$4="Media aritmética",ROUND(AVERAGE(C164,E164,G164,I164,K164,M164,O164,Q164,S164,U164,W164,Y164,AA164,AC164,AE164),2),ROUND(_xlfn.STDEV.P(C164,E164,G164,I164,K164,M164,O164,Q164,S164,U164,W164,Y164,AA164,AC164,AE164),2)))</f>
        <v>4140000</v>
      </c>
      <c r="C164" s="141">
        <f>IF($C$8="Habilitado",IF($A164="","",ROUND(VLOOKUP($A164,'Presupuesto Consolidado'!$A$9:$F$600,6,FALSE),2)),"")</f>
        <v>4140000</v>
      </c>
      <c r="D164" s="142">
        <f t="shared" ref="D164" si="2031">IF($A164="","",IF(C164="","",IF($K$4="Media aritmética",(C164&lt;=$B164)*($G$5/$B$5)+(C164&gt;$B164)*0,IF(ROUND(AVERAGE($C164,$E164,$G164,$I164,$K164,$M164,$O164,$Q164,$S164,$U164,$W164,$Y164,$AA164,$AC164,$AE164),2)-$B164/2&lt;=C164,IF(ROUND(AVERAGE($C164,$E164,$G164,$I164,$K164,$M164,$O164,$Q164,$S164,$U164,$W164,$Y164,$AA164,$AC164,$AE164),2)+$B164/2&gt;C164,($G$5/$B$5),0),0))))</f>
        <v>0.45714285714285713</v>
      </c>
      <c r="E164" s="141" t="str">
        <f>IF($E$8="Habilitado",IF($A164="","",ROUND(VLOOKUP($A164,'Presupuesto Consolidado'!$I$9:$N$600,6,FALSE),2)),"")</f>
        <v/>
      </c>
      <c r="F164" s="142" t="str">
        <f t="shared" ref="F164" si="2032">IF($A164="","",IF(E164="","",IF($K$4="Media aritmética",(E164&lt;=$B164)*($G$5/$B$5)+(E164&gt;$B164)*0,IF(ROUND(AVERAGE($C164,$E164,$G164,$I164,$K164,$M164,$O164,$Q164,$S164,$U164,$W164,$Y164,$AA164,$AC164,$AE164),2)-$B164/2&lt;=E164,IF(ROUND(AVERAGE($C164,$E164,$G164,$I164,$K164,$M164,$O164,$Q164,$S164,$U164,$W164,$Y164,$AA164,$AC164,$AE164),2)+$B164/2&gt;E164,($G$5/$B$5),0),0))))</f>
        <v/>
      </c>
      <c r="G164" s="141" t="str">
        <f>IF($G$8="Habilitado",IF($A164="","",ROUND(VLOOKUP($A164,'Presupuesto Consolidado'!$Q$9:$V$600,6,FALSE),2)),"")</f>
        <v/>
      </c>
      <c r="H164" s="142" t="str">
        <f t="shared" ref="H164" si="2033">IF($A164="","",IF(G164="","",IF($K$4="Media aritmética",(G164&lt;=$B164)*($G$5/$B$5)+(G164&gt;$B164)*0,IF(ROUND(AVERAGE($C164,$E164,$G164,$I164,$K164,$M164,$O164,$Q164,$S164,$U164,$W164,$Y164,$AA164,$AC164,$AE164),2)-$B164/2&lt;=G164,IF(ROUND(AVERAGE($C164,$E164,$G164,$I164,$K164,$M164,$O164,$Q164,$S164,$U164,$W164,$Y164,$AA164,$AC164,$AE164),2)+$B164/2&gt;G164,($G$5/$B$5),0),0))))</f>
        <v/>
      </c>
      <c r="I164" s="141" t="str">
        <f>IF($I$8="Habilitado",IF($A164="","",ROUND(VLOOKUP($A164,'Presupuesto Consolidado'!$Y$9:$AD$600,6,FALSE),2)),"")</f>
        <v/>
      </c>
      <c r="J164" s="142" t="str">
        <f t="shared" ref="J164" si="2034">IF($A164="","",IF(I164="","",IF($K$4="Media aritmética",(I164&lt;=$B164)*($G$5/$B$5)+(I164&gt;$B164)*0,IF(ROUND(AVERAGE($C164,$E164,$G164,$I164,$K164,$M164,$O164,$Q164,$S164,$U164,$W164,$Y164,$AA164,$AC164,$AE164),2)-$B164/2&lt;=I164,IF(ROUND(AVERAGE($C164,$E164,$G164,$I164,$K164,$M164,$O164,$Q164,$S164,$U164,$W164,$Y164,$AA164,$AC164,$AE164),2)+$B164/2&gt;I164,($G$5/$B$5),0),0))))</f>
        <v/>
      </c>
      <c r="K164" s="141" t="str">
        <f>IF($K$8="Habilitado",IF($A164="","",ROUND(VLOOKUP($A164,'Presupuesto Consolidado'!#REF!,6,FALSE),2)),"")</f>
        <v/>
      </c>
      <c r="L164" s="142" t="str">
        <f t="shared" ref="L164" si="2035">IF($A164="","",IF(K164="","",IF($K$4="Media aritmética",(K164&lt;=$B164)*($G$5/$B$5)+(K164&gt;$B164)*0,IF(ROUND(AVERAGE($C164,$E164,$G164,$I164,$K164,$M164,$O164,$Q164,$S164,$U164,$W164,$Y164,$AA164,$AC164,$AE164),2)-$B164/2&lt;=K164,IF(ROUND(AVERAGE($C164,$E164,$G164,$I164,$K164,$M164,$O164,$Q164,$S164,$U164,$W164,$Y164,$AA164,$AC164,$AE164),2)+$B164/2&gt;K164,($G$5/$B$5),0),0))))</f>
        <v/>
      </c>
      <c r="M164" s="141" t="str">
        <f>IF($M$8="Habilitado",IF($A164="","",ROUND(VLOOKUP($A164,'Presupuesto Consolidado'!#REF!,6,FALSE),2)),"")</f>
        <v/>
      </c>
      <c r="N164" s="142" t="str">
        <f t="shared" ref="N164" si="2036">IF($A164="","",IF(M164="","",IF($K$4="Media aritmética",(M164&lt;=$B164)*($G$5/$B$5)+(M164&gt;$B164)*0,IF(ROUND(AVERAGE($C164,$E164,$G164,$I164,$K164,$M164,$O164,$Q164,$S164,$U164,$W164,$Y164,$AA164,$AC164,$AE164),2)-$B164/2&lt;=M164,IF(ROUND(AVERAGE($C164,$E164,$G164,$I164,$K164,$M164,$O164,$Q164,$S164,$U164,$W164,$Y164,$AA164,$AC164,$AE164),2)+$B164/2&gt;M164,($G$5/$B$5),0),0))))</f>
        <v/>
      </c>
      <c r="O164" s="141" t="str">
        <f>IF($O$8="Habilitado",IF($A164="","",ROUND(VLOOKUP($A164,'Presupuesto Consolidado'!#REF!,6,FALSE),2)),"")</f>
        <v/>
      </c>
      <c r="P164" s="142" t="str">
        <f t="shared" ref="P164" si="2037">IF($A164="","",IF(O164="","",IF($K$4="Media aritmética",(O164&lt;=$B164)*($G$5/$B$5)+(O164&gt;$B164)*0,IF(ROUND(AVERAGE($C164,$E164,$G164,$I164,$K164,$M164,$O164,$Q164,$S164,$U164,$W164,$Y164,$AA164,$AC164,$AE164),2)-$B164/2&lt;=O164,IF(ROUND(AVERAGE($C164,$E164,$G164,$I164,$K164,$M164,$O164,$Q164,$S164,$U164,$W164,$Y164,$AA164,$AC164,$AE164),2)+$B164/2&gt;O164,($G$5/$B$5),0),0))))</f>
        <v/>
      </c>
      <c r="Q164" s="141" t="str">
        <f>IF($Q$8="Habilitado",IF($A164="","",ROUND(VLOOKUP($A164,'Presupuesto Consolidado'!#REF!,6,FALSE),2)),"")</f>
        <v/>
      </c>
      <c r="R164" s="142" t="str">
        <f t="shared" ref="R164" si="2038">IF($A164="","",IF(Q164="","",IF($K$4="Media aritmética",(Q164&lt;=$B164)*($G$5/$B$5)+(Q164&gt;$B164)*0,IF(ROUND(AVERAGE($C164,$E164,$G164,$I164,$K164,$M164,$O164,$Q164,$S164,$U164,$W164,$Y164,$AA164,$AC164,$AE164),2)-$B164/2&lt;=Q164,IF(ROUND(AVERAGE($C164,$E164,$G164,$I164,$K164,$M164,$O164,$Q164,$S164,$U164,$W164,$Y164,$AA164,$AC164,$AE164),2)+$B164/2&gt;Q164,($G$5/$B$5),0),0))))</f>
        <v/>
      </c>
      <c r="S164" s="141" t="str">
        <f>IF($S$8="Habilitado",IF($A164="","",ROUND(VLOOKUP($A164,'Presupuesto Consolidado'!#REF!,6,FALSE),2)),"")</f>
        <v/>
      </c>
      <c r="T164" s="142" t="str">
        <f t="shared" ref="T164" si="2039">IF($A164="","",IF(S164="","",IF($K$4="Media aritmética",(S164&lt;=$B164)*($G$5/$B$5)+(S164&gt;$B164)*0,IF(ROUND(AVERAGE($C164,$E164,$G164,$I164,$K164,$M164,$O164,$Q164,$S164,$U164,$W164,$Y164,$AA164,$AC164,$AE164),2)-$B164/2&lt;=S164,IF(ROUND(AVERAGE($C164,$E164,$G164,$I164,$K164,$M164,$O164,$Q164,$S164,$U164,$W164,$Y164,$AA164,$AC164,$AE164),2)+$B164/2&gt;S164,($G$5/$B$5),0),0))))</f>
        <v/>
      </c>
      <c r="U164" s="141" t="str">
        <f>IF($U$8="Habilitado",IF($A164="","",ROUND(VLOOKUP($A164,'Presupuesto Consolidado'!#REF!,6,FALSE),2)),"")</f>
        <v/>
      </c>
      <c r="V164" s="142" t="str">
        <f t="shared" ref="V164" si="2040">IF($A164="","",IF(U164="","",IF($K$4="Media aritmética",(U164&lt;=$B164)*($G$5/$B$5)+(U164&gt;$B164)*0,IF(ROUND(AVERAGE($C164,$E164,$G164,$I164,$K164,$M164,$O164,$Q164,$S164,$U164,$W164,$Y164,$AA164,$AC164,$AE164),2)-$B164/2&lt;=U164,IF(ROUND(AVERAGE($C164,$E164,$G164,$I164,$K164,$M164,$O164,$Q164,$S164,$U164,$W164,$Y164,$AA164,$AC164,$AE164),2)+$B164/2&gt;U164,($G$5/$B$5),0),0))))</f>
        <v/>
      </c>
      <c r="W164" s="141" t="str">
        <f>IF($W$8="Habilitado",IF($A164="","",ROUND(VLOOKUP($A164,'Presupuesto Consolidado'!#REF!,6,FALSE),2)),"")</f>
        <v/>
      </c>
      <c r="X164" s="142" t="str">
        <f t="shared" ref="X164" si="2041">IF($A164="","",IF(W164="","",IF($K$4="Media aritmética",(W164&lt;=$B164)*($G$5/$B$5)+(W164&gt;$B164)*0,IF(ROUND(AVERAGE($C164,$E164,$G164,$I164,$K164,$M164,$O164,$Q164,$S164,$U164,$W164,$Y164,$AA164,$AC164,$AE164),2)-$B164/2&lt;=W164,IF(ROUND(AVERAGE($C164,$E164,$G164,$I164,$K164,$M164,$O164,$Q164,$S164,$U164,$W164,$Y164,$AA164,$AC164,$AE164),2)+$B164/2&gt;W164,($G$5/$B$5),0),0))))</f>
        <v/>
      </c>
      <c r="Y164" s="141" t="str">
        <f>IF($Y$8="Habilitado",IF($A164="","",ROUND(VLOOKUP($A164,'Presupuesto Consolidado'!#REF!,6,FALSE),2)),"")</f>
        <v/>
      </c>
      <c r="Z164" s="142" t="str">
        <f t="shared" ref="Z164" si="2042">IF($A164="","",IF(Y164="","",IF($K$4="Media aritmética",(Y164&lt;=$B164)*($G$5/$B$5)+(Y164&gt;$B164)*0,IF(ROUND(AVERAGE($C164,$E164,$G164,$I164,$K164,$M164,$O164,$Q164,$S164,$U164,$W164,$Y164,$AA164,$AC164,$AE164),2)-$B164/2&lt;=Y164,IF(ROUND(AVERAGE($C164,$E164,$G164,$I164,$K164,$M164,$O164,$Q164,$S164,$U164,$W164,$Y164,$AA164,$AC164,$AE164),2)+$B164/2&gt;Y164,($G$5/$B$5),0),0))))</f>
        <v/>
      </c>
      <c r="AA164" s="141" t="str">
        <f>IF($AA$8="Habilitado",IF($A164="","",ROUND(VLOOKUP($A164,'Presupuesto Consolidado'!#REF!,6,FALSE),2)),"")</f>
        <v/>
      </c>
      <c r="AB164" s="142" t="str">
        <f t="shared" ref="AB164" si="2043">IF($A164="","",IF(AA164="","",IF($K$4="Media aritmética",(AA164&lt;=$B164)*($G$5/$B$5)+(AA164&gt;$B164)*0,IF(ROUND(AVERAGE($C164,$E164,$G164,$I164,$K164,$M164,$O164,$Q164,$S164,$U164,$W164,$Y164,$AA164,$AC164,$AE164),2)-$B164/2&lt;=AA164,IF(ROUND(AVERAGE($C164,$E164,$G164,$I164,$K164,$M164,$O164,$Q164,$S164,$U164,$W164,$Y164,$AA164,$AC164,$AE164),2)+$B164/2&gt;AA164,($G$5/$B$5),0),0))))</f>
        <v/>
      </c>
      <c r="AC164" s="141" t="str">
        <f>IF($AC$8="Habilitado",IF($A164="","",ROUND(VLOOKUP($A164,'Presupuesto Consolidado'!#REF!,6,FALSE),2)),"")</f>
        <v/>
      </c>
      <c r="AD164" s="142" t="str">
        <f t="shared" ref="AD164" si="2044">IF($A164="","",IF(AC164="","",IF($K$4="Media aritmética",(AC164&lt;=$B164)*($G$5/$B$5)+(AC164&gt;$B164)*0,IF(ROUND(AVERAGE($C164,$E164,$G164,$I164,$K164,$M164,$O164,$Q164,$S164,$U164,$W164,$Y164,$AA164,$AC164,$AE164),2)-$B164/2&lt;=AC164,IF(ROUND(AVERAGE($C164,$E164,$G164,$I164,$K164,$M164,$O164,$Q164,$S164,$U164,$W164,$Y164,$AA164,$AC164,$AE164),2)+$B164/2&gt;AC164,($G$5/$B$5),0),0))))</f>
        <v/>
      </c>
      <c r="AE164" s="141" t="str">
        <f>IF($AE$8="Habilitado",IF($A164="","",ROUND(VLOOKUP($A164,'Presupuesto Consolidado'!#REF!,6,FALSE),2)),"")</f>
        <v/>
      </c>
      <c r="AF164" s="142" t="str">
        <f t="shared" ref="AF164" si="2045">IF($A164="","",IF(AE164="","",IF($K$4="Media aritmética",(AE164&lt;=$B164)*($G$5/$B$5)+(AE164&gt;$B164)*0,IF(ROUND(AVERAGE($C164,$E164,$G164,$I164,$K164,$M164,$O164,$Q164,$S164,$U164,$W164,$Y164,$AA164,$AC164,$AE164),2)-$B164/2&lt;=AE164,IF(ROUND(AVERAGE($C164,$E164,$G164,$I164,$K164,$M164,$O164,$Q164,$S164,$U164,$W164,$Y164,$AA164,$AC164,$AE164),2)+$B164/2&gt;AE164,($G$5/$B$5),0),0))))</f>
        <v/>
      </c>
    </row>
    <row r="165" spans="1:32" s="135" customFormat="1" ht="21" customHeight="1">
      <c r="A165" s="132" t="str">
        <f>+'Presupuesto Consolidado'!A192</f>
        <v>12.5.9</v>
      </c>
      <c r="B165" s="140">
        <f t="shared" ref="B165" si="2046">IF(A165="","",IF($K$4="Media aritmética",ROUND(AVERAGE(C165,E165,G165,I165,K165,M165,O165,Q165,S165,U165,W165,Y165,AA165,AC165,AE165),2),ROUND(_xlfn.STDEV.P(C165,E165,G165,I165,K165,M165,O165,Q165,S165,U165,W165,Y165,AA165,AC165,AE165),2)))</f>
        <v>155250</v>
      </c>
      <c r="C165" s="141">
        <f>IF($C$8="Habilitado",IF($A165="","",ROUND(VLOOKUP($A165,'Presupuesto Consolidado'!$A$9:$F$600,6,FALSE),2)),"")</f>
        <v>155250</v>
      </c>
      <c r="D165" s="142">
        <f t="shared" ref="D165" si="2047">IF($A165="","",IF(C165="","",IF($K$4="Media aritmética",(C165&lt;=$B165)*($G$5/$B$5)+(C165&gt;$B165)*0,IF(ROUND(AVERAGE($C165,$E165,$G165,$I165,$K165,$M165,$O165,$Q165,$S165,$U165,$W165,$Y165,$AA165,$AC165,$AE165),2)-$B165/2&lt;=C165,IF(ROUND(AVERAGE($C165,$E165,$G165,$I165,$K165,$M165,$O165,$Q165,$S165,$U165,$W165,$Y165,$AA165,$AC165,$AE165),2)+$B165/2&gt;C165,($G$5/$B$5),0),0))))</f>
        <v>0.45714285714285713</v>
      </c>
      <c r="E165" s="141" t="str">
        <f>IF($E$8="Habilitado",IF($A165="","",ROUND(VLOOKUP($A165,'Presupuesto Consolidado'!$I$9:$N$600,6,FALSE),2)),"")</f>
        <v/>
      </c>
      <c r="F165" s="142" t="str">
        <f t="shared" ref="F165" si="2048">IF($A165="","",IF(E165="","",IF($K$4="Media aritmética",(E165&lt;=$B165)*($G$5/$B$5)+(E165&gt;$B165)*0,IF(ROUND(AVERAGE($C165,$E165,$G165,$I165,$K165,$M165,$O165,$Q165,$S165,$U165,$W165,$Y165,$AA165,$AC165,$AE165),2)-$B165/2&lt;=E165,IF(ROUND(AVERAGE($C165,$E165,$G165,$I165,$K165,$M165,$O165,$Q165,$S165,$U165,$W165,$Y165,$AA165,$AC165,$AE165),2)+$B165/2&gt;E165,($G$5/$B$5),0),0))))</f>
        <v/>
      </c>
      <c r="G165" s="141" t="str">
        <f>IF($G$8="Habilitado",IF($A165="","",ROUND(VLOOKUP($A165,'Presupuesto Consolidado'!$Q$9:$V$600,6,FALSE),2)),"")</f>
        <v/>
      </c>
      <c r="H165" s="142" t="str">
        <f t="shared" ref="H165" si="2049">IF($A165="","",IF(G165="","",IF($K$4="Media aritmética",(G165&lt;=$B165)*($G$5/$B$5)+(G165&gt;$B165)*0,IF(ROUND(AVERAGE($C165,$E165,$G165,$I165,$K165,$M165,$O165,$Q165,$S165,$U165,$W165,$Y165,$AA165,$AC165,$AE165),2)-$B165/2&lt;=G165,IF(ROUND(AVERAGE($C165,$E165,$G165,$I165,$K165,$M165,$O165,$Q165,$S165,$U165,$W165,$Y165,$AA165,$AC165,$AE165),2)+$B165/2&gt;G165,($G$5/$B$5),0),0))))</f>
        <v/>
      </c>
      <c r="I165" s="141" t="str">
        <f>IF($I$8="Habilitado",IF($A165="","",ROUND(VLOOKUP($A165,'Presupuesto Consolidado'!$Y$9:$AD$600,6,FALSE),2)),"")</f>
        <v/>
      </c>
      <c r="J165" s="142" t="str">
        <f t="shared" ref="J165" si="2050">IF($A165="","",IF(I165="","",IF($K$4="Media aritmética",(I165&lt;=$B165)*($G$5/$B$5)+(I165&gt;$B165)*0,IF(ROUND(AVERAGE($C165,$E165,$G165,$I165,$K165,$M165,$O165,$Q165,$S165,$U165,$W165,$Y165,$AA165,$AC165,$AE165),2)-$B165/2&lt;=I165,IF(ROUND(AVERAGE($C165,$E165,$G165,$I165,$K165,$M165,$O165,$Q165,$S165,$U165,$W165,$Y165,$AA165,$AC165,$AE165),2)+$B165/2&gt;I165,($G$5/$B$5),0),0))))</f>
        <v/>
      </c>
      <c r="K165" s="141" t="str">
        <f>IF($K$8="Habilitado",IF($A165="","",ROUND(VLOOKUP($A165,'Presupuesto Consolidado'!#REF!,6,FALSE),2)),"")</f>
        <v/>
      </c>
      <c r="L165" s="142" t="str">
        <f t="shared" ref="L165" si="2051">IF($A165="","",IF(K165="","",IF($K$4="Media aritmética",(K165&lt;=$B165)*($G$5/$B$5)+(K165&gt;$B165)*0,IF(ROUND(AVERAGE($C165,$E165,$G165,$I165,$K165,$M165,$O165,$Q165,$S165,$U165,$W165,$Y165,$AA165,$AC165,$AE165),2)-$B165/2&lt;=K165,IF(ROUND(AVERAGE($C165,$E165,$G165,$I165,$K165,$M165,$O165,$Q165,$S165,$U165,$W165,$Y165,$AA165,$AC165,$AE165),2)+$B165/2&gt;K165,($G$5/$B$5),0),0))))</f>
        <v/>
      </c>
      <c r="M165" s="141" t="str">
        <f>IF($M$8="Habilitado",IF($A165="","",ROUND(VLOOKUP($A165,'Presupuesto Consolidado'!#REF!,6,FALSE),2)),"")</f>
        <v/>
      </c>
      <c r="N165" s="142" t="str">
        <f t="shared" ref="N165" si="2052">IF($A165="","",IF(M165="","",IF($K$4="Media aritmética",(M165&lt;=$B165)*($G$5/$B$5)+(M165&gt;$B165)*0,IF(ROUND(AVERAGE($C165,$E165,$G165,$I165,$K165,$M165,$O165,$Q165,$S165,$U165,$W165,$Y165,$AA165,$AC165,$AE165),2)-$B165/2&lt;=M165,IF(ROUND(AVERAGE($C165,$E165,$G165,$I165,$K165,$M165,$O165,$Q165,$S165,$U165,$W165,$Y165,$AA165,$AC165,$AE165),2)+$B165/2&gt;M165,($G$5/$B$5),0),0))))</f>
        <v/>
      </c>
      <c r="O165" s="141" t="str">
        <f>IF($O$8="Habilitado",IF($A165="","",ROUND(VLOOKUP($A165,'Presupuesto Consolidado'!#REF!,6,FALSE),2)),"")</f>
        <v/>
      </c>
      <c r="P165" s="142" t="str">
        <f t="shared" ref="P165" si="2053">IF($A165="","",IF(O165="","",IF($K$4="Media aritmética",(O165&lt;=$B165)*($G$5/$B$5)+(O165&gt;$B165)*0,IF(ROUND(AVERAGE($C165,$E165,$G165,$I165,$K165,$M165,$O165,$Q165,$S165,$U165,$W165,$Y165,$AA165,$AC165,$AE165),2)-$B165/2&lt;=O165,IF(ROUND(AVERAGE($C165,$E165,$G165,$I165,$K165,$M165,$O165,$Q165,$S165,$U165,$W165,$Y165,$AA165,$AC165,$AE165),2)+$B165/2&gt;O165,($G$5/$B$5),0),0))))</f>
        <v/>
      </c>
      <c r="Q165" s="141" t="str">
        <f>IF($Q$8="Habilitado",IF($A165="","",ROUND(VLOOKUP($A165,'Presupuesto Consolidado'!#REF!,6,FALSE),2)),"")</f>
        <v/>
      </c>
      <c r="R165" s="142" t="str">
        <f t="shared" ref="R165" si="2054">IF($A165="","",IF(Q165="","",IF($K$4="Media aritmética",(Q165&lt;=$B165)*($G$5/$B$5)+(Q165&gt;$B165)*0,IF(ROUND(AVERAGE($C165,$E165,$G165,$I165,$K165,$M165,$O165,$Q165,$S165,$U165,$W165,$Y165,$AA165,$AC165,$AE165),2)-$B165/2&lt;=Q165,IF(ROUND(AVERAGE($C165,$E165,$G165,$I165,$K165,$M165,$O165,$Q165,$S165,$U165,$W165,$Y165,$AA165,$AC165,$AE165),2)+$B165/2&gt;Q165,($G$5/$B$5),0),0))))</f>
        <v/>
      </c>
      <c r="S165" s="141" t="str">
        <f>IF($S$8="Habilitado",IF($A165="","",ROUND(VLOOKUP($A165,'Presupuesto Consolidado'!#REF!,6,FALSE),2)),"")</f>
        <v/>
      </c>
      <c r="T165" s="142" t="str">
        <f t="shared" ref="T165" si="2055">IF($A165="","",IF(S165="","",IF($K$4="Media aritmética",(S165&lt;=$B165)*($G$5/$B$5)+(S165&gt;$B165)*0,IF(ROUND(AVERAGE($C165,$E165,$G165,$I165,$K165,$M165,$O165,$Q165,$S165,$U165,$W165,$Y165,$AA165,$AC165,$AE165),2)-$B165/2&lt;=S165,IF(ROUND(AVERAGE($C165,$E165,$G165,$I165,$K165,$M165,$O165,$Q165,$S165,$U165,$W165,$Y165,$AA165,$AC165,$AE165),2)+$B165/2&gt;S165,($G$5/$B$5),0),0))))</f>
        <v/>
      </c>
      <c r="U165" s="141" t="str">
        <f>IF($U$8="Habilitado",IF($A165="","",ROUND(VLOOKUP($A165,'Presupuesto Consolidado'!#REF!,6,FALSE),2)),"")</f>
        <v/>
      </c>
      <c r="V165" s="142" t="str">
        <f t="shared" ref="V165" si="2056">IF($A165="","",IF(U165="","",IF($K$4="Media aritmética",(U165&lt;=$B165)*($G$5/$B$5)+(U165&gt;$B165)*0,IF(ROUND(AVERAGE($C165,$E165,$G165,$I165,$K165,$M165,$O165,$Q165,$S165,$U165,$W165,$Y165,$AA165,$AC165,$AE165),2)-$B165/2&lt;=U165,IF(ROUND(AVERAGE($C165,$E165,$G165,$I165,$K165,$M165,$O165,$Q165,$S165,$U165,$W165,$Y165,$AA165,$AC165,$AE165),2)+$B165/2&gt;U165,($G$5/$B$5),0),0))))</f>
        <v/>
      </c>
      <c r="W165" s="141" t="str">
        <f>IF($W$8="Habilitado",IF($A165="","",ROUND(VLOOKUP($A165,'Presupuesto Consolidado'!#REF!,6,FALSE),2)),"")</f>
        <v/>
      </c>
      <c r="X165" s="142" t="str">
        <f t="shared" ref="X165" si="2057">IF($A165="","",IF(W165="","",IF($K$4="Media aritmética",(W165&lt;=$B165)*($G$5/$B$5)+(W165&gt;$B165)*0,IF(ROUND(AVERAGE($C165,$E165,$G165,$I165,$K165,$M165,$O165,$Q165,$S165,$U165,$W165,$Y165,$AA165,$AC165,$AE165),2)-$B165/2&lt;=W165,IF(ROUND(AVERAGE($C165,$E165,$G165,$I165,$K165,$M165,$O165,$Q165,$S165,$U165,$W165,$Y165,$AA165,$AC165,$AE165),2)+$B165/2&gt;W165,($G$5/$B$5),0),0))))</f>
        <v/>
      </c>
      <c r="Y165" s="141" t="str">
        <f>IF($Y$8="Habilitado",IF($A165="","",ROUND(VLOOKUP($A165,'Presupuesto Consolidado'!#REF!,6,FALSE),2)),"")</f>
        <v/>
      </c>
      <c r="Z165" s="142" t="str">
        <f t="shared" ref="Z165" si="2058">IF($A165="","",IF(Y165="","",IF($K$4="Media aritmética",(Y165&lt;=$B165)*($G$5/$B$5)+(Y165&gt;$B165)*0,IF(ROUND(AVERAGE($C165,$E165,$G165,$I165,$K165,$M165,$O165,$Q165,$S165,$U165,$W165,$Y165,$AA165,$AC165,$AE165),2)-$B165/2&lt;=Y165,IF(ROUND(AVERAGE($C165,$E165,$G165,$I165,$K165,$M165,$O165,$Q165,$S165,$U165,$W165,$Y165,$AA165,$AC165,$AE165),2)+$B165/2&gt;Y165,($G$5/$B$5),0),0))))</f>
        <v/>
      </c>
      <c r="AA165" s="141" t="str">
        <f>IF($AA$8="Habilitado",IF($A165="","",ROUND(VLOOKUP($A165,'Presupuesto Consolidado'!#REF!,6,FALSE),2)),"")</f>
        <v/>
      </c>
      <c r="AB165" s="142" t="str">
        <f t="shared" ref="AB165" si="2059">IF($A165="","",IF(AA165="","",IF($K$4="Media aritmética",(AA165&lt;=$B165)*($G$5/$B$5)+(AA165&gt;$B165)*0,IF(ROUND(AVERAGE($C165,$E165,$G165,$I165,$K165,$M165,$O165,$Q165,$S165,$U165,$W165,$Y165,$AA165,$AC165,$AE165),2)-$B165/2&lt;=AA165,IF(ROUND(AVERAGE($C165,$E165,$G165,$I165,$K165,$M165,$O165,$Q165,$S165,$U165,$W165,$Y165,$AA165,$AC165,$AE165),2)+$B165/2&gt;AA165,($G$5/$B$5),0),0))))</f>
        <v/>
      </c>
      <c r="AC165" s="141" t="str">
        <f>IF($AC$8="Habilitado",IF($A165="","",ROUND(VLOOKUP($A165,'Presupuesto Consolidado'!#REF!,6,FALSE),2)),"")</f>
        <v/>
      </c>
      <c r="AD165" s="142" t="str">
        <f t="shared" ref="AD165" si="2060">IF($A165="","",IF(AC165="","",IF($K$4="Media aritmética",(AC165&lt;=$B165)*($G$5/$B$5)+(AC165&gt;$B165)*0,IF(ROUND(AVERAGE($C165,$E165,$G165,$I165,$K165,$M165,$O165,$Q165,$S165,$U165,$W165,$Y165,$AA165,$AC165,$AE165),2)-$B165/2&lt;=AC165,IF(ROUND(AVERAGE($C165,$E165,$G165,$I165,$K165,$M165,$O165,$Q165,$S165,$U165,$W165,$Y165,$AA165,$AC165,$AE165),2)+$B165/2&gt;AC165,($G$5/$B$5),0),0))))</f>
        <v/>
      </c>
      <c r="AE165" s="141" t="str">
        <f>IF($AE$8="Habilitado",IF($A165="","",ROUND(VLOOKUP($A165,'Presupuesto Consolidado'!#REF!,6,FALSE),2)),"")</f>
        <v/>
      </c>
      <c r="AF165" s="142" t="str">
        <f t="shared" ref="AF165" si="2061">IF($A165="","",IF(AE165="","",IF($K$4="Media aritmética",(AE165&lt;=$B165)*($G$5/$B$5)+(AE165&gt;$B165)*0,IF(ROUND(AVERAGE($C165,$E165,$G165,$I165,$K165,$M165,$O165,$Q165,$S165,$U165,$W165,$Y165,$AA165,$AC165,$AE165),2)-$B165/2&lt;=AE165,IF(ROUND(AVERAGE($C165,$E165,$G165,$I165,$K165,$M165,$O165,$Q165,$S165,$U165,$W165,$Y165,$AA165,$AC165,$AE165),2)+$B165/2&gt;AE165,($G$5/$B$5),0),0))))</f>
        <v/>
      </c>
    </row>
    <row r="166" spans="1:32" s="135" customFormat="1" ht="21" customHeight="1">
      <c r="A166" s="132" t="str">
        <f>+'Presupuesto Consolidado'!A193</f>
        <v>12.5.10</v>
      </c>
      <c r="B166" s="140">
        <f t="shared" ref="B166" si="2062">IF(A166="","",IF($K$4="Media aritmética",ROUND(AVERAGE(C166,E166,G166,I166,K166,M166,O166,Q166,S166,U166,W166,Y166,AA166,AC166,AE166),2),ROUND(_xlfn.STDEV.P(C166,E166,G166,I166,K166,M166,O166,Q166,S166,U166,W166,Y166,AA166,AC166,AE166),2)))</f>
        <v>77640</v>
      </c>
      <c r="C166" s="141">
        <f>IF($C$8="Habilitado",IF($A166="","",ROUND(VLOOKUP($A166,'Presupuesto Consolidado'!$A$9:$F$600,6,FALSE),2)),"")</f>
        <v>77640</v>
      </c>
      <c r="D166" s="142">
        <f t="shared" ref="D166" si="2063">IF($A166="","",IF(C166="","",IF($K$4="Media aritmética",(C166&lt;=$B166)*($G$5/$B$5)+(C166&gt;$B166)*0,IF(ROUND(AVERAGE($C166,$E166,$G166,$I166,$K166,$M166,$O166,$Q166,$S166,$U166,$W166,$Y166,$AA166,$AC166,$AE166),2)-$B166/2&lt;=C166,IF(ROUND(AVERAGE($C166,$E166,$G166,$I166,$K166,$M166,$O166,$Q166,$S166,$U166,$W166,$Y166,$AA166,$AC166,$AE166),2)+$B166/2&gt;C166,($G$5/$B$5),0),0))))</f>
        <v>0.45714285714285713</v>
      </c>
      <c r="E166" s="141" t="str">
        <f>IF($E$8="Habilitado",IF($A166="","",ROUND(VLOOKUP($A166,'Presupuesto Consolidado'!$I$9:$N$600,6,FALSE),2)),"")</f>
        <v/>
      </c>
      <c r="F166" s="142" t="str">
        <f t="shared" ref="F166" si="2064">IF($A166="","",IF(E166="","",IF($K$4="Media aritmética",(E166&lt;=$B166)*($G$5/$B$5)+(E166&gt;$B166)*0,IF(ROUND(AVERAGE($C166,$E166,$G166,$I166,$K166,$M166,$O166,$Q166,$S166,$U166,$W166,$Y166,$AA166,$AC166,$AE166),2)-$B166/2&lt;=E166,IF(ROUND(AVERAGE($C166,$E166,$G166,$I166,$K166,$M166,$O166,$Q166,$S166,$U166,$W166,$Y166,$AA166,$AC166,$AE166),2)+$B166/2&gt;E166,($G$5/$B$5),0),0))))</f>
        <v/>
      </c>
      <c r="G166" s="141" t="str">
        <f>IF($G$8="Habilitado",IF($A166="","",ROUND(VLOOKUP($A166,'Presupuesto Consolidado'!$Q$9:$V$600,6,FALSE),2)),"")</f>
        <v/>
      </c>
      <c r="H166" s="142" t="str">
        <f t="shared" ref="H166" si="2065">IF($A166="","",IF(G166="","",IF($K$4="Media aritmética",(G166&lt;=$B166)*($G$5/$B$5)+(G166&gt;$B166)*0,IF(ROUND(AVERAGE($C166,$E166,$G166,$I166,$K166,$M166,$O166,$Q166,$S166,$U166,$W166,$Y166,$AA166,$AC166,$AE166),2)-$B166/2&lt;=G166,IF(ROUND(AVERAGE($C166,$E166,$G166,$I166,$K166,$M166,$O166,$Q166,$S166,$U166,$W166,$Y166,$AA166,$AC166,$AE166),2)+$B166/2&gt;G166,($G$5/$B$5),0),0))))</f>
        <v/>
      </c>
      <c r="I166" s="141" t="str">
        <f>IF($I$8="Habilitado",IF($A166="","",ROUND(VLOOKUP($A166,'Presupuesto Consolidado'!$Y$9:$AD$600,6,FALSE),2)),"")</f>
        <v/>
      </c>
      <c r="J166" s="142" t="str">
        <f t="shared" ref="J166" si="2066">IF($A166="","",IF(I166="","",IF($K$4="Media aritmética",(I166&lt;=$B166)*($G$5/$B$5)+(I166&gt;$B166)*0,IF(ROUND(AVERAGE($C166,$E166,$G166,$I166,$K166,$M166,$O166,$Q166,$S166,$U166,$W166,$Y166,$AA166,$AC166,$AE166),2)-$B166/2&lt;=I166,IF(ROUND(AVERAGE($C166,$E166,$G166,$I166,$K166,$M166,$O166,$Q166,$S166,$U166,$W166,$Y166,$AA166,$AC166,$AE166),2)+$B166/2&gt;I166,($G$5/$B$5),0),0))))</f>
        <v/>
      </c>
      <c r="K166" s="141" t="str">
        <f>IF($K$8="Habilitado",IF($A166="","",ROUND(VLOOKUP($A166,'Presupuesto Consolidado'!#REF!,6,FALSE),2)),"")</f>
        <v/>
      </c>
      <c r="L166" s="142" t="str">
        <f t="shared" ref="L166" si="2067">IF($A166="","",IF(K166="","",IF($K$4="Media aritmética",(K166&lt;=$B166)*($G$5/$B$5)+(K166&gt;$B166)*0,IF(ROUND(AVERAGE($C166,$E166,$G166,$I166,$K166,$M166,$O166,$Q166,$S166,$U166,$W166,$Y166,$AA166,$AC166,$AE166),2)-$B166/2&lt;=K166,IF(ROUND(AVERAGE($C166,$E166,$G166,$I166,$K166,$M166,$O166,$Q166,$S166,$U166,$W166,$Y166,$AA166,$AC166,$AE166),2)+$B166/2&gt;K166,($G$5/$B$5),0),0))))</f>
        <v/>
      </c>
      <c r="M166" s="141" t="str">
        <f>IF($M$8="Habilitado",IF($A166="","",ROUND(VLOOKUP($A166,'Presupuesto Consolidado'!#REF!,6,FALSE),2)),"")</f>
        <v/>
      </c>
      <c r="N166" s="142" t="str">
        <f t="shared" ref="N166" si="2068">IF($A166="","",IF(M166="","",IF($K$4="Media aritmética",(M166&lt;=$B166)*($G$5/$B$5)+(M166&gt;$B166)*0,IF(ROUND(AVERAGE($C166,$E166,$G166,$I166,$K166,$M166,$O166,$Q166,$S166,$U166,$W166,$Y166,$AA166,$AC166,$AE166),2)-$B166/2&lt;=M166,IF(ROUND(AVERAGE($C166,$E166,$G166,$I166,$K166,$M166,$O166,$Q166,$S166,$U166,$W166,$Y166,$AA166,$AC166,$AE166),2)+$B166/2&gt;M166,($G$5/$B$5),0),0))))</f>
        <v/>
      </c>
      <c r="O166" s="141" t="str">
        <f>IF($O$8="Habilitado",IF($A166="","",ROUND(VLOOKUP($A166,'Presupuesto Consolidado'!#REF!,6,FALSE),2)),"")</f>
        <v/>
      </c>
      <c r="P166" s="142" t="str">
        <f t="shared" ref="P166" si="2069">IF($A166="","",IF(O166="","",IF($K$4="Media aritmética",(O166&lt;=$B166)*($G$5/$B$5)+(O166&gt;$B166)*0,IF(ROUND(AVERAGE($C166,$E166,$G166,$I166,$K166,$M166,$O166,$Q166,$S166,$U166,$W166,$Y166,$AA166,$AC166,$AE166),2)-$B166/2&lt;=O166,IF(ROUND(AVERAGE($C166,$E166,$G166,$I166,$K166,$M166,$O166,$Q166,$S166,$U166,$W166,$Y166,$AA166,$AC166,$AE166),2)+$B166/2&gt;O166,($G$5/$B$5),0),0))))</f>
        <v/>
      </c>
      <c r="Q166" s="141" t="str">
        <f>IF($Q$8="Habilitado",IF($A166="","",ROUND(VLOOKUP($A166,'Presupuesto Consolidado'!#REF!,6,FALSE),2)),"")</f>
        <v/>
      </c>
      <c r="R166" s="142" t="str">
        <f t="shared" ref="R166" si="2070">IF($A166="","",IF(Q166="","",IF($K$4="Media aritmética",(Q166&lt;=$B166)*($G$5/$B$5)+(Q166&gt;$B166)*0,IF(ROUND(AVERAGE($C166,$E166,$G166,$I166,$K166,$M166,$O166,$Q166,$S166,$U166,$W166,$Y166,$AA166,$AC166,$AE166),2)-$B166/2&lt;=Q166,IF(ROUND(AVERAGE($C166,$E166,$G166,$I166,$K166,$M166,$O166,$Q166,$S166,$U166,$W166,$Y166,$AA166,$AC166,$AE166),2)+$B166/2&gt;Q166,($G$5/$B$5),0),0))))</f>
        <v/>
      </c>
      <c r="S166" s="141" t="str">
        <f>IF($S$8="Habilitado",IF($A166="","",ROUND(VLOOKUP($A166,'Presupuesto Consolidado'!#REF!,6,FALSE),2)),"")</f>
        <v/>
      </c>
      <c r="T166" s="142" t="str">
        <f t="shared" ref="T166" si="2071">IF($A166="","",IF(S166="","",IF($K$4="Media aritmética",(S166&lt;=$B166)*($G$5/$B$5)+(S166&gt;$B166)*0,IF(ROUND(AVERAGE($C166,$E166,$G166,$I166,$K166,$M166,$O166,$Q166,$S166,$U166,$W166,$Y166,$AA166,$AC166,$AE166),2)-$B166/2&lt;=S166,IF(ROUND(AVERAGE($C166,$E166,$G166,$I166,$K166,$M166,$O166,$Q166,$S166,$U166,$W166,$Y166,$AA166,$AC166,$AE166),2)+$B166/2&gt;S166,($G$5/$B$5),0),0))))</f>
        <v/>
      </c>
      <c r="U166" s="141" t="str">
        <f>IF($U$8="Habilitado",IF($A166="","",ROUND(VLOOKUP($A166,'Presupuesto Consolidado'!#REF!,6,FALSE),2)),"")</f>
        <v/>
      </c>
      <c r="V166" s="142" t="str">
        <f t="shared" ref="V166" si="2072">IF($A166="","",IF(U166="","",IF($K$4="Media aritmética",(U166&lt;=$B166)*($G$5/$B$5)+(U166&gt;$B166)*0,IF(ROUND(AVERAGE($C166,$E166,$G166,$I166,$K166,$M166,$O166,$Q166,$S166,$U166,$W166,$Y166,$AA166,$AC166,$AE166),2)-$B166/2&lt;=U166,IF(ROUND(AVERAGE($C166,$E166,$G166,$I166,$K166,$M166,$O166,$Q166,$S166,$U166,$W166,$Y166,$AA166,$AC166,$AE166),2)+$B166/2&gt;U166,($G$5/$B$5),0),0))))</f>
        <v/>
      </c>
      <c r="W166" s="141" t="str">
        <f>IF($W$8="Habilitado",IF($A166="","",ROUND(VLOOKUP($A166,'Presupuesto Consolidado'!#REF!,6,FALSE),2)),"")</f>
        <v/>
      </c>
      <c r="X166" s="142" t="str">
        <f t="shared" ref="X166" si="2073">IF($A166="","",IF(W166="","",IF($K$4="Media aritmética",(W166&lt;=$B166)*($G$5/$B$5)+(W166&gt;$B166)*0,IF(ROUND(AVERAGE($C166,$E166,$G166,$I166,$K166,$M166,$O166,$Q166,$S166,$U166,$W166,$Y166,$AA166,$AC166,$AE166),2)-$B166/2&lt;=W166,IF(ROUND(AVERAGE($C166,$E166,$G166,$I166,$K166,$M166,$O166,$Q166,$S166,$U166,$W166,$Y166,$AA166,$AC166,$AE166),2)+$B166/2&gt;W166,($G$5/$B$5),0),0))))</f>
        <v/>
      </c>
      <c r="Y166" s="141" t="str">
        <f>IF($Y$8="Habilitado",IF($A166="","",ROUND(VLOOKUP($A166,'Presupuesto Consolidado'!#REF!,6,FALSE),2)),"")</f>
        <v/>
      </c>
      <c r="Z166" s="142" t="str">
        <f t="shared" ref="Z166" si="2074">IF($A166="","",IF(Y166="","",IF($K$4="Media aritmética",(Y166&lt;=$B166)*($G$5/$B$5)+(Y166&gt;$B166)*0,IF(ROUND(AVERAGE($C166,$E166,$G166,$I166,$K166,$M166,$O166,$Q166,$S166,$U166,$W166,$Y166,$AA166,$AC166,$AE166),2)-$B166/2&lt;=Y166,IF(ROUND(AVERAGE($C166,$E166,$G166,$I166,$K166,$M166,$O166,$Q166,$S166,$U166,$W166,$Y166,$AA166,$AC166,$AE166),2)+$B166/2&gt;Y166,($G$5/$B$5),0),0))))</f>
        <v/>
      </c>
      <c r="AA166" s="141" t="str">
        <f>IF($AA$8="Habilitado",IF($A166="","",ROUND(VLOOKUP($A166,'Presupuesto Consolidado'!#REF!,6,FALSE),2)),"")</f>
        <v/>
      </c>
      <c r="AB166" s="142" t="str">
        <f t="shared" ref="AB166" si="2075">IF($A166="","",IF(AA166="","",IF($K$4="Media aritmética",(AA166&lt;=$B166)*($G$5/$B$5)+(AA166&gt;$B166)*0,IF(ROUND(AVERAGE($C166,$E166,$G166,$I166,$K166,$M166,$O166,$Q166,$S166,$U166,$W166,$Y166,$AA166,$AC166,$AE166),2)-$B166/2&lt;=AA166,IF(ROUND(AVERAGE($C166,$E166,$G166,$I166,$K166,$M166,$O166,$Q166,$S166,$U166,$W166,$Y166,$AA166,$AC166,$AE166),2)+$B166/2&gt;AA166,($G$5/$B$5),0),0))))</f>
        <v/>
      </c>
      <c r="AC166" s="141" t="str">
        <f>IF($AC$8="Habilitado",IF($A166="","",ROUND(VLOOKUP($A166,'Presupuesto Consolidado'!#REF!,6,FALSE),2)),"")</f>
        <v/>
      </c>
      <c r="AD166" s="142" t="str">
        <f t="shared" ref="AD166" si="2076">IF($A166="","",IF(AC166="","",IF($K$4="Media aritmética",(AC166&lt;=$B166)*($G$5/$B$5)+(AC166&gt;$B166)*0,IF(ROUND(AVERAGE($C166,$E166,$G166,$I166,$K166,$M166,$O166,$Q166,$S166,$U166,$W166,$Y166,$AA166,$AC166,$AE166),2)-$B166/2&lt;=AC166,IF(ROUND(AVERAGE($C166,$E166,$G166,$I166,$K166,$M166,$O166,$Q166,$S166,$U166,$W166,$Y166,$AA166,$AC166,$AE166),2)+$B166/2&gt;AC166,($G$5/$B$5),0),0))))</f>
        <v/>
      </c>
      <c r="AE166" s="141" t="str">
        <f>IF($AE$8="Habilitado",IF($A166="","",ROUND(VLOOKUP($A166,'Presupuesto Consolidado'!#REF!,6,FALSE),2)),"")</f>
        <v/>
      </c>
      <c r="AF166" s="142" t="str">
        <f t="shared" ref="AF166" si="2077">IF($A166="","",IF(AE166="","",IF($K$4="Media aritmética",(AE166&lt;=$B166)*($G$5/$B$5)+(AE166&gt;$B166)*0,IF(ROUND(AVERAGE($C166,$E166,$G166,$I166,$K166,$M166,$O166,$Q166,$S166,$U166,$W166,$Y166,$AA166,$AC166,$AE166),2)-$B166/2&lt;=AE166,IF(ROUND(AVERAGE($C166,$E166,$G166,$I166,$K166,$M166,$O166,$Q166,$S166,$U166,$W166,$Y166,$AA166,$AC166,$AE166),2)+$B166/2&gt;AE166,($G$5/$B$5),0),0))))</f>
        <v/>
      </c>
    </row>
    <row r="167" spans="1:32" s="135" customFormat="1" ht="21" customHeight="1">
      <c r="A167" s="132" t="str">
        <f>+'Presupuesto Consolidado'!A194</f>
        <v>12.5.11</v>
      </c>
      <c r="B167" s="140">
        <f t="shared" ref="B167" si="2078">IF(A167="","",IF($K$4="Media aritmética",ROUND(AVERAGE(C167,E167,G167,I167,K167,M167,O167,Q167,S167,U167,W167,Y167,AA167,AC167,AE167),2),ROUND(_xlfn.STDEV.P(C167,E167,G167,I167,K167,M167,O167,Q167,S167,U167,W167,Y167,AA167,AC167,AE167),2)))</f>
        <v>93150</v>
      </c>
      <c r="C167" s="141">
        <f>IF($C$8="Habilitado",IF($A167="","",ROUND(VLOOKUP($A167,'Presupuesto Consolidado'!$A$9:$F$600,6,FALSE),2)),"")</f>
        <v>93150</v>
      </c>
      <c r="D167" s="142">
        <f t="shared" ref="D167" si="2079">IF($A167="","",IF(C167="","",IF($K$4="Media aritmética",(C167&lt;=$B167)*($G$5/$B$5)+(C167&gt;$B167)*0,IF(ROUND(AVERAGE($C167,$E167,$G167,$I167,$K167,$M167,$O167,$Q167,$S167,$U167,$W167,$Y167,$AA167,$AC167,$AE167),2)-$B167/2&lt;=C167,IF(ROUND(AVERAGE($C167,$E167,$G167,$I167,$K167,$M167,$O167,$Q167,$S167,$U167,$W167,$Y167,$AA167,$AC167,$AE167),2)+$B167/2&gt;C167,($G$5/$B$5),0),0))))</f>
        <v>0.45714285714285713</v>
      </c>
      <c r="E167" s="141" t="str">
        <f>IF($E$8="Habilitado",IF($A167="","",ROUND(VLOOKUP($A167,'Presupuesto Consolidado'!$I$9:$N$600,6,FALSE),2)),"")</f>
        <v/>
      </c>
      <c r="F167" s="142" t="str">
        <f t="shared" ref="F167" si="2080">IF($A167="","",IF(E167="","",IF($K$4="Media aritmética",(E167&lt;=$B167)*($G$5/$B$5)+(E167&gt;$B167)*0,IF(ROUND(AVERAGE($C167,$E167,$G167,$I167,$K167,$M167,$O167,$Q167,$S167,$U167,$W167,$Y167,$AA167,$AC167,$AE167),2)-$B167/2&lt;=E167,IF(ROUND(AVERAGE($C167,$E167,$G167,$I167,$K167,$M167,$O167,$Q167,$S167,$U167,$W167,$Y167,$AA167,$AC167,$AE167),2)+$B167/2&gt;E167,($G$5/$B$5),0),0))))</f>
        <v/>
      </c>
      <c r="G167" s="141" t="str">
        <f>IF($G$8="Habilitado",IF($A167="","",ROUND(VLOOKUP($A167,'Presupuesto Consolidado'!$Q$9:$V$600,6,FALSE),2)),"")</f>
        <v/>
      </c>
      <c r="H167" s="142" t="str">
        <f t="shared" ref="H167" si="2081">IF($A167="","",IF(G167="","",IF($K$4="Media aritmética",(G167&lt;=$B167)*($G$5/$B$5)+(G167&gt;$B167)*0,IF(ROUND(AVERAGE($C167,$E167,$G167,$I167,$K167,$M167,$O167,$Q167,$S167,$U167,$W167,$Y167,$AA167,$AC167,$AE167),2)-$B167/2&lt;=G167,IF(ROUND(AVERAGE($C167,$E167,$G167,$I167,$K167,$M167,$O167,$Q167,$S167,$U167,$W167,$Y167,$AA167,$AC167,$AE167),2)+$B167/2&gt;G167,($G$5/$B$5),0),0))))</f>
        <v/>
      </c>
      <c r="I167" s="141" t="str">
        <f>IF($I$8="Habilitado",IF($A167="","",ROUND(VLOOKUP($A167,'Presupuesto Consolidado'!$Y$9:$AD$600,6,FALSE),2)),"")</f>
        <v/>
      </c>
      <c r="J167" s="142" t="str">
        <f t="shared" ref="J167" si="2082">IF($A167="","",IF(I167="","",IF($K$4="Media aritmética",(I167&lt;=$B167)*($G$5/$B$5)+(I167&gt;$B167)*0,IF(ROUND(AVERAGE($C167,$E167,$G167,$I167,$K167,$M167,$O167,$Q167,$S167,$U167,$W167,$Y167,$AA167,$AC167,$AE167),2)-$B167/2&lt;=I167,IF(ROUND(AVERAGE($C167,$E167,$G167,$I167,$K167,$M167,$O167,$Q167,$S167,$U167,$W167,$Y167,$AA167,$AC167,$AE167),2)+$B167/2&gt;I167,($G$5/$B$5),0),0))))</f>
        <v/>
      </c>
      <c r="K167" s="141" t="str">
        <f>IF($K$8="Habilitado",IF($A167="","",ROUND(VLOOKUP($A167,'Presupuesto Consolidado'!#REF!,6,FALSE),2)),"")</f>
        <v/>
      </c>
      <c r="L167" s="142" t="str">
        <f t="shared" ref="L167" si="2083">IF($A167="","",IF(K167="","",IF($K$4="Media aritmética",(K167&lt;=$B167)*($G$5/$B$5)+(K167&gt;$B167)*0,IF(ROUND(AVERAGE($C167,$E167,$G167,$I167,$K167,$M167,$O167,$Q167,$S167,$U167,$W167,$Y167,$AA167,$AC167,$AE167),2)-$B167/2&lt;=K167,IF(ROUND(AVERAGE($C167,$E167,$G167,$I167,$K167,$M167,$O167,$Q167,$S167,$U167,$W167,$Y167,$AA167,$AC167,$AE167),2)+$B167/2&gt;K167,($G$5/$B$5),0),0))))</f>
        <v/>
      </c>
      <c r="M167" s="141" t="str">
        <f>IF($M$8="Habilitado",IF($A167="","",ROUND(VLOOKUP($A167,'Presupuesto Consolidado'!#REF!,6,FALSE),2)),"")</f>
        <v/>
      </c>
      <c r="N167" s="142" t="str">
        <f t="shared" ref="N167" si="2084">IF($A167="","",IF(M167="","",IF($K$4="Media aritmética",(M167&lt;=$B167)*($G$5/$B$5)+(M167&gt;$B167)*0,IF(ROUND(AVERAGE($C167,$E167,$G167,$I167,$K167,$M167,$O167,$Q167,$S167,$U167,$W167,$Y167,$AA167,$AC167,$AE167),2)-$B167/2&lt;=M167,IF(ROUND(AVERAGE($C167,$E167,$G167,$I167,$K167,$M167,$O167,$Q167,$S167,$U167,$W167,$Y167,$AA167,$AC167,$AE167),2)+$B167/2&gt;M167,($G$5/$B$5),0),0))))</f>
        <v/>
      </c>
      <c r="O167" s="141" t="str">
        <f>IF($O$8="Habilitado",IF($A167="","",ROUND(VLOOKUP($A167,'Presupuesto Consolidado'!#REF!,6,FALSE),2)),"")</f>
        <v/>
      </c>
      <c r="P167" s="142" t="str">
        <f t="shared" ref="P167" si="2085">IF($A167="","",IF(O167="","",IF($K$4="Media aritmética",(O167&lt;=$B167)*($G$5/$B$5)+(O167&gt;$B167)*0,IF(ROUND(AVERAGE($C167,$E167,$G167,$I167,$K167,$M167,$O167,$Q167,$S167,$U167,$W167,$Y167,$AA167,$AC167,$AE167),2)-$B167/2&lt;=O167,IF(ROUND(AVERAGE($C167,$E167,$G167,$I167,$K167,$M167,$O167,$Q167,$S167,$U167,$W167,$Y167,$AA167,$AC167,$AE167),2)+$B167/2&gt;O167,($G$5/$B$5),0),0))))</f>
        <v/>
      </c>
      <c r="Q167" s="141" t="str">
        <f>IF($Q$8="Habilitado",IF($A167="","",ROUND(VLOOKUP($A167,'Presupuesto Consolidado'!#REF!,6,FALSE),2)),"")</f>
        <v/>
      </c>
      <c r="R167" s="142" t="str">
        <f t="shared" ref="R167" si="2086">IF($A167="","",IF(Q167="","",IF($K$4="Media aritmética",(Q167&lt;=$B167)*($G$5/$B$5)+(Q167&gt;$B167)*0,IF(ROUND(AVERAGE($C167,$E167,$G167,$I167,$K167,$M167,$O167,$Q167,$S167,$U167,$W167,$Y167,$AA167,$AC167,$AE167),2)-$B167/2&lt;=Q167,IF(ROUND(AVERAGE($C167,$E167,$G167,$I167,$K167,$M167,$O167,$Q167,$S167,$U167,$W167,$Y167,$AA167,$AC167,$AE167),2)+$B167/2&gt;Q167,($G$5/$B$5),0),0))))</f>
        <v/>
      </c>
      <c r="S167" s="141" t="str">
        <f>IF($S$8="Habilitado",IF($A167="","",ROUND(VLOOKUP($A167,'Presupuesto Consolidado'!#REF!,6,FALSE),2)),"")</f>
        <v/>
      </c>
      <c r="T167" s="142" t="str">
        <f t="shared" ref="T167" si="2087">IF($A167="","",IF(S167="","",IF($K$4="Media aritmética",(S167&lt;=$B167)*($G$5/$B$5)+(S167&gt;$B167)*0,IF(ROUND(AVERAGE($C167,$E167,$G167,$I167,$K167,$M167,$O167,$Q167,$S167,$U167,$W167,$Y167,$AA167,$AC167,$AE167),2)-$B167/2&lt;=S167,IF(ROUND(AVERAGE($C167,$E167,$G167,$I167,$K167,$M167,$O167,$Q167,$S167,$U167,$W167,$Y167,$AA167,$AC167,$AE167),2)+$B167/2&gt;S167,($G$5/$B$5),0),0))))</f>
        <v/>
      </c>
      <c r="U167" s="141" t="str">
        <f>IF($U$8="Habilitado",IF($A167="","",ROUND(VLOOKUP($A167,'Presupuesto Consolidado'!#REF!,6,FALSE),2)),"")</f>
        <v/>
      </c>
      <c r="V167" s="142" t="str">
        <f t="shared" ref="V167" si="2088">IF($A167="","",IF(U167="","",IF($K$4="Media aritmética",(U167&lt;=$B167)*($G$5/$B$5)+(U167&gt;$B167)*0,IF(ROUND(AVERAGE($C167,$E167,$G167,$I167,$K167,$M167,$O167,$Q167,$S167,$U167,$W167,$Y167,$AA167,$AC167,$AE167),2)-$B167/2&lt;=U167,IF(ROUND(AVERAGE($C167,$E167,$G167,$I167,$K167,$M167,$O167,$Q167,$S167,$U167,$W167,$Y167,$AA167,$AC167,$AE167),2)+$B167/2&gt;U167,($G$5/$B$5),0),0))))</f>
        <v/>
      </c>
      <c r="W167" s="141" t="str">
        <f>IF($W$8="Habilitado",IF($A167="","",ROUND(VLOOKUP($A167,'Presupuesto Consolidado'!#REF!,6,FALSE),2)),"")</f>
        <v/>
      </c>
      <c r="X167" s="142" t="str">
        <f t="shared" ref="X167" si="2089">IF($A167="","",IF(W167="","",IF($K$4="Media aritmética",(W167&lt;=$B167)*($G$5/$B$5)+(W167&gt;$B167)*0,IF(ROUND(AVERAGE($C167,$E167,$G167,$I167,$K167,$M167,$O167,$Q167,$S167,$U167,$W167,$Y167,$AA167,$AC167,$AE167),2)-$B167/2&lt;=W167,IF(ROUND(AVERAGE($C167,$E167,$G167,$I167,$K167,$M167,$O167,$Q167,$S167,$U167,$W167,$Y167,$AA167,$AC167,$AE167),2)+$B167/2&gt;W167,($G$5/$B$5),0),0))))</f>
        <v/>
      </c>
      <c r="Y167" s="141" t="str">
        <f>IF($Y$8="Habilitado",IF($A167="","",ROUND(VLOOKUP($A167,'Presupuesto Consolidado'!#REF!,6,FALSE),2)),"")</f>
        <v/>
      </c>
      <c r="Z167" s="142" t="str">
        <f t="shared" ref="Z167" si="2090">IF($A167="","",IF(Y167="","",IF($K$4="Media aritmética",(Y167&lt;=$B167)*($G$5/$B$5)+(Y167&gt;$B167)*0,IF(ROUND(AVERAGE($C167,$E167,$G167,$I167,$K167,$M167,$O167,$Q167,$S167,$U167,$W167,$Y167,$AA167,$AC167,$AE167),2)-$B167/2&lt;=Y167,IF(ROUND(AVERAGE($C167,$E167,$G167,$I167,$K167,$M167,$O167,$Q167,$S167,$U167,$W167,$Y167,$AA167,$AC167,$AE167),2)+$B167/2&gt;Y167,($G$5/$B$5),0),0))))</f>
        <v/>
      </c>
      <c r="AA167" s="141" t="str">
        <f>IF($AA$8="Habilitado",IF($A167="","",ROUND(VLOOKUP($A167,'Presupuesto Consolidado'!#REF!,6,FALSE),2)),"")</f>
        <v/>
      </c>
      <c r="AB167" s="142" t="str">
        <f t="shared" ref="AB167" si="2091">IF($A167="","",IF(AA167="","",IF($K$4="Media aritmética",(AA167&lt;=$B167)*($G$5/$B$5)+(AA167&gt;$B167)*0,IF(ROUND(AVERAGE($C167,$E167,$G167,$I167,$K167,$M167,$O167,$Q167,$S167,$U167,$W167,$Y167,$AA167,$AC167,$AE167),2)-$B167/2&lt;=AA167,IF(ROUND(AVERAGE($C167,$E167,$G167,$I167,$K167,$M167,$O167,$Q167,$S167,$U167,$W167,$Y167,$AA167,$AC167,$AE167),2)+$B167/2&gt;AA167,($G$5/$B$5),0),0))))</f>
        <v/>
      </c>
      <c r="AC167" s="141" t="str">
        <f>IF($AC$8="Habilitado",IF($A167="","",ROUND(VLOOKUP($A167,'Presupuesto Consolidado'!#REF!,6,FALSE),2)),"")</f>
        <v/>
      </c>
      <c r="AD167" s="142" t="str">
        <f t="shared" ref="AD167" si="2092">IF($A167="","",IF(AC167="","",IF($K$4="Media aritmética",(AC167&lt;=$B167)*($G$5/$B$5)+(AC167&gt;$B167)*0,IF(ROUND(AVERAGE($C167,$E167,$G167,$I167,$K167,$M167,$O167,$Q167,$S167,$U167,$W167,$Y167,$AA167,$AC167,$AE167),2)-$B167/2&lt;=AC167,IF(ROUND(AVERAGE($C167,$E167,$G167,$I167,$K167,$M167,$O167,$Q167,$S167,$U167,$W167,$Y167,$AA167,$AC167,$AE167),2)+$B167/2&gt;AC167,($G$5/$B$5),0),0))))</f>
        <v/>
      </c>
      <c r="AE167" s="141" t="str">
        <f>IF($AE$8="Habilitado",IF($A167="","",ROUND(VLOOKUP($A167,'Presupuesto Consolidado'!#REF!,6,FALSE),2)),"")</f>
        <v/>
      </c>
      <c r="AF167" s="142" t="str">
        <f t="shared" ref="AF167" si="2093">IF($A167="","",IF(AE167="","",IF($K$4="Media aritmética",(AE167&lt;=$B167)*($G$5/$B$5)+(AE167&gt;$B167)*0,IF(ROUND(AVERAGE($C167,$E167,$G167,$I167,$K167,$M167,$O167,$Q167,$S167,$U167,$W167,$Y167,$AA167,$AC167,$AE167),2)-$B167/2&lt;=AE167,IF(ROUND(AVERAGE($C167,$E167,$G167,$I167,$K167,$M167,$O167,$Q167,$S167,$U167,$W167,$Y167,$AA167,$AC167,$AE167),2)+$B167/2&gt;AE167,($G$5/$B$5),0),0))))</f>
        <v/>
      </c>
    </row>
    <row r="168" spans="1:32" s="135" customFormat="1" ht="21" customHeight="1">
      <c r="A168" s="132" t="str">
        <f>+'Presupuesto Consolidado'!A195</f>
        <v>12.5.12</v>
      </c>
      <c r="B168" s="140">
        <f t="shared" ref="B168" si="2094">IF(A168="","",IF($K$4="Media aritmética",ROUND(AVERAGE(C168,E168,G168,I168,K168,M168,O168,Q168,S168,U168,W168,Y168,AA168,AC168,AE168),2),ROUND(_xlfn.STDEV.P(C168,E168,G168,I168,K168,M168,O168,Q168,S168,U168,W168,Y168,AA168,AC168,AE168),2)))</f>
        <v>414000</v>
      </c>
      <c r="C168" s="141">
        <f>IF($C$8="Habilitado",IF($A168="","",ROUND(VLOOKUP($A168,'Presupuesto Consolidado'!$A$9:$F$600,6,FALSE),2)),"")</f>
        <v>414000</v>
      </c>
      <c r="D168" s="142">
        <f t="shared" ref="D168" si="2095">IF($A168="","",IF(C168="","",IF($K$4="Media aritmética",(C168&lt;=$B168)*($G$5/$B$5)+(C168&gt;$B168)*0,IF(ROUND(AVERAGE($C168,$E168,$G168,$I168,$K168,$M168,$O168,$Q168,$S168,$U168,$W168,$Y168,$AA168,$AC168,$AE168),2)-$B168/2&lt;=C168,IF(ROUND(AVERAGE($C168,$E168,$G168,$I168,$K168,$M168,$O168,$Q168,$S168,$U168,$W168,$Y168,$AA168,$AC168,$AE168),2)+$B168/2&gt;C168,($G$5/$B$5),0),0))))</f>
        <v>0.45714285714285713</v>
      </c>
      <c r="E168" s="141" t="str">
        <f>IF($E$8="Habilitado",IF($A168="","",ROUND(VLOOKUP($A168,'Presupuesto Consolidado'!$I$9:$N$600,6,FALSE),2)),"")</f>
        <v/>
      </c>
      <c r="F168" s="142" t="str">
        <f t="shared" ref="F168" si="2096">IF($A168="","",IF(E168="","",IF($K$4="Media aritmética",(E168&lt;=$B168)*($G$5/$B$5)+(E168&gt;$B168)*0,IF(ROUND(AVERAGE($C168,$E168,$G168,$I168,$K168,$M168,$O168,$Q168,$S168,$U168,$W168,$Y168,$AA168,$AC168,$AE168),2)-$B168/2&lt;=E168,IF(ROUND(AVERAGE($C168,$E168,$G168,$I168,$K168,$M168,$O168,$Q168,$S168,$U168,$W168,$Y168,$AA168,$AC168,$AE168),2)+$B168/2&gt;E168,($G$5/$B$5),0),0))))</f>
        <v/>
      </c>
      <c r="G168" s="141" t="str">
        <f>IF($G$8="Habilitado",IF($A168="","",ROUND(VLOOKUP($A168,'Presupuesto Consolidado'!$Q$9:$V$600,6,FALSE),2)),"")</f>
        <v/>
      </c>
      <c r="H168" s="142" t="str">
        <f t="shared" ref="H168" si="2097">IF($A168="","",IF(G168="","",IF($K$4="Media aritmética",(G168&lt;=$B168)*($G$5/$B$5)+(G168&gt;$B168)*0,IF(ROUND(AVERAGE($C168,$E168,$G168,$I168,$K168,$M168,$O168,$Q168,$S168,$U168,$W168,$Y168,$AA168,$AC168,$AE168),2)-$B168/2&lt;=G168,IF(ROUND(AVERAGE($C168,$E168,$G168,$I168,$K168,$M168,$O168,$Q168,$S168,$U168,$W168,$Y168,$AA168,$AC168,$AE168),2)+$B168/2&gt;G168,($G$5/$B$5),0),0))))</f>
        <v/>
      </c>
      <c r="I168" s="141" t="str">
        <f>IF($I$8="Habilitado",IF($A168="","",ROUND(VLOOKUP($A168,'Presupuesto Consolidado'!$Y$9:$AD$600,6,FALSE),2)),"")</f>
        <v/>
      </c>
      <c r="J168" s="142" t="str">
        <f t="shared" ref="J168" si="2098">IF($A168="","",IF(I168="","",IF($K$4="Media aritmética",(I168&lt;=$B168)*($G$5/$B$5)+(I168&gt;$B168)*0,IF(ROUND(AVERAGE($C168,$E168,$G168,$I168,$K168,$M168,$O168,$Q168,$S168,$U168,$W168,$Y168,$AA168,$AC168,$AE168),2)-$B168/2&lt;=I168,IF(ROUND(AVERAGE($C168,$E168,$G168,$I168,$K168,$M168,$O168,$Q168,$S168,$U168,$W168,$Y168,$AA168,$AC168,$AE168),2)+$B168/2&gt;I168,($G$5/$B$5),0),0))))</f>
        <v/>
      </c>
      <c r="K168" s="141" t="str">
        <f>IF($K$8="Habilitado",IF($A168="","",ROUND(VLOOKUP($A168,'Presupuesto Consolidado'!#REF!,6,FALSE),2)),"")</f>
        <v/>
      </c>
      <c r="L168" s="142" t="str">
        <f t="shared" ref="L168" si="2099">IF($A168="","",IF(K168="","",IF($K$4="Media aritmética",(K168&lt;=$B168)*($G$5/$B$5)+(K168&gt;$B168)*0,IF(ROUND(AVERAGE($C168,$E168,$G168,$I168,$K168,$M168,$O168,$Q168,$S168,$U168,$W168,$Y168,$AA168,$AC168,$AE168),2)-$B168/2&lt;=K168,IF(ROUND(AVERAGE($C168,$E168,$G168,$I168,$K168,$M168,$O168,$Q168,$S168,$U168,$W168,$Y168,$AA168,$AC168,$AE168),2)+$B168/2&gt;K168,($G$5/$B$5),0),0))))</f>
        <v/>
      </c>
      <c r="M168" s="141" t="str">
        <f>IF($M$8="Habilitado",IF($A168="","",ROUND(VLOOKUP($A168,'Presupuesto Consolidado'!#REF!,6,FALSE),2)),"")</f>
        <v/>
      </c>
      <c r="N168" s="142" t="str">
        <f t="shared" ref="N168" si="2100">IF($A168="","",IF(M168="","",IF($K$4="Media aritmética",(M168&lt;=$B168)*($G$5/$B$5)+(M168&gt;$B168)*0,IF(ROUND(AVERAGE($C168,$E168,$G168,$I168,$K168,$M168,$O168,$Q168,$S168,$U168,$W168,$Y168,$AA168,$AC168,$AE168),2)-$B168/2&lt;=M168,IF(ROUND(AVERAGE($C168,$E168,$G168,$I168,$K168,$M168,$O168,$Q168,$S168,$U168,$W168,$Y168,$AA168,$AC168,$AE168),2)+$B168/2&gt;M168,($G$5/$B$5),0),0))))</f>
        <v/>
      </c>
      <c r="O168" s="141" t="str">
        <f>IF($O$8="Habilitado",IF($A168="","",ROUND(VLOOKUP($A168,'Presupuesto Consolidado'!#REF!,6,FALSE),2)),"")</f>
        <v/>
      </c>
      <c r="P168" s="142" t="str">
        <f t="shared" ref="P168" si="2101">IF($A168="","",IF(O168="","",IF($K$4="Media aritmética",(O168&lt;=$B168)*($G$5/$B$5)+(O168&gt;$B168)*0,IF(ROUND(AVERAGE($C168,$E168,$G168,$I168,$K168,$M168,$O168,$Q168,$S168,$U168,$W168,$Y168,$AA168,$AC168,$AE168),2)-$B168/2&lt;=O168,IF(ROUND(AVERAGE($C168,$E168,$G168,$I168,$K168,$M168,$O168,$Q168,$S168,$U168,$W168,$Y168,$AA168,$AC168,$AE168),2)+$B168/2&gt;O168,($G$5/$B$5),0),0))))</f>
        <v/>
      </c>
      <c r="Q168" s="141" t="str">
        <f>IF($Q$8="Habilitado",IF($A168="","",ROUND(VLOOKUP($A168,'Presupuesto Consolidado'!#REF!,6,FALSE),2)),"")</f>
        <v/>
      </c>
      <c r="R168" s="142" t="str">
        <f t="shared" ref="R168" si="2102">IF($A168="","",IF(Q168="","",IF($K$4="Media aritmética",(Q168&lt;=$B168)*($G$5/$B$5)+(Q168&gt;$B168)*0,IF(ROUND(AVERAGE($C168,$E168,$G168,$I168,$K168,$M168,$O168,$Q168,$S168,$U168,$W168,$Y168,$AA168,$AC168,$AE168),2)-$B168/2&lt;=Q168,IF(ROUND(AVERAGE($C168,$E168,$G168,$I168,$K168,$M168,$O168,$Q168,$S168,$U168,$W168,$Y168,$AA168,$AC168,$AE168),2)+$B168/2&gt;Q168,($G$5/$B$5),0),0))))</f>
        <v/>
      </c>
      <c r="S168" s="141" t="str">
        <f>IF($S$8="Habilitado",IF($A168="","",ROUND(VLOOKUP($A168,'Presupuesto Consolidado'!#REF!,6,FALSE),2)),"")</f>
        <v/>
      </c>
      <c r="T168" s="142" t="str">
        <f t="shared" ref="T168" si="2103">IF($A168="","",IF(S168="","",IF($K$4="Media aritmética",(S168&lt;=$B168)*($G$5/$B$5)+(S168&gt;$B168)*0,IF(ROUND(AVERAGE($C168,$E168,$G168,$I168,$K168,$M168,$O168,$Q168,$S168,$U168,$W168,$Y168,$AA168,$AC168,$AE168),2)-$B168/2&lt;=S168,IF(ROUND(AVERAGE($C168,$E168,$G168,$I168,$K168,$M168,$O168,$Q168,$S168,$U168,$W168,$Y168,$AA168,$AC168,$AE168),2)+$B168/2&gt;S168,($G$5/$B$5),0),0))))</f>
        <v/>
      </c>
      <c r="U168" s="141" t="str">
        <f>IF($U$8="Habilitado",IF($A168="","",ROUND(VLOOKUP($A168,'Presupuesto Consolidado'!#REF!,6,FALSE),2)),"")</f>
        <v/>
      </c>
      <c r="V168" s="142" t="str">
        <f t="shared" ref="V168" si="2104">IF($A168="","",IF(U168="","",IF($K$4="Media aritmética",(U168&lt;=$B168)*($G$5/$B$5)+(U168&gt;$B168)*0,IF(ROUND(AVERAGE($C168,$E168,$G168,$I168,$K168,$M168,$O168,$Q168,$S168,$U168,$W168,$Y168,$AA168,$AC168,$AE168),2)-$B168/2&lt;=U168,IF(ROUND(AVERAGE($C168,$E168,$G168,$I168,$K168,$M168,$O168,$Q168,$S168,$U168,$W168,$Y168,$AA168,$AC168,$AE168),2)+$B168/2&gt;U168,($G$5/$B$5),0),0))))</f>
        <v/>
      </c>
      <c r="W168" s="141" t="str">
        <f>IF($W$8="Habilitado",IF($A168="","",ROUND(VLOOKUP($A168,'Presupuesto Consolidado'!#REF!,6,FALSE),2)),"")</f>
        <v/>
      </c>
      <c r="X168" s="142" t="str">
        <f t="shared" ref="X168" si="2105">IF($A168="","",IF(W168="","",IF($K$4="Media aritmética",(W168&lt;=$B168)*($G$5/$B$5)+(W168&gt;$B168)*0,IF(ROUND(AVERAGE($C168,$E168,$G168,$I168,$K168,$M168,$O168,$Q168,$S168,$U168,$W168,$Y168,$AA168,$AC168,$AE168),2)-$B168/2&lt;=W168,IF(ROUND(AVERAGE($C168,$E168,$G168,$I168,$K168,$M168,$O168,$Q168,$S168,$U168,$W168,$Y168,$AA168,$AC168,$AE168),2)+$B168/2&gt;W168,($G$5/$B$5),0),0))))</f>
        <v/>
      </c>
      <c r="Y168" s="141" t="str">
        <f>IF($Y$8="Habilitado",IF($A168="","",ROUND(VLOOKUP($A168,'Presupuesto Consolidado'!#REF!,6,FALSE),2)),"")</f>
        <v/>
      </c>
      <c r="Z168" s="142" t="str">
        <f t="shared" ref="Z168" si="2106">IF($A168="","",IF(Y168="","",IF($K$4="Media aritmética",(Y168&lt;=$B168)*($G$5/$B$5)+(Y168&gt;$B168)*0,IF(ROUND(AVERAGE($C168,$E168,$G168,$I168,$K168,$M168,$O168,$Q168,$S168,$U168,$W168,$Y168,$AA168,$AC168,$AE168),2)-$B168/2&lt;=Y168,IF(ROUND(AVERAGE($C168,$E168,$G168,$I168,$K168,$M168,$O168,$Q168,$S168,$U168,$W168,$Y168,$AA168,$AC168,$AE168),2)+$B168/2&gt;Y168,($G$5/$B$5),0),0))))</f>
        <v/>
      </c>
      <c r="AA168" s="141" t="str">
        <f>IF($AA$8="Habilitado",IF($A168="","",ROUND(VLOOKUP($A168,'Presupuesto Consolidado'!#REF!,6,FALSE),2)),"")</f>
        <v/>
      </c>
      <c r="AB168" s="142" t="str">
        <f t="shared" ref="AB168" si="2107">IF($A168="","",IF(AA168="","",IF($K$4="Media aritmética",(AA168&lt;=$B168)*($G$5/$B$5)+(AA168&gt;$B168)*0,IF(ROUND(AVERAGE($C168,$E168,$G168,$I168,$K168,$M168,$O168,$Q168,$S168,$U168,$W168,$Y168,$AA168,$AC168,$AE168),2)-$B168/2&lt;=AA168,IF(ROUND(AVERAGE($C168,$E168,$G168,$I168,$K168,$M168,$O168,$Q168,$S168,$U168,$W168,$Y168,$AA168,$AC168,$AE168),2)+$B168/2&gt;AA168,($G$5/$B$5),0),0))))</f>
        <v/>
      </c>
      <c r="AC168" s="141" t="str">
        <f>IF($AC$8="Habilitado",IF($A168="","",ROUND(VLOOKUP($A168,'Presupuesto Consolidado'!#REF!,6,FALSE),2)),"")</f>
        <v/>
      </c>
      <c r="AD168" s="142" t="str">
        <f t="shared" ref="AD168" si="2108">IF($A168="","",IF(AC168="","",IF($K$4="Media aritmética",(AC168&lt;=$B168)*($G$5/$B$5)+(AC168&gt;$B168)*0,IF(ROUND(AVERAGE($C168,$E168,$G168,$I168,$K168,$M168,$O168,$Q168,$S168,$U168,$W168,$Y168,$AA168,$AC168,$AE168),2)-$B168/2&lt;=AC168,IF(ROUND(AVERAGE($C168,$E168,$G168,$I168,$K168,$M168,$O168,$Q168,$S168,$U168,$W168,$Y168,$AA168,$AC168,$AE168),2)+$B168/2&gt;AC168,($G$5/$B$5),0),0))))</f>
        <v/>
      </c>
      <c r="AE168" s="141" t="str">
        <f>IF($AE$8="Habilitado",IF($A168="","",ROUND(VLOOKUP($A168,'Presupuesto Consolidado'!#REF!,6,FALSE),2)),"")</f>
        <v/>
      </c>
      <c r="AF168" s="142" t="str">
        <f t="shared" ref="AF168" si="2109">IF($A168="","",IF(AE168="","",IF($K$4="Media aritmética",(AE168&lt;=$B168)*($G$5/$B$5)+(AE168&gt;$B168)*0,IF(ROUND(AVERAGE($C168,$E168,$G168,$I168,$K168,$M168,$O168,$Q168,$S168,$U168,$W168,$Y168,$AA168,$AC168,$AE168),2)-$B168/2&lt;=AE168,IF(ROUND(AVERAGE($C168,$E168,$G168,$I168,$K168,$M168,$O168,$Q168,$S168,$U168,$W168,$Y168,$AA168,$AC168,$AE168),2)+$B168/2&gt;AE168,($G$5/$B$5),0),0))))</f>
        <v/>
      </c>
    </row>
    <row r="169" spans="1:32" s="135" customFormat="1" ht="21" customHeight="1">
      <c r="A169" s="132" t="str">
        <f>+'Presupuesto Consolidado'!A196</f>
        <v>12.5.13</v>
      </c>
      <c r="B169" s="140">
        <f t="shared" ref="B169" si="2110">IF(A169="","",IF($K$4="Media aritmética",ROUND(AVERAGE(C169,E169,G169,I169,K169,M169,O169,Q169,S169,U169,W169,Y169,AA169,AC169,AE169),2),ROUND(_xlfn.STDEV.P(C169,E169,G169,I169,K169,M169,O169,Q169,S169,U169,W169,Y169,AA169,AC169,AE169),2)))</f>
        <v>517500</v>
      </c>
      <c r="C169" s="141">
        <f>IF($C$8="Habilitado",IF($A169="","",ROUND(VLOOKUP($A169,'Presupuesto Consolidado'!$A$9:$F$600,6,FALSE),2)),"")</f>
        <v>517500</v>
      </c>
      <c r="D169" s="142">
        <f t="shared" ref="D169" si="2111">IF($A169="","",IF(C169="","",IF($K$4="Media aritmética",(C169&lt;=$B169)*($G$5/$B$5)+(C169&gt;$B169)*0,IF(ROUND(AVERAGE($C169,$E169,$G169,$I169,$K169,$M169,$O169,$Q169,$S169,$U169,$W169,$Y169,$AA169,$AC169,$AE169),2)-$B169/2&lt;=C169,IF(ROUND(AVERAGE($C169,$E169,$G169,$I169,$K169,$M169,$O169,$Q169,$S169,$U169,$W169,$Y169,$AA169,$AC169,$AE169),2)+$B169/2&gt;C169,($G$5/$B$5),0),0))))</f>
        <v>0.45714285714285713</v>
      </c>
      <c r="E169" s="141" t="str">
        <f>IF($E$8="Habilitado",IF($A169="","",ROUND(VLOOKUP($A169,'Presupuesto Consolidado'!$I$9:$N$600,6,FALSE),2)),"")</f>
        <v/>
      </c>
      <c r="F169" s="142" t="str">
        <f t="shared" ref="F169" si="2112">IF($A169="","",IF(E169="","",IF($K$4="Media aritmética",(E169&lt;=$B169)*($G$5/$B$5)+(E169&gt;$B169)*0,IF(ROUND(AVERAGE($C169,$E169,$G169,$I169,$K169,$M169,$O169,$Q169,$S169,$U169,$W169,$Y169,$AA169,$AC169,$AE169),2)-$B169/2&lt;=E169,IF(ROUND(AVERAGE($C169,$E169,$G169,$I169,$K169,$M169,$O169,$Q169,$S169,$U169,$W169,$Y169,$AA169,$AC169,$AE169),2)+$B169/2&gt;E169,($G$5/$B$5),0),0))))</f>
        <v/>
      </c>
      <c r="G169" s="141" t="str">
        <f>IF($G$8="Habilitado",IF($A169="","",ROUND(VLOOKUP($A169,'Presupuesto Consolidado'!$Q$9:$V$600,6,FALSE),2)),"")</f>
        <v/>
      </c>
      <c r="H169" s="142" t="str">
        <f t="shared" ref="H169" si="2113">IF($A169="","",IF(G169="","",IF($K$4="Media aritmética",(G169&lt;=$B169)*($G$5/$B$5)+(G169&gt;$B169)*0,IF(ROUND(AVERAGE($C169,$E169,$G169,$I169,$K169,$M169,$O169,$Q169,$S169,$U169,$W169,$Y169,$AA169,$AC169,$AE169),2)-$B169/2&lt;=G169,IF(ROUND(AVERAGE($C169,$E169,$G169,$I169,$K169,$M169,$O169,$Q169,$S169,$U169,$W169,$Y169,$AA169,$AC169,$AE169),2)+$B169/2&gt;G169,($G$5/$B$5),0),0))))</f>
        <v/>
      </c>
      <c r="I169" s="141" t="str">
        <f>IF($I$8="Habilitado",IF($A169="","",ROUND(VLOOKUP($A169,'Presupuesto Consolidado'!$Y$9:$AD$600,6,FALSE),2)),"")</f>
        <v/>
      </c>
      <c r="J169" s="142" t="str">
        <f t="shared" ref="J169" si="2114">IF($A169="","",IF(I169="","",IF($K$4="Media aritmética",(I169&lt;=$B169)*($G$5/$B$5)+(I169&gt;$B169)*0,IF(ROUND(AVERAGE($C169,$E169,$G169,$I169,$K169,$M169,$O169,$Q169,$S169,$U169,$W169,$Y169,$AA169,$AC169,$AE169),2)-$B169/2&lt;=I169,IF(ROUND(AVERAGE($C169,$E169,$G169,$I169,$K169,$M169,$O169,$Q169,$S169,$U169,$W169,$Y169,$AA169,$AC169,$AE169),2)+$B169/2&gt;I169,($G$5/$B$5),0),0))))</f>
        <v/>
      </c>
      <c r="K169" s="141" t="str">
        <f>IF($K$8="Habilitado",IF($A169="","",ROUND(VLOOKUP($A169,'Presupuesto Consolidado'!#REF!,6,FALSE),2)),"")</f>
        <v/>
      </c>
      <c r="L169" s="142" t="str">
        <f t="shared" ref="L169" si="2115">IF($A169="","",IF(K169="","",IF($K$4="Media aritmética",(K169&lt;=$B169)*($G$5/$B$5)+(K169&gt;$B169)*0,IF(ROUND(AVERAGE($C169,$E169,$G169,$I169,$K169,$M169,$O169,$Q169,$S169,$U169,$W169,$Y169,$AA169,$AC169,$AE169),2)-$B169/2&lt;=K169,IF(ROUND(AVERAGE($C169,$E169,$G169,$I169,$K169,$M169,$O169,$Q169,$S169,$U169,$W169,$Y169,$AA169,$AC169,$AE169),2)+$B169/2&gt;K169,($G$5/$B$5),0),0))))</f>
        <v/>
      </c>
      <c r="M169" s="141" t="str">
        <f>IF($M$8="Habilitado",IF($A169="","",ROUND(VLOOKUP($A169,'Presupuesto Consolidado'!#REF!,6,FALSE),2)),"")</f>
        <v/>
      </c>
      <c r="N169" s="142" t="str">
        <f t="shared" ref="N169" si="2116">IF($A169="","",IF(M169="","",IF($K$4="Media aritmética",(M169&lt;=$B169)*($G$5/$B$5)+(M169&gt;$B169)*0,IF(ROUND(AVERAGE($C169,$E169,$G169,$I169,$K169,$M169,$O169,$Q169,$S169,$U169,$W169,$Y169,$AA169,$AC169,$AE169),2)-$B169/2&lt;=M169,IF(ROUND(AVERAGE($C169,$E169,$G169,$I169,$K169,$M169,$O169,$Q169,$S169,$U169,$W169,$Y169,$AA169,$AC169,$AE169),2)+$B169/2&gt;M169,($G$5/$B$5),0),0))))</f>
        <v/>
      </c>
      <c r="O169" s="141" t="str">
        <f>IF($O$8="Habilitado",IF($A169="","",ROUND(VLOOKUP($A169,'Presupuesto Consolidado'!#REF!,6,FALSE),2)),"")</f>
        <v/>
      </c>
      <c r="P169" s="142" t="str">
        <f t="shared" ref="P169" si="2117">IF($A169="","",IF(O169="","",IF($K$4="Media aritmética",(O169&lt;=$B169)*($G$5/$B$5)+(O169&gt;$B169)*0,IF(ROUND(AVERAGE($C169,$E169,$G169,$I169,$K169,$M169,$O169,$Q169,$S169,$U169,$W169,$Y169,$AA169,$AC169,$AE169),2)-$B169/2&lt;=O169,IF(ROUND(AVERAGE($C169,$E169,$G169,$I169,$K169,$M169,$O169,$Q169,$S169,$U169,$W169,$Y169,$AA169,$AC169,$AE169),2)+$B169/2&gt;O169,($G$5/$B$5),0),0))))</f>
        <v/>
      </c>
      <c r="Q169" s="141" t="str">
        <f>IF($Q$8="Habilitado",IF($A169="","",ROUND(VLOOKUP($A169,'Presupuesto Consolidado'!#REF!,6,FALSE),2)),"")</f>
        <v/>
      </c>
      <c r="R169" s="142" t="str">
        <f t="shared" ref="R169" si="2118">IF($A169="","",IF(Q169="","",IF($K$4="Media aritmética",(Q169&lt;=$B169)*($G$5/$B$5)+(Q169&gt;$B169)*0,IF(ROUND(AVERAGE($C169,$E169,$G169,$I169,$K169,$M169,$O169,$Q169,$S169,$U169,$W169,$Y169,$AA169,$AC169,$AE169),2)-$B169/2&lt;=Q169,IF(ROUND(AVERAGE($C169,$E169,$G169,$I169,$K169,$M169,$O169,$Q169,$S169,$U169,$W169,$Y169,$AA169,$AC169,$AE169),2)+$B169/2&gt;Q169,($G$5/$B$5),0),0))))</f>
        <v/>
      </c>
      <c r="S169" s="141" t="str">
        <f>IF($S$8="Habilitado",IF($A169="","",ROUND(VLOOKUP($A169,'Presupuesto Consolidado'!#REF!,6,FALSE),2)),"")</f>
        <v/>
      </c>
      <c r="T169" s="142" t="str">
        <f t="shared" ref="T169" si="2119">IF($A169="","",IF(S169="","",IF($K$4="Media aritmética",(S169&lt;=$B169)*($G$5/$B$5)+(S169&gt;$B169)*0,IF(ROUND(AVERAGE($C169,$E169,$G169,$I169,$K169,$M169,$O169,$Q169,$S169,$U169,$W169,$Y169,$AA169,$AC169,$AE169),2)-$B169/2&lt;=S169,IF(ROUND(AVERAGE($C169,$E169,$G169,$I169,$K169,$M169,$O169,$Q169,$S169,$U169,$W169,$Y169,$AA169,$AC169,$AE169),2)+$B169/2&gt;S169,($G$5/$B$5),0),0))))</f>
        <v/>
      </c>
      <c r="U169" s="141" t="str">
        <f>IF($U$8="Habilitado",IF($A169="","",ROUND(VLOOKUP($A169,'Presupuesto Consolidado'!#REF!,6,FALSE),2)),"")</f>
        <v/>
      </c>
      <c r="V169" s="142" t="str">
        <f t="shared" ref="V169" si="2120">IF($A169="","",IF(U169="","",IF($K$4="Media aritmética",(U169&lt;=$B169)*($G$5/$B$5)+(U169&gt;$B169)*0,IF(ROUND(AVERAGE($C169,$E169,$G169,$I169,$K169,$M169,$O169,$Q169,$S169,$U169,$W169,$Y169,$AA169,$AC169,$AE169),2)-$B169/2&lt;=U169,IF(ROUND(AVERAGE($C169,$E169,$G169,$I169,$K169,$M169,$O169,$Q169,$S169,$U169,$W169,$Y169,$AA169,$AC169,$AE169),2)+$B169/2&gt;U169,($G$5/$B$5),0),0))))</f>
        <v/>
      </c>
      <c r="W169" s="141" t="str">
        <f>IF($W$8="Habilitado",IF($A169="","",ROUND(VLOOKUP($A169,'Presupuesto Consolidado'!#REF!,6,FALSE),2)),"")</f>
        <v/>
      </c>
      <c r="X169" s="142" t="str">
        <f t="shared" ref="X169" si="2121">IF($A169="","",IF(W169="","",IF($K$4="Media aritmética",(W169&lt;=$B169)*($G$5/$B$5)+(W169&gt;$B169)*0,IF(ROUND(AVERAGE($C169,$E169,$G169,$I169,$K169,$M169,$O169,$Q169,$S169,$U169,$W169,$Y169,$AA169,$AC169,$AE169),2)-$B169/2&lt;=W169,IF(ROUND(AVERAGE($C169,$E169,$G169,$I169,$K169,$M169,$O169,$Q169,$S169,$U169,$W169,$Y169,$AA169,$AC169,$AE169),2)+$B169/2&gt;W169,($G$5/$B$5),0),0))))</f>
        <v/>
      </c>
      <c r="Y169" s="141" t="str">
        <f>IF($Y$8="Habilitado",IF($A169="","",ROUND(VLOOKUP($A169,'Presupuesto Consolidado'!#REF!,6,FALSE),2)),"")</f>
        <v/>
      </c>
      <c r="Z169" s="142" t="str">
        <f t="shared" ref="Z169" si="2122">IF($A169="","",IF(Y169="","",IF($K$4="Media aritmética",(Y169&lt;=$B169)*($G$5/$B$5)+(Y169&gt;$B169)*0,IF(ROUND(AVERAGE($C169,$E169,$G169,$I169,$K169,$M169,$O169,$Q169,$S169,$U169,$W169,$Y169,$AA169,$AC169,$AE169),2)-$B169/2&lt;=Y169,IF(ROUND(AVERAGE($C169,$E169,$G169,$I169,$K169,$M169,$O169,$Q169,$S169,$U169,$W169,$Y169,$AA169,$AC169,$AE169),2)+$B169/2&gt;Y169,($G$5/$B$5),0),0))))</f>
        <v/>
      </c>
      <c r="AA169" s="141" t="str">
        <f>IF($AA$8="Habilitado",IF($A169="","",ROUND(VLOOKUP($A169,'Presupuesto Consolidado'!#REF!,6,FALSE),2)),"")</f>
        <v/>
      </c>
      <c r="AB169" s="142" t="str">
        <f t="shared" ref="AB169" si="2123">IF($A169="","",IF(AA169="","",IF($K$4="Media aritmética",(AA169&lt;=$B169)*($G$5/$B$5)+(AA169&gt;$B169)*0,IF(ROUND(AVERAGE($C169,$E169,$G169,$I169,$K169,$M169,$O169,$Q169,$S169,$U169,$W169,$Y169,$AA169,$AC169,$AE169),2)-$B169/2&lt;=AA169,IF(ROUND(AVERAGE($C169,$E169,$G169,$I169,$K169,$M169,$O169,$Q169,$S169,$U169,$W169,$Y169,$AA169,$AC169,$AE169),2)+$B169/2&gt;AA169,($G$5/$B$5),0),0))))</f>
        <v/>
      </c>
      <c r="AC169" s="141" t="str">
        <f>IF($AC$8="Habilitado",IF($A169="","",ROUND(VLOOKUP($A169,'Presupuesto Consolidado'!#REF!,6,FALSE),2)),"")</f>
        <v/>
      </c>
      <c r="AD169" s="142" t="str">
        <f t="shared" ref="AD169" si="2124">IF($A169="","",IF(AC169="","",IF($K$4="Media aritmética",(AC169&lt;=$B169)*($G$5/$B$5)+(AC169&gt;$B169)*0,IF(ROUND(AVERAGE($C169,$E169,$G169,$I169,$K169,$M169,$O169,$Q169,$S169,$U169,$W169,$Y169,$AA169,$AC169,$AE169),2)-$B169/2&lt;=AC169,IF(ROUND(AVERAGE($C169,$E169,$G169,$I169,$K169,$M169,$O169,$Q169,$S169,$U169,$W169,$Y169,$AA169,$AC169,$AE169),2)+$B169/2&gt;AC169,($G$5/$B$5),0),0))))</f>
        <v/>
      </c>
      <c r="AE169" s="141" t="str">
        <f>IF($AE$8="Habilitado",IF($A169="","",ROUND(VLOOKUP($A169,'Presupuesto Consolidado'!#REF!,6,FALSE),2)),"")</f>
        <v/>
      </c>
      <c r="AF169" s="142" t="str">
        <f t="shared" ref="AF169" si="2125">IF($A169="","",IF(AE169="","",IF($K$4="Media aritmética",(AE169&lt;=$B169)*($G$5/$B$5)+(AE169&gt;$B169)*0,IF(ROUND(AVERAGE($C169,$E169,$G169,$I169,$K169,$M169,$O169,$Q169,$S169,$U169,$W169,$Y169,$AA169,$AC169,$AE169),2)-$B169/2&lt;=AE169,IF(ROUND(AVERAGE($C169,$E169,$G169,$I169,$K169,$M169,$O169,$Q169,$S169,$U169,$W169,$Y169,$AA169,$AC169,$AE169),2)+$B169/2&gt;AE169,($G$5/$B$5),0),0))))</f>
        <v/>
      </c>
    </row>
    <row r="170" spans="1:32" s="135" customFormat="1" ht="21" customHeight="1">
      <c r="A170" s="132" t="str">
        <f>+'Presupuesto Consolidado'!A197</f>
        <v>12.5.14</v>
      </c>
      <c r="B170" s="140">
        <f t="shared" ref="B170" si="2126">IF(A170="","",IF($K$4="Media aritmética",ROUND(AVERAGE(C170,E170,G170,I170,K170,M170,O170,Q170,S170,U170,W170,Y170,AA170,AC170,AE170),2),ROUND(_xlfn.STDEV.P(C170,E170,G170,I170,K170,M170,O170,Q170,S170,U170,W170,Y170,AA170,AC170,AE170),2)))</f>
        <v>776250</v>
      </c>
      <c r="C170" s="141">
        <f>IF($C$8="Habilitado",IF($A170="","",ROUND(VLOOKUP($A170,'Presupuesto Consolidado'!$A$9:$F$600,6,FALSE),2)),"")</f>
        <v>776250</v>
      </c>
      <c r="D170" s="142">
        <f t="shared" ref="D170" si="2127">IF($A170="","",IF(C170="","",IF($K$4="Media aritmética",(C170&lt;=$B170)*($G$5/$B$5)+(C170&gt;$B170)*0,IF(ROUND(AVERAGE($C170,$E170,$G170,$I170,$K170,$M170,$O170,$Q170,$S170,$U170,$W170,$Y170,$AA170,$AC170,$AE170),2)-$B170/2&lt;=C170,IF(ROUND(AVERAGE($C170,$E170,$G170,$I170,$K170,$M170,$O170,$Q170,$S170,$U170,$W170,$Y170,$AA170,$AC170,$AE170),2)+$B170/2&gt;C170,($G$5/$B$5),0),0))))</f>
        <v>0.45714285714285713</v>
      </c>
      <c r="E170" s="141" t="str">
        <f>IF($E$8="Habilitado",IF($A170="","",ROUND(VLOOKUP($A170,'Presupuesto Consolidado'!$I$9:$N$600,6,FALSE),2)),"")</f>
        <v/>
      </c>
      <c r="F170" s="142" t="str">
        <f t="shared" ref="F170" si="2128">IF($A170="","",IF(E170="","",IF($K$4="Media aritmética",(E170&lt;=$B170)*($G$5/$B$5)+(E170&gt;$B170)*0,IF(ROUND(AVERAGE($C170,$E170,$G170,$I170,$K170,$M170,$O170,$Q170,$S170,$U170,$W170,$Y170,$AA170,$AC170,$AE170),2)-$B170/2&lt;=E170,IF(ROUND(AVERAGE($C170,$E170,$G170,$I170,$K170,$M170,$O170,$Q170,$S170,$U170,$W170,$Y170,$AA170,$AC170,$AE170),2)+$B170/2&gt;E170,($G$5/$B$5),0),0))))</f>
        <v/>
      </c>
      <c r="G170" s="141" t="str">
        <f>IF($G$8="Habilitado",IF($A170="","",ROUND(VLOOKUP($A170,'Presupuesto Consolidado'!$Q$9:$V$600,6,FALSE),2)),"")</f>
        <v/>
      </c>
      <c r="H170" s="142" t="str">
        <f t="shared" ref="H170" si="2129">IF($A170="","",IF(G170="","",IF($K$4="Media aritmética",(G170&lt;=$B170)*($G$5/$B$5)+(G170&gt;$B170)*0,IF(ROUND(AVERAGE($C170,$E170,$G170,$I170,$K170,$M170,$O170,$Q170,$S170,$U170,$W170,$Y170,$AA170,$AC170,$AE170),2)-$B170/2&lt;=G170,IF(ROUND(AVERAGE($C170,$E170,$G170,$I170,$K170,$M170,$O170,$Q170,$S170,$U170,$W170,$Y170,$AA170,$AC170,$AE170),2)+$B170/2&gt;G170,($G$5/$B$5),0),0))))</f>
        <v/>
      </c>
      <c r="I170" s="141" t="str">
        <f>IF($I$8="Habilitado",IF($A170="","",ROUND(VLOOKUP($A170,'Presupuesto Consolidado'!$Y$9:$AD$600,6,FALSE),2)),"")</f>
        <v/>
      </c>
      <c r="J170" s="142" t="str">
        <f t="shared" ref="J170" si="2130">IF($A170="","",IF(I170="","",IF($K$4="Media aritmética",(I170&lt;=$B170)*($G$5/$B$5)+(I170&gt;$B170)*0,IF(ROUND(AVERAGE($C170,$E170,$G170,$I170,$K170,$M170,$O170,$Q170,$S170,$U170,$W170,$Y170,$AA170,$AC170,$AE170),2)-$B170/2&lt;=I170,IF(ROUND(AVERAGE($C170,$E170,$G170,$I170,$K170,$M170,$O170,$Q170,$S170,$U170,$W170,$Y170,$AA170,$AC170,$AE170),2)+$B170/2&gt;I170,($G$5/$B$5),0),0))))</f>
        <v/>
      </c>
      <c r="K170" s="141" t="str">
        <f>IF($K$8="Habilitado",IF($A170="","",ROUND(VLOOKUP($A170,'Presupuesto Consolidado'!#REF!,6,FALSE),2)),"")</f>
        <v/>
      </c>
      <c r="L170" s="142" t="str">
        <f t="shared" ref="L170" si="2131">IF($A170="","",IF(K170="","",IF($K$4="Media aritmética",(K170&lt;=$B170)*($G$5/$B$5)+(K170&gt;$B170)*0,IF(ROUND(AVERAGE($C170,$E170,$G170,$I170,$K170,$M170,$O170,$Q170,$S170,$U170,$W170,$Y170,$AA170,$AC170,$AE170),2)-$B170/2&lt;=K170,IF(ROUND(AVERAGE($C170,$E170,$G170,$I170,$K170,$M170,$O170,$Q170,$S170,$U170,$W170,$Y170,$AA170,$AC170,$AE170),2)+$B170/2&gt;K170,($G$5/$B$5),0),0))))</f>
        <v/>
      </c>
      <c r="M170" s="141" t="str">
        <f>IF($M$8="Habilitado",IF($A170="","",ROUND(VLOOKUP($A170,'Presupuesto Consolidado'!#REF!,6,FALSE),2)),"")</f>
        <v/>
      </c>
      <c r="N170" s="142" t="str">
        <f t="shared" ref="N170" si="2132">IF($A170="","",IF(M170="","",IF($K$4="Media aritmética",(M170&lt;=$B170)*($G$5/$B$5)+(M170&gt;$B170)*0,IF(ROUND(AVERAGE($C170,$E170,$G170,$I170,$K170,$M170,$O170,$Q170,$S170,$U170,$W170,$Y170,$AA170,$AC170,$AE170),2)-$B170/2&lt;=M170,IF(ROUND(AVERAGE($C170,$E170,$G170,$I170,$K170,$M170,$O170,$Q170,$S170,$U170,$W170,$Y170,$AA170,$AC170,$AE170),2)+$B170/2&gt;M170,($G$5/$B$5),0),0))))</f>
        <v/>
      </c>
      <c r="O170" s="141" t="str">
        <f>IF($O$8="Habilitado",IF($A170="","",ROUND(VLOOKUP($A170,'Presupuesto Consolidado'!#REF!,6,FALSE),2)),"")</f>
        <v/>
      </c>
      <c r="P170" s="142" t="str">
        <f t="shared" ref="P170" si="2133">IF($A170="","",IF(O170="","",IF($K$4="Media aritmética",(O170&lt;=$B170)*($G$5/$B$5)+(O170&gt;$B170)*0,IF(ROUND(AVERAGE($C170,$E170,$G170,$I170,$K170,$M170,$O170,$Q170,$S170,$U170,$W170,$Y170,$AA170,$AC170,$AE170),2)-$B170/2&lt;=O170,IF(ROUND(AVERAGE($C170,$E170,$G170,$I170,$K170,$M170,$O170,$Q170,$S170,$U170,$W170,$Y170,$AA170,$AC170,$AE170),2)+$B170/2&gt;O170,($G$5/$B$5),0),0))))</f>
        <v/>
      </c>
      <c r="Q170" s="141" t="str">
        <f>IF($Q$8="Habilitado",IF($A170="","",ROUND(VLOOKUP($A170,'Presupuesto Consolidado'!#REF!,6,FALSE),2)),"")</f>
        <v/>
      </c>
      <c r="R170" s="142" t="str">
        <f t="shared" ref="R170" si="2134">IF($A170="","",IF(Q170="","",IF($K$4="Media aritmética",(Q170&lt;=$B170)*($G$5/$B$5)+(Q170&gt;$B170)*0,IF(ROUND(AVERAGE($C170,$E170,$G170,$I170,$K170,$M170,$O170,$Q170,$S170,$U170,$W170,$Y170,$AA170,$AC170,$AE170),2)-$B170/2&lt;=Q170,IF(ROUND(AVERAGE($C170,$E170,$G170,$I170,$K170,$M170,$O170,$Q170,$S170,$U170,$W170,$Y170,$AA170,$AC170,$AE170),2)+$B170/2&gt;Q170,($G$5/$B$5),0),0))))</f>
        <v/>
      </c>
      <c r="S170" s="141" t="str">
        <f>IF($S$8="Habilitado",IF($A170="","",ROUND(VLOOKUP($A170,'Presupuesto Consolidado'!#REF!,6,FALSE),2)),"")</f>
        <v/>
      </c>
      <c r="T170" s="142" t="str">
        <f t="shared" ref="T170" si="2135">IF($A170="","",IF(S170="","",IF($K$4="Media aritmética",(S170&lt;=$B170)*($G$5/$B$5)+(S170&gt;$B170)*0,IF(ROUND(AVERAGE($C170,$E170,$G170,$I170,$K170,$M170,$O170,$Q170,$S170,$U170,$W170,$Y170,$AA170,$AC170,$AE170),2)-$B170/2&lt;=S170,IF(ROUND(AVERAGE($C170,$E170,$G170,$I170,$K170,$M170,$O170,$Q170,$S170,$U170,$W170,$Y170,$AA170,$AC170,$AE170),2)+$B170/2&gt;S170,($G$5/$B$5),0),0))))</f>
        <v/>
      </c>
      <c r="U170" s="141" t="str">
        <f>IF($U$8="Habilitado",IF($A170="","",ROUND(VLOOKUP($A170,'Presupuesto Consolidado'!#REF!,6,FALSE),2)),"")</f>
        <v/>
      </c>
      <c r="V170" s="142" t="str">
        <f t="shared" ref="V170" si="2136">IF($A170="","",IF(U170="","",IF($K$4="Media aritmética",(U170&lt;=$B170)*($G$5/$B$5)+(U170&gt;$B170)*0,IF(ROUND(AVERAGE($C170,$E170,$G170,$I170,$K170,$M170,$O170,$Q170,$S170,$U170,$W170,$Y170,$AA170,$AC170,$AE170),2)-$B170/2&lt;=U170,IF(ROUND(AVERAGE($C170,$E170,$G170,$I170,$K170,$M170,$O170,$Q170,$S170,$U170,$W170,$Y170,$AA170,$AC170,$AE170),2)+$B170/2&gt;U170,($G$5/$B$5),0),0))))</f>
        <v/>
      </c>
      <c r="W170" s="141" t="str">
        <f>IF($W$8="Habilitado",IF($A170="","",ROUND(VLOOKUP($A170,'Presupuesto Consolidado'!#REF!,6,FALSE),2)),"")</f>
        <v/>
      </c>
      <c r="X170" s="142" t="str">
        <f t="shared" ref="X170" si="2137">IF($A170="","",IF(W170="","",IF($K$4="Media aritmética",(W170&lt;=$B170)*($G$5/$B$5)+(W170&gt;$B170)*0,IF(ROUND(AVERAGE($C170,$E170,$G170,$I170,$K170,$M170,$O170,$Q170,$S170,$U170,$W170,$Y170,$AA170,$AC170,$AE170),2)-$B170/2&lt;=W170,IF(ROUND(AVERAGE($C170,$E170,$G170,$I170,$K170,$M170,$O170,$Q170,$S170,$U170,$W170,$Y170,$AA170,$AC170,$AE170),2)+$B170/2&gt;W170,($G$5/$B$5),0),0))))</f>
        <v/>
      </c>
      <c r="Y170" s="141" t="str">
        <f>IF($Y$8="Habilitado",IF($A170="","",ROUND(VLOOKUP($A170,'Presupuesto Consolidado'!#REF!,6,FALSE),2)),"")</f>
        <v/>
      </c>
      <c r="Z170" s="142" t="str">
        <f t="shared" ref="Z170" si="2138">IF($A170="","",IF(Y170="","",IF($K$4="Media aritmética",(Y170&lt;=$B170)*($G$5/$B$5)+(Y170&gt;$B170)*0,IF(ROUND(AVERAGE($C170,$E170,$G170,$I170,$K170,$M170,$O170,$Q170,$S170,$U170,$W170,$Y170,$AA170,$AC170,$AE170),2)-$B170/2&lt;=Y170,IF(ROUND(AVERAGE($C170,$E170,$G170,$I170,$K170,$M170,$O170,$Q170,$S170,$U170,$W170,$Y170,$AA170,$AC170,$AE170),2)+$B170/2&gt;Y170,($G$5/$B$5),0),0))))</f>
        <v/>
      </c>
      <c r="AA170" s="141" t="str">
        <f>IF($AA$8="Habilitado",IF($A170="","",ROUND(VLOOKUP($A170,'Presupuesto Consolidado'!#REF!,6,FALSE),2)),"")</f>
        <v/>
      </c>
      <c r="AB170" s="142" t="str">
        <f t="shared" ref="AB170" si="2139">IF($A170="","",IF(AA170="","",IF($K$4="Media aritmética",(AA170&lt;=$B170)*($G$5/$B$5)+(AA170&gt;$B170)*0,IF(ROUND(AVERAGE($C170,$E170,$G170,$I170,$K170,$M170,$O170,$Q170,$S170,$U170,$W170,$Y170,$AA170,$AC170,$AE170),2)-$B170/2&lt;=AA170,IF(ROUND(AVERAGE($C170,$E170,$G170,$I170,$K170,$M170,$O170,$Q170,$S170,$U170,$W170,$Y170,$AA170,$AC170,$AE170),2)+$B170/2&gt;AA170,($G$5/$B$5),0),0))))</f>
        <v/>
      </c>
      <c r="AC170" s="141" t="str">
        <f>IF($AC$8="Habilitado",IF($A170="","",ROUND(VLOOKUP($A170,'Presupuesto Consolidado'!#REF!,6,FALSE),2)),"")</f>
        <v/>
      </c>
      <c r="AD170" s="142" t="str">
        <f t="shared" ref="AD170" si="2140">IF($A170="","",IF(AC170="","",IF($K$4="Media aritmética",(AC170&lt;=$B170)*($G$5/$B$5)+(AC170&gt;$B170)*0,IF(ROUND(AVERAGE($C170,$E170,$G170,$I170,$K170,$M170,$O170,$Q170,$S170,$U170,$W170,$Y170,$AA170,$AC170,$AE170),2)-$B170/2&lt;=AC170,IF(ROUND(AVERAGE($C170,$E170,$G170,$I170,$K170,$M170,$O170,$Q170,$S170,$U170,$W170,$Y170,$AA170,$AC170,$AE170),2)+$B170/2&gt;AC170,($G$5/$B$5),0),0))))</f>
        <v/>
      </c>
      <c r="AE170" s="141" t="str">
        <f>IF($AE$8="Habilitado",IF($A170="","",ROUND(VLOOKUP($A170,'Presupuesto Consolidado'!#REF!,6,FALSE),2)),"")</f>
        <v/>
      </c>
      <c r="AF170" s="142" t="str">
        <f t="shared" ref="AF170" si="2141">IF($A170="","",IF(AE170="","",IF($K$4="Media aritmética",(AE170&lt;=$B170)*($G$5/$B$5)+(AE170&gt;$B170)*0,IF(ROUND(AVERAGE($C170,$E170,$G170,$I170,$K170,$M170,$O170,$Q170,$S170,$U170,$W170,$Y170,$AA170,$AC170,$AE170),2)-$B170/2&lt;=AE170,IF(ROUND(AVERAGE($C170,$E170,$G170,$I170,$K170,$M170,$O170,$Q170,$S170,$U170,$W170,$Y170,$AA170,$AC170,$AE170),2)+$B170/2&gt;AE170,($G$5/$B$5),0),0))))</f>
        <v/>
      </c>
    </row>
    <row r="171" spans="1:32" s="135" customFormat="1" ht="21" customHeight="1">
      <c r="A171" s="132" t="str">
        <f>+'Presupuesto Consolidado'!A198</f>
        <v>12.5.15</v>
      </c>
      <c r="B171" s="140">
        <f t="shared" ref="B171" si="2142">IF(A171="","",IF($K$4="Media aritmética",ROUND(AVERAGE(C171,E171,G171,I171,K171,M171,O171,Q171,S171,U171,W171,Y171,AA171,AC171,AE171),2),ROUND(_xlfn.STDEV.P(C171,E171,G171,I171,K171,M171,O171,Q171,S171,U171,W171,Y171,AA171,AC171,AE171),2)))</f>
        <v>2070000</v>
      </c>
      <c r="C171" s="141">
        <f>IF($C$8="Habilitado",IF($A171="","",ROUND(VLOOKUP($A171,'Presupuesto Consolidado'!$A$9:$F$600,6,FALSE),2)),"")</f>
        <v>2070000</v>
      </c>
      <c r="D171" s="142">
        <f t="shared" ref="D171" si="2143">IF($A171="","",IF(C171="","",IF($K$4="Media aritmética",(C171&lt;=$B171)*($G$5/$B$5)+(C171&gt;$B171)*0,IF(ROUND(AVERAGE($C171,$E171,$G171,$I171,$K171,$M171,$O171,$Q171,$S171,$U171,$W171,$Y171,$AA171,$AC171,$AE171),2)-$B171/2&lt;=C171,IF(ROUND(AVERAGE($C171,$E171,$G171,$I171,$K171,$M171,$O171,$Q171,$S171,$U171,$W171,$Y171,$AA171,$AC171,$AE171),2)+$B171/2&gt;C171,($G$5/$B$5),0),0))))</f>
        <v>0.45714285714285713</v>
      </c>
      <c r="E171" s="141" t="str">
        <f>IF($E$8="Habilitado",IF($A171="","",ROUND(VLOOKUP($A171,'Presupuesto Consolidado'!$I$9:$N$600,6,FALSE),2)),"")</f>
        <v/>
      </c>
      <c r="F171" s="142" t="str">
        <f t="shared" ref="F171" si="2144">IF($A171="","",IF(E171="","",IF($K$4="Media aritmética",(E171&lt;=$B171)*($G$5/$B$5)+(E171&gt;$B171)*0,IF(ROUND(AVERAGE($C171,$E171,$G171,$I171,$K171,$M171,$O171,$Q171,$S171,$U171,$W171,$Y171,$AA171,$AC171,$AE171),2)-$B171/2&lt;=E171,IF(ROUND(AVERAGE($C171,$E171,$G171,$I171,$K171,$M171,$O171,$Q171,$S171,$U171,$W171,$Y171,$AA171,$AC171,$AE171),2)+$B171/2&gt;E171,($G$5/$B$5),0),0))))</f>
        <v/>
      </c>
      <c r="G171" s="141" t="str">
        <f>IF($G$8="Habilitado",IF($A171="","",ROUND(VLOOKUP($A171,'Presupuesto Consolidado'!$Q$9:$V$600,6,FALSE),2)),"")</f>
        <v/>
      </c>
      <c r="H171" s="142" t="str">
        <f t="shared" ref="H171" si="2145">IF($A171="","",IF(G171="","",IF($K$4="Media aritmética",(G171&lt;=$B171)*($G$5/$B$5)+(G171&gt;$B171)*0,IF(ROUND(AVERAGE($C171,$E171,$G171,$I171,$K171,$M171,$O171,$Q171,$S171,$U171,$W171,$Y171,$AA171,$AC171,$AE171),2)-$B171/2&lt;=G171,IF(ROUND(AVERAGE($C171,$E171,$G171,$I171,$K171,$M171,$O171,$Q171,$S171,$U171,$W171,$Y171,$AA171,$AC171,$AE171),2)+$B171/2&gt;G171,($G$5/$B$5),0),0))))</f>
        <v/>
      </c>
      <c r="I171" s="141" t="str">
        <f>IF($I$8="Habilitado",IF($A171="","",ROUND(VLOOKUP($A171,'Presupuesto Consolidado'!$Y$9:$AD$600,6,FALSE),2)),"")</f>
        <v/>
      </c>
      <c r="J171" s="142" t="str">
        <f t="shared" ref="J171" si="2146">IF($A171="","",IF(I171="","",IF($K$4="Media aritmética",(I171&lt;=$B171)*($G$5/$B$5)+(I171&gt;$B171)*0,IF(ROUND(AVERAGE($C171,$E171,$G171,$I171,$K171,$M171,$O171,$Q171,$S171,$U171,$W171,$Y171,$AA171,$AC171,$AE171),2)-$B171/2&lt;=I171,IF(ROUND(AVERAGE($C171,$E171,$G171,$I171,$K171,$M171,$O171,$Q171,$S171,$U171,$W171,$Y171,$AA171,$AC171,$AE171),2)+$B171/2&gt;I171,($G$5/$B$5),0),0))))</f>
        <v/>
      </c>
      <c r="K171" s="141" t="str">
        <f>IF($K$8="Habilitado",IF($A171="","",ROUND(VLOOKUP($A171,'Presupuesto Consolidado'!#REF!,6,FALSE),2)),"")</f>
        <v/>
      </c>
      <c r="L171" s="142" t="str">
        <f t="shared" ref="L171" si="2147">IF($A171="","",IF(K171="","",IF($K$4="Media aritmética",(K171&lt;=$B171)*($G$5/$B$5)+(K171&gt;$B171)*0,IF(ROUND(AVERAGE($C171,$E171,$G171,$I171,$K171,$M171,$O171,$Q171,$S171,$U171,$W171,$Y171,$AA171,$AC171,$AE171),2)-$B171/2&lt;=K171,IF(ROUND(AVERAGE($C171,$E171,$G171,$I171,$K171,$M171,$O171,$Q171,$S171,$U171,$W171,$Y171,$AA171,$AC171,$AE171),2)+$B171/2&gt;K171,($G$5/$B$5),0),0))))</f>
        <v/>
      </c>
      <c r="M171" s="141" t="str">
        <f>IF($M$8="Habilitado",IF($A171="","",ROUND(VLOOKUP($A171,'Presupuesto Consolidado'!#REF!,6,FALSE),2)),"")</f>
        <v/>
      </c>
      <c r="N171" s="142" t="str">
        <f t="shared" ref="N171" si="2148">IF($A171="","",IF(M171="","",IF($K$4="Media aritmética",(M171&lt;=$B171)*($G$5/$B$5)+(M171&gt;$B171)*0,IF(ROUND(AVERAGE($C171,$E171,$G171,$I171,$K171,$M171,$O171,$Q171,$S171,$U171,$W171,$Y171,$AA171,$AC171,$AE171),2)-$B171/2&lt;=M171,IF(ROUND(AVERAGE($C171,$E171,$G171,$I171,$K171,$M171,$O171,$Q171,$S171,$U171,$W171,$Y171,$AA171,$AC171,$AE171),2)+$B171/2&gt;M171,($G$5/$B$5),0),0))))</f>
        <v/>
      </c>
      <c r="O171" s="141" t="str">
        <f>IF($O$8="Habilitado",IF($A171="","",ROUND(VLOOKUP($A171,'Presupuesto Consolidado'!#REF!,6,FALSE),2)),"")</f>
        <v/>
      </c>
      <c r="P171" s="142" t="str">
        <f t="shared" ref="P171" si="2149">IF($A171="","",IF(O171="","",IF($K$4="Media aritmética",(O171&lt;=$B171)*($G$5/$B$5)+(O171&gt;$B171)*0,IF(ROUND(AVERAGE($C171,$E171,$G171,$I171,$K171,$M171,$O171,$Q171,$S171,$U171,$W171,$Y171,$AA171,$AC171,$AE171),2)-$B171/2&lt;=O171,IF(ROUND(AVERAGE($C171,$E171,$G171,$I171,$K171,$M171,$O171,$Q171,$S171,$U171,$W171,$Y171,$AA171,$AC171,$AE171),2)+$B171/2&gt;O171,($G$5/$B$5),0),0))))</f>
        <v/>
      </c>
      <c r="Q171" s="141" t="str">
        <f>IF($Q$8="Habilitado",IF($A171="","",ROUND(VLOOKUP($A171,'Presupuesto Consolidado'!#REF!,6,FALSE),2)),"")</f>
        <v/>
      </c>
      <c r="R171" s="142" t="str">
        <f t="shared" ref="R171" si="2150">IF($A171="","",IF(Q171="","",IF($K$4="Media aritmética",(Q171&lt;=$B171)*($G$5/$B$5)+(Q171&gt;$B171)*0,IF(ROUND(AVERAGE($C171,$E171,$G171,$I171,$K171,$M171,$O171,$Q171,$S171,$U171,$W171,$Y171,$AA171,$AC171,$AE171),2)-$B171/2&lt;=Q171,IF(ROUND(AVERAGE($C171,$E171,$G171,$I171,$K171,$M171,$O171,$Q171,$S171,$U171,$W171,$Y171,$AA171,$AC171,$AE171),2)+$B171/2&gt;Q171,($G$5/$B$5),0),0))))</f>
        <v/>
      </c>
      <c r="S171" s="141" t="str">
        <f>IF($S$8="Habilitado",IF($A171="","",ROUND(VLOOKUP($A171,'Presupuesto Consolidado'!#REF!,6,FALSE),2)),"")</f>
        <v/>
      </c>
      <c r="T171" s="142" t="str">
        <f t="shared" ref="T171" si="2151">IF($A171="","",IF(S171="","",IF($K$4="Media aritmética",(S171&lt;=$B171)*($G$5/$B$5)+(S171&gt;$B171)*0,IF(ROUND(AVERAGE($C171,$E171,$G171,$I171,$K171,$M171,$O171,$Q171,$S171,$U171,$W171,$Y171,$AA171,$AC171,$AE171),2)-$B171/2&lt;=S171,IF(ROUND(AVERAGE($C171,$E171,$G171,$I171,$K171,$M171,$O171,$Q171,$S171,$U171,$W171,$Y171,$AA171,$AC171,$AE171),2)+$B171/2&gt;S171,($G$5/$B$5),0),0))))</f>
        <v/>
      </c>
      <c r="U171" s="141" t="str">
        <f>IF($U$8="Habilitado",IF($A171="","",ROUND(VLOOKUP($A171,'Presupuesto Consolidado'!#REF!,6,FALSE),2)),"")</f>
        <v/>
      </c>
      <c r="V171" s="142" t="str">
        <f t="shared" ref="V171" si="2152">IF($A171="","",IF(U171="","",IF($K$4="Media aritmética",(U171&lt;=$B171)*($G$5/$B$5)+(U171&gt;$B171)*0,IF(ROUND(AVERAGE($C171,$E171,$G171,$I171,$K171,$M171,$O171,$Q171,$S171,$U171,$W171,$Y171,$AA171,$AC171,$AE171),2)-$B171/2&lt;=U171,IF(ROUND(AVERAGE($C171,$E171,$G171,$I171,$K171,$M171,$O171,$Q171,$S171,$U171,$W171,$Y171,$AA171,$AC171,$AE171),2)+$B171/2&gt;U171,($G$5/$B$5),0),0))))</f>
        <v/>
      </c>
      <c r="W171" s="141" t="str">
        <f>IF($W$8="Habilitado",IF($A171="","",ROUND(VLOOKUP($A171,'Presupuesto Consolidado'!#REF!,6,FALSE),2)),"")</f>
        <v/>
      </c>
      <c r="X171" s="142" t="str">
        <f t="shared" ref="X171" si="2153">IF($A171="","",IF(W171="","",IF($K$4="Media aritmética",(W171&lt;=$B171)*($G$5/$B$5)+(W171&gt;$B171)*0,IF(ROUND(AVERAGE($C171,$E171,$G171,$I171,$K171,$M171,$O171,$Q171,$S171,$U171,$W171,$Y171,$AA171,$AC171,$AE171),2)-$B171/2&lt;=W171,IF(ROUND(AVERAGE($C171,$E171,$G171,$I171,$K171,$M171,$O171,$Q171,$S171,$U171,$W171,$Y171,$AA171,$AC171,$AE171),2)+$B171/2&gt;W171,($G$5/$B$5),0),0))))</f>
        <v/>
      </c>
      <c r="Y171" s="141" t="str">
        <f>IF($Y$8="Habilitado",IF($A171="","",ROUND(VLOOKUP($A171,'Presupuesto Consolidado'!#REF!,6,FALSE),2)),"")</f>
        <v/>
      </c>
      <c r="Z171" s="142" t="str">
        <f t="shared" ref="Z171" si="2154">IF($A171="","",IF(Y171="","",IF($K$4="Media aritmética",(Y171&lt;=$B171)*($G$5/$B$5)+(Y171&gt;$B171)*0,IF(ROUND(AVERAGE($C171,$E171,$G171,$I171,$K171,$M171,$O171,$Q171,$S171,$U171,$W171,$Y171,$AA171,$AC171,$AE171),2)-$B171/2&lt;=Y171,IF(ROUND(AVERAGE($C171,$E171,$G171,$I171,$K171,$M171,$O171,$Q171,$S171,$U171,$W171,$Y171,$AA171,$AC171,$AE171),2)+$B171/2&gt;Y171,($G$5/$B$5),0),0))))</f>
        <v/>
      </c>
      <c r="AA171" s="141" t="str">
        <f>IF($AA$8="Habilitado",IF($A171="","",ROUND(VLOOKUP($A171,'Presupuesto Consolidado'!#REF!,6,FALSE),2)),"")</f>
        <v/>
      </c>
      <c r="AB171" s="142" t="str">
        <f t="shared" ref="AB171" si="2155">IF($A171="","",IF(AA171="","",IF($K$4="Media aritmética",(AA171&lt;=$B171)*($G$5/$B$5)+(AA171&gt;$B171)*0,IF(ROUND(AVERAGE($C171,$E171,$G171,$I171,$K171,$M171,$O171,$Q171,$S171,$U171,$W171,$Y171,$AA171,$AC171,$AE171),2)-$B171/2&lt;=AA171,IF(ROUND(AVERAGE($C171,$E171,$G171,$I171,$K171,$M171,$O171,$Q171,$S171,$U171,$W171,$Y171,$AA171,$AC171,$AE171),2)+$B171/2&gt;AA171,($G$5/$B$5),0),0))))</f>
        <v/>
      </c>
      <c r="AC171" s="141" t="str">
        <f>IF($AC$8="Habilitado",IF($A171="","",ROUND(VLOOKUP($A171,'Presupuesto Consolidado'!#REF!,6,FALSE),2)),"")</f>
        <v/>
      </c>
      <c r="AD171" s="142" t="str">
        <f t="shared" ref="AD171" si="2156">IF($A171="","",IF(AC171="","",IF($K$4="Media aritmética",(AC171&lt;=$B171)*($G$5/$B$5)+(AC171&gt;$B171)*0,IF(ROUND(AVERAGE($C171,$E171,$G171,$I171,$K171,$M171,$O171,$Q171,$S171,$U171,$W171,$Y171,$AA171,$AC171,$AE171),2)-$B171/2&lt;=AC171,IF(ROUND(AVERAGE($C171,$E171,$G171,$I171,$K171,$M171,$O171,$Q171,$S171,$U171,$W171,$Y171,$AA171,$AC171,$AE171),2)+$B171/2&gt;AC171,($G$5/$B$5),0),0))))</f>
        <v/>
      </c>
      <c r="AE171" s="141" t="str">
        <f>IF($AE$8="Habilitado",IF($A171="","",ROUND(VLOOKUP($A171,'Presupuesto Consolidado'!#REF!,6,FALSE),2)),"")</f>
        <v/>
      </c>
      <c r="AF171" s="142" t="str">
        <f t="shared" ref="AF171" si="2157">IF($A171="","",IF(AE171="","",IF($K$4="Media aritmética",(AE171&lt;=$B171)*($G$5/$B$5)+(AE171&gt;$B171)*0,IF(ROUND(AVERAGE($C171,$E171,$G171,$I171,$K171,$M171,$O171,$Q171,$S171,$U171,$W171,$Y171,$AA171,$AC171,$AE171),2)-$B171/2&lt;=AE171,IF(ROUND(AVERAGE($C171,$E171,$G171,$I171,$K171,$M171,$O171,$Q171,$S171,$U171,$W171,$Y171,$AA171,$AC171,$AE171),2)+$B171/2&gt;AE171,($G$5/$B$5),0),0))))</f>
        <v/>
      </c>
    </row>
    <row r="172" spans="1:32" s="135" customFormat="1" ht="21" customHeight="1">
      <c r="A172" s="132" t="str">
        <f>+'Presupuesto Consolidado'!A199</f>
        <v>12.5.16</v>
      </c>
      <c r="B172" s="140">
        <f t="shared" ref="B172" si="2158">IF(A172="","",IF($K$4="Media aritmética",ROUND(AVERAGE(C172,E172,G172,I172,K172,M172,O172,Q172,S172,U172,W172,Y172,AA172,AC172,AE172),2),ROUND(_xlfn.STDEV.P(C172,E172,G172,I172,K172,M172,O172,Q172,S172,U172,W172,Y172,AA172,AC172,AE172),2)))</f>
        <v>77625</v>
      </c>
      <c r="C172" s="141">
        <f>IF($C$8="Habilitado",IF($A172="","",ROUND(VLOOKUP($A172,'Presupuesto Consolidado'!$A$9:$F$600,6,FALSE),2)),"")</f>
        <v>77625</v>
      </c>
      <c r="D172" s="142">
        <f t="shared" ref="D172" si="2159">IF($A172="","",IF(C172="","",IF($K$4="Media aritmética",(C172&lt;=$B172)*($G$5/$B$5)+(C172&gt;$B172)*0,IF(ROUND(AVERAGE($C172,$E172,$G172,$I172,$K172,$M172,$O172,$Q172,$S172,$U172,$W172,$Y172,$AA172,$AC172,$AE172),2)-$B172/2&lt;=C172,IF(ROUND(AVERAGE($C172,$E172,$G172,$I172,$K172,$M172,$O172,$Q172,$S172,$U172,$W172,$Y172,$AA172,$AC172,$AE172),2)+$B172/2&gt;C172,($G$5/$B$5),0),0))))</f>
        <v>0.45714285714285713</v>
      </c>
      <c r="E172" s="141" t="str">
        <f>IF($E$8="Habilitado",IF($A172="","",ROUND(VLOOKUP($A172,'Presupuesto Consolidado'!$I$9:$N$600,6,FALSE),2)),"")</f>
        <v/>
      </c>
      <c r="F172" s="142" t="str">
        <f t="shared" ref="F172" si="2160">IF($A172="","",IF(E172="","",IF($K$4="Media aritmética",(E172&lt;=$B172)*($G$5/$B$5)+(E172&gt;$B172)*0,IF(ROUND(AVERAGE($C172,$E172,$G172,$I172,$K172,$M172,$O172,$Q172,$S172,$U172,$W172,$Y172,$AA172,$AC172,$AE172),2)-$B172/2&lt;=E172,IF(ROUND(AVERAGE($C172,$E172,$G172,$I172,$K172,$M172,$O172,$Q172,$S172,$U172,$W172,$Y172,$AA172,$AC172,$AE172),2)+$B172/2&gt;E172,($G$5/$B$5),0),0))))</f>
        <v/>
      </c>
      <c r="G172" s="141" t="str">
        <f>IF($G$8="Habilitado",IF($A172="","",ROUND(VLOOKUP($A172,'Presupuesto Consolidado'!$Q$9:$V$600,6,FALSE),2)),"")</f>
        <v/>
      </c>
      <c r="H172" s="142" t="str">
        <f t="shared" ref="H172" si="2161">IF($A172="","",IF(G172="","",IF($K$4="Media aritmética",(G172&lt;=$B172)*($G$5/$B$5)+(G172&gt;$B172)*0,IF(ROUND(AVERAGE($C172,$E172,$G172,$I172,$K172,$M172,$O172,$Q172,$S172,$U172,$W172,$Y172,$AA172,$AC172,$AE172),2)-$B172/2&lt;=G172,IF(ROUND(AVERAGE($C172,$E172,$G172,$I172,$K172,$M172,$O172,$Q172,$S172,$U172,$W172,$Y172,$AA172,$AC172,$AE172),2)+$B172/2&gt;G172,($G$5/$B$5),0),0))))</f>
        <v/>
      </c>
      <c r="I172" s="141" t="str">
        <f>IF($I$8="Habilitado",IF($A172="","",ROUND(VLOOKUP($A172,'Presupuesto Consolidado'!$Y$9:$AD$600,6,FALSE),2)),"")</f>
        <v/>
      </c>
      <c r="J172" s="142" t="str">
        <f t="shared" ref="J172" si="2162">IF($A172="","",IF(I172="","",IF($K$4="Media aritmética",(I172&lt;=$B172)*($G$5/$B$5)+(I172&gt;$B172)*0,IF(ROUND(AVERAGE($C172,$E172,$G172,$I172,$K172,$M172,$O172,$Q172,$S172,$U172,$W172,$Y172,$AA172,$AC172,$AE172),2)-$B172/2&lt;=I172,IF(ROUND(AVERAGE($C172,$E172,$G172,$I172,$K172,$M172,$O172,$Q172,$S172,$U172,$W172,$Y172,$AA172,$AC172,$AE172),2)+$B172/2&gt;I172,($G$5/$B$5),0),0))))</f>
        <v/>
      </c>
      <c r="K172" s="141" t="str">
        <f>IF($K$8="Habilitado",IF($A172="","",ROUND(VLOOKUP($A172,'Presupuesto Consolidado'!#REF!,6,FALSE),2)),"")</f>
        <v/>
      </c>
      <c r="L172" s="142" t="str">
        <f t="shared" ref="L172" si="2163">IF($A172="","",IF(K172="","",IF($K$4="Media aritmética",(K172&lt;=$B172)*($G$5/$B$5)+(K172&gt;$B172)*0,IF(ROUND(AVERAGE($C172,$E172,$G172,$I172,$K172,$M172,$O172,$Q172,$S172,$U172,$W172,$Y172,$AA172,$AC172,$AE172),2)-$B172/2&lt;=K172,IF(ROUND(AVERAGE($C172,$E172,$G172,$I172,$K172,$M172,$O172,$Q172,$S172,$U172,$W172,$Y172,$AA172,$AC172,$AE172),2)+$B172/2&gt;K172,($G$5/$B$5),0),0))))</f>
        <v/>
      </c>
      <c r="M172" s="141" t="str">
        <f>IF($M$8="Habilitado",IF($A172="","",ROUND(VLOOKUP($A172,'Presupuesto Consolidado'!#REF!,6,FALSE),2)),"")</f>
        <v/>
      </c>
      <c r="N172" s="142" t="str">
        <f t="shared" ref="N172" si="2164">IF($A172="","",IF(M172="","",IF($K$4="Media aritmética",(M172&lt;=$B172)*($G$5/$B$5)+(M172&gt;$B172)*0,IF(ROUND(AVERAGE($C172,$E172,$G172,$I172,$K172,$M172,$O172,$Q172,$S172,$U172,$W172,$Y172,$AA172,$AC172,$AE172),2)-$B172/2&lt;=M172,IF(ROUND(AVERAGE($C172,$E172,$G172,$I172,$K172,$M172,$O172,$Q172,$S172,$U172,$W172,$Y172,$AA172,$AC172,$AE172),2)+$B172/2&gt;M172,($G$5/$B$5),0),0))))</f>
        <v/>
      </c>
      <c r="O172" s="141" t="str">
        <f>IF($O$8="Habilitado",IF($A172="","",ROUND(VLOOKUP($A172,'Presupuesto Consolidado'!#REF!,6,FALSE),2)),"")</f>
        <v/>
      </c>
      <c r="P172" s="142" t="str">
        <f t="shared" ref="P172" si="2165">IF($A172="","",IF(O172="","",IF($K$4="Media aritmética",(O172&lt;=$B172)*($G$5/$B$5)+(O172&gt;$B172)*0,IF(ROUND(AVERAGE($C172,$E172,$G172,$I172,$K172,$M172,$O172,$Q172,$S172,$U172,$W172,$Y172,$AA172,$AC172,$AE172),2)-$B172/2&lt;=O172,IF(ROUND(AVERAGE($C172,$E172,$G172,$I172,$K172,$M172,$O172,$Q172,$S172,$U172,$W172,$Y172,$AA172,$AC172,$AE172),2)+$B172/2&gt;O172,($G$5/$B$5),0),0))))</f>
        <v/>
      </c>
      <c r="Q172" s="141" t="str">
        <f>IF($Q$8="Habilitado",IF($A172="","",ROUND(VLOOKUP($A172,'Presupuesto Consolidado'!#REF!,6,FALSE),2)),"")</f>
        <v/>
      </c>
      <c r="R172" s="142" t="str">
        <f t="shared" ref="R172" si="2166">IF($A172="","",IF(Q172="","",IF($K$4="Media aritmética",(Q172&lt;=$B172)*($G$5/$B$5)+(Q172&gt;$B172)*0,IF(ROUND(AVERAGE($C172,$E172,$G172,$I172,$K172,$M172,$O172,$Q172,$S172,$U172,$W172,$Y172,$AA172,$AC172,$AE172),2)-$B172/2&lt;=Q172,IF(ROUND(AVERAGE($C172,$E172,$G172,$I172,$K172,$M172,$O172,$Q172,$S172,$U172,$W172,$Y172,$AA172,$AC172,$AE172),2)+$B172/2&gt;Q172,($G$5/$B$5),0),0))))</f>
        <v/>
      </c>
      <c r="S172" s="141" t="str">
        <f>IF($S$8="Habilitado",IF($A172="","",ROUND(VLOOKUP($A172,'Presupuesto Consolidado'!#REF!,6,FALSE),2)),"")</f>
        <v/>
      </c>
      <c r="T172" s="142" t="str">
        <f t="shared" ref="T172" si="2167">IF($A172="","",IF(S172="","",IF($K$4="Media aritmética",(S172&lt;=$B172)*($G$5/$B$5)+(S172&gt;$B172)*0,IF(ROUND(AVERAGE($C172,$E172,$G172,$I172,$K172,$M172,$O172,$Q172,$S172,$U172,$W172,$Y172,$AA172,$AC172,$AE172),2)-$B172/2&lt;=S172,IF(ROUND(AVERAGE($C172,$E172,$G172,$I172,$K172,$M172,$O172,$Q172,$S172,$U172,$W172,$Y172,$AA172,$AC172,$AE172),2)+$B172/2&gt;S172,($G$5/$B$5),0),0))))</f>
        <v/>
      </c>
      <c r="U172" s="141" t="str">
        <f>IF($U$8="Habilitado",IF($A172="","",ROUND(VLOOKUP($A172,'Presupuesto Consolidado'!#REF!,6,FALSE),2)),"")</f>
        <v/>
      </c>
      <c r="V172" s="142" t="str">
        <f t="shared" ref="V172" si="2168">IF($A172="","",IF(U172="","",IF($K$4="Media aritmética",(U172&lt;=$B172)*($G$5/$B$5)+(U172&gt;$B172)*0,IF(ROUND(AVERAGE($C172,$E172,$G172,$I172,$K172,$M172,$O172,$Q172,$S172,$U172,$W172,$Y172,$AA172,$AC172,$AE172),2)-$B172/2&lt;=U172,IF(ROUND(AVERAGE($C172,$E172,$G172,$I172,$K172,$M172,$O172,$Q172,$S172,$U172,$W172,$Y172,$AA172,$AC172,$AE172),2)+$B172/2&gt;U172,($G$5/$B$5),0),0))))</f>
        <v/>
      </c>
      <c r="W172" s="141" t="str">
        <f>IF($W$8="Habilitado",IF($A172="","",ROUND(VLOOKUP($A172,'Presupuesto Consolidado'!#REF!,6,FALSE),2)),"")</f>
        <v/>
      </c>
      <c r="X172" s="142" t="str">
        <f t="shared" ref="X172" si="2169">IF($A172="","",IF(W172="","",IF($K$4="Media aritmética",(W172&lt;=$B172)*($G$5/$B$5)+(W172&gt;$B172)*0,IF(ROUND(AVERAGE($C172,$E172,$G172,$I172,$K172,$M172,$O172,$Q172,$S172,$U172,$W172,$Y172,$AA172,$AC172,$AE172),2)-$B172/2&lt;=W172,IF(ROUND(AVERAGE($C172,$E172,$G172,$I172,$K172,$M172,$O172,$Q172,$S172,$U172,$W172,$Y172,$AA172,$AC172,$AE172),2)+$B172/2&gt;W172,($G$5/$B$5),0),0))))</f>
        <v/>
      </c>
      <c r="Y172" s="141" t="str">
        <f>IF($Y$8="Habilitado",IF($A172="","",ROUND(VLOOKUP($A172,'Presupuesto Consolidado'!#REF!,6,FALSE),2)),"")</f>
        <v/>
      </c>
      <c r="Z172" s="142" t="str">
        <f t="shared" ref="Z172" si="2170">IF($A172="","",IF(Y172="","",IF($K$4="Media aritmética",(Y172&lt;=$B172)*($G$5/$B$5)+(Y172&gt;$B172)*0,IF(ROUND(AVERAGE($C172,$E172,$G172,$I172,$K172,$M172,$O172,$Q172,$S172,$U172,$W172,$Y172,$AA172,$AC172,$AE172),2)-$B172/2&lt;=Y172,IF(ROUND(AVERAGE($C172,$E172,$G172,$I172,$K172,$M172,$O172,$Q172,$S172,$U172,$W172,$Y172,$AA172,$AC172,$AE172),2)+$B172/2&gt;Y172,($G$5/$B$5),0),0))))</f>
        <v/>
      </c>
      <c r="AA172" s="141" t="str">
        <f>IF($AA$8="Habilitado",IF($A172="","",ROUND(VLOOKUP($A172,'Presupuesto Consolidado'!#REF!,6,FALSE),2)),"")</f>
        <v/>
      </c>
      <c r="AB172" s="142" t="str">
        <f t="shared" ref="AB172" si="2171">IF($A172="","",IF(AA172="","",IF($K$4="Media aritmética",(AA172&lt;=$B172)*($G$5/$B$5)+(AA172&gt;$B172)*0,IF(ROUND(AVERAGE($C172,$E172,$G172,$I172,$K172,$M172,$O172,$Q172,$S172,$U172,$W172,$Y172,$AA172,$AC172,$AE172),2)-$B172/2&lt;=AA172,IF(ROUND(AVERAGE($C172,$E172,$G172,$I172,$K172,$M172,$O172,$Q172,$S172,$U172,$W172,$Y172,$AA172,$AC172,$AE172),2)+$B172/2&gt;AA172,($G$5/$B$5),0),0))))</f>
        <v/>
      </c>
      <c r="AC172" s="141" t="str">
        <f>IF($AC$8="Habilitado",IF($A172="","",ROUND(VLOOKUP($A172,'Presupuesto Consolidado'!#REF!,6,FALSE),2)),"")</f>
        <v/>
      </c>
      <c r="AD172" s="142" t="str">
        <f t="shared" ref="AD172" si="2172">IF($A172="","",IF(AC172="","",IF($K$4="Media aritmética",(AC172&lt;=$B172)*($G$5/$B$5)+(AC172&gt;$B172)*0,IF(ROUND(AVERAGE($C172,$E172,$G172,$I172,$K172,$M172,$O172,$Q172,$S172,$U172,$W172,$Y172,$AA172,$AC172,$AE172),2)-$B172/2&lt;=AC172,IF(ROUND(AVERAGE($C172,$E172,$G172,$I172,$K172,$M172,$O172,$Q172,$S172,$U172,$W172,$Y172,$AA172,$AC172,$AE172),2)+$B172/2&gt;AC172,($G$5/$B$5),0),0))))</f>
        <v/>
      </c>
      <c r="AE172" s="141" t="str">
        <f>IF($AE$8="Habilitado",IF($A172="","",ROUND(VLOOKUP($A172,'Presupuesto Consolidado'!#REF!,6,FALSE),2)),"")</f>
        <v/>
      </c>
      <c r="AF172" s="142" t="str">
        <f t="shared" ref="AF172" si="2173">IF($A172="","",IF(AE172="","",IF($K$4="Media aritmética",(AE172&lt;=$B172)*($G$5/$B$5)+(AE172&gt;$B172)*0,IF(ROUND(AVERAGE($C172,$E172,$G172,$I172,$K172,$M172,$O172,$Q172,$S172,$U172,$W172,$Y172,$AA172,$AC172,$AE172),2)-$B172/2&lt;=AE172,IF(ROUND(AVERAGE($C172,$E172,$G172,$I172,$K172,$M172,$O172,$Q172,$S172,$U172,$W172,$Y172,$AA172,$AC172,$AE172),2)+$B172/2&gt;AE172,($G$5/$B$5),0),0))))</f>
        <v/>
      </c>
    </row>
    <row r="173" spans="1:32" s="135" customFormat="1" ht="21" customHeight="1">
      <c r="A173" s="132" t="str">
        <f>+'Presupuesto Consolidado'!A200</f>
        <v>12.5.17</v>
      </c>
      <c r="B173" s="140">
        <f t="shared" ref="B173" si="2174">IF(A173="","",IF($K$4="Media aritmética",ROUND(AVERAGE(C173,E173,G173,I173,K173,M173,O173,Q173,S173,U173,W173,Y173,AA173,AC173,AE173),2),ROUND(_xlfn.STDEV.P(C173,E173,G173,I173,K173,M173,O173,Q173,S173,U173,W173,Y173,AA173,AC173,AE173),2)))</f>
        <v>294975</v>
      </c>
      <c r="C173" s="141">
        <f>IF($C$8="Habilitado",IF($A173="","",ROUND(VLOOKUP($A173,'Presupuesto Consolidado'!$A$9:$F$600,6,FALSE),2)),"")</f>
        <v>294975</v>
      </c>
      <c r="D173" s="142">
        <f t="shared" ref="D173" si="2175">IF($A173="","",IF(C173="","",IF($K$4="Media aritmética",(C173&lt;=$B173)*($G$5/$B$5)+(C173&gt;$B173)*0,IF(ROUND(AVERAGE($C173,$E173,$G173,$I173,$K173,$M173,$O173,$Q173,$S173,$U173,$W173,$Y173,$AA173,$AC173,$AE173),2)-$B173/2&lt;=C173,IF(ROUND(AVERAGE($C173,$E173,$G173,$I173,$K173,$M173,$O173,$Q173,$S173,$U173,$W173,$Y173,$AA173,$AC173,$AE173),2)+$B173/2&gt;C173,($G$5/$B$5),0),0))))</f>
        <v>0.45714285714285713</v>
      </c>
      <c r="E173" s="141" t="str">
        <f>IF($E$8="Habilitado",IF($A173="","",ROUND(VLOOKUP($A173,'Presupuesto Consolidado'!$I$9:$N$600,6,FALSE),2)),"")</f>
        <v/>
      </c>
      <c r="F173" s="142" t="str">
        <f t="shared" ref="F173" si="2176">IF($A173="","",IF(E173="","",IF($K$4="Media aritmética",(E173&lt;=$B173)*($G$5/$B$5)+(E173&gt;$B173)*0,IF(ROUND(AVERAGE($C173,$E173,$G173,$I173,$K173,$M173,$O173,$Q173,$S173,$U173,$W173,$Y173,$AA173,$AC173,$AE173),2)-$B173/2&lt;=E173,IF(ROUND(AVERAGE($C173,$E173,$G173,$I173,$K173,$M173,$O173,$Q173,$S173,$U173,$W173,$Y173,$AA173,$AC173,$AE173),2)+$B173/2&gt;E173,($G$5/$B$5),0),0))))</f>
        <v/>
      </c>
      <c r="G173" s="141" t="str">
        <f>IF($G$8="Habilitado",IF($A173="","",ROUND(VLOOKUP($A173,'Presupuesto Consolidado'!$Q$9:$V$600,6,FALSE),2)),"")</f>
        <v/>
      </c>
      <c r="H173" s="142" t="str">
        <f t="shared" ref="H173" si="2177">IF($A173="","",IF(G173="","",IF($K$4="Media aritmética",(G173&lt;=$B173)*($G$5/$B$5)+(G173&gt;$B173)*0,IF(ROUND(AVERAGE($C173,$E173,$G173,$I173,$K173,$M173,$O173,$Q173,$S173,$U173,$W173,$Y173,$AA173,$AC173,$AE173),2)-$B173/2&lt;=G173,IF(ROUND(AVERAGE($C173,$E173,$G173,$I173,$K173,$M173,$O173,$Q173,$S173,$U173,$W173,$Y173,$AA173,$AC173,$AE173),2)+$B173/2&gt;G173,($G$5/$B$5),0),0))))</f>
        <v/>
      </c>
      <c r="I173" s="141" t="str">
        <f>IF($I$8="Habilitado",IF($A173="","",ROUND(VLOOKUP($A173,'Presupuesto Consolidado'!$Y$9:$AD$600,6,FALSE),2)),"")</f>
        <v/>
      </c>
      <c r="J173" s="142" t="str">
        <f t="shared" ref="J173" si="2178">IF($A173="","",IF(I173="","",IF($K$4="Media aritmética",(I173&lt;=$B173)*($G$5/$B$5)+(I173&gt;$B173)*0,IF(ROUND(AVERAGE($C173,$E173,$G173,$I173,$K173,$M173,$O173,$Q173,$S173,$U173,$W173,$Y173,$AA173,$AC173,$AE173),2)-$B173/2&lt;=I173,IF(ROUND(AVERAGE($C173,$E173,$G173,$I173,$K173,$M173,$O173,$Q173,$S173,$U173,$W173,$Y173,$AA173,$AC173,$AE173),2)+$B173/2&gt;I173,($G$5/$B$5),0),0))))</f>
        <v/>
      </c>
      <c r="K173" s="141" t="str">
        <f>IF($K$8="Habilitado",IF($A173="","",ROUND(VLOOKUP($A173,'Presupuesto Consolidado'!#REF!,6,FALSE),2)),"")</f>
        <v/>
      </c>
      <c r="L173" s="142" t="str">
        <f t="shared" ref="L173" si="2179">IF($A173="","",IF(K173="","",IF($K$4="Media aritmética",(K173&lt;=$B173)*($G$5/$B$5)+(K173&gt;$B173)*0,IF(ROUND(AVERAGE($C173,$E173,$G173,$I173,$K173,$M173,$O173,$Q173,$S173,$U173,$W173,$Y173,$AA173,$AC173,$AE173),2)-$B173/2&lt;=K173,IF(ROUND(AVERAGE($C173,$E173,$G173,$I173,$K173,$M173,$O173,$Q173,$S173,$U173,$W173,$Y173,$AA173,$AC173,$AE173),2)+$B173/2&gt;K173,($G$5/$B$5),0),0))))</f>
        <v/>
      </c>
      <c r="M173" s="141" t="str">
        <f>IF($M$8="Habilitado",IF($A173="","",ROUND(VLOOKUP($A173,'Presupuesto Consolidado'!#REF!,6,FALSE),2)),"")</f>
        <v/>
      </c>
      <c r="N173" s="142" t="str">
        <f t="shared" ref="N173" si="2180">IF($A173="","",IF(M173="","",IF($K$4="Media aritmética",(M173&lt;=$B173)*($G$5/$B$5)+(M173&gt;$B173)*0,IF(ROUND(AVERAGE($C173,$E173,$G173,$I173,$K173,$M173,$O173,$Q173,$S173,$U173,$W173,$Y173,$AA173,$AC173,$AE173),2)-$B173/2&lt;=M173,IF(ROUND(AVERAGE($C173,$E173,$G173,$I173,$K173,$M173,$O173,$Q173,$S173,$U173,$W173,$Y173,$AA173,$AC173,$AE173),2)+$B173/2&gt;M173,($G$5/$B$5),0),0))))</f>
        <v/>
      </c>
      <c r="O173" s="141" t="str">
        <f>IF($O$8="Habilitado",IF($A173="","",ROUND(VLOOKUP($A173,'Presupuesto Consolidado'!#REF!,6,FALSE),2)),"")</f>
        <v/>
      </c>
      <c r="P173" s="142" t="str">
        <f t="shared" ref="P173" si="2181">IF($A173="","",IF(O173="","",IF($K$4="Media aritmética",(O173&lt;=$B173)*($G$5/$B$5)+(O173&gt;$B173)*0,IF(ROUND(AVERAGE($C173,$E173,$G173,$I173,$K173,$M173,$O173,$Q173,$S173,$U173,$W173,$Y173,$AA173,$AC173,$AE173),2)-$B173/2&lt;=O173,IF(ROUND(AVERAGE($C173,$E173,$G173,$I173,$K173,$M173,$O173,$Q173,$S173,$U173,$W173,$Y173,$AA173,$AC173,$AE173),2)+$B173/2&gt;O173,($G$5/$B$5),0),0))))</f>
        <v/>
      </c>
      <c r="Q173" s="141" t="str">
        <f>IF($Q$8="Habilitado",IF($A173="","",ROUND(VLOOKUP($A173,'Presupuesto Consolidado'!#REF!,6,FALSE),2)),"")</f>
        <v/>
      </c>
      <c r="R173" s="142" t="str">
        <f t="shared" ref="R173" si="2182">IF($A173="","",IF(Q173="","",IF($K$4="Media aritmética",(Q173&lt;=$B173)*($G$5/$B$5)+(Q173&gt;$B173)*0,IF(ROUND(AVERAGE($C173,$E173,$G173,$I173,$K173,$M173,$O173,$Q173,$S173,$U173,$W173,$Y173,$AA173,$AC173,$AE173),2)-$B173/2&lt;=Q173,IF(ROUND(AVERAGE($C173,$E173,$G173,$I173,$K173,$M173,$O173,$Q173,$S173,$U173,$W173,$Y173,$AA173,$AC173,$AE173),2)+$B173/2&gt;Q173,($G$5/$B$5),0),0))))</f>
        <v/>
      </c>
      <c r="S173" s="141" t="str">
        <f>IF($S$8="Habilitado",IF($A173="","",ROUND(VLOOKUP($A173,'Presupuesto Consolidado'!#REF!,6,FALSE),2)),"")</f>
        <v/>
      </c>
      <c r="T173" s="142" t="str">
        <f t="shared" ref="T173" si="2183">IF($A173="","",IF(S173="","",IF($K$4="Media aritmética",(S173&lt;=$B173)*($G$5/$B$5)+(S173&gt;$B173)*0,IF(ROUND(AVERAGE($C173,$E173,$G173,$I173,$K173,$M173,$O173,$Q173,$S173,$U173,$W173,$Y173,$AA173,$AC173,$AE173),2)-$B173/2&lt;=S173,IF(ROUND(AVERAGE($C173,$E173,$G173,$I173,$K173,$M173,$O173,$Q173,$S173,$U173,$W173,$Y173,$AA173,$AC173,$AE173),2)+$B173/2&gt;S173,($G$5/$B$5),0),0))))</f>
        <v/>
      </c>
      <c r="U173" s="141" t="str">
        <f>IF($U$8="Habilitado",IF($A173="","",ROUND(VLOOKUP($A173,'Presupuesto Consolidado'!#REF!,6,FALSE),2)),"")</f>
        <v/>
      </c>
      <c r="V173" s="142" t="str">
        <f t="shared" ref="V173" si="2184">IF($A173="","",IF(U173="","",IF($K$4="Media aritmética",(U173&lt;=$B173)*($G$5/$B$5)+(U173&gt;$B173)*0,IF(ROUND(AVERAGE($C173,$E173,$G173,$I173,$K173,$M173,$O173,$Q173,$S173,$U173,$W173,$Y173,$AA173,$AC173,$AE173),2)-$B173/2&lt;=U173,IF(ROUND(AVERAGE($C173,$E173,$G173,$I173,$K173,$M173,$O173,$Q173,$S173,$U173,$W173,$Y173,$AA173,$AC173,$AE173),2)+$B173/2&gt;U173,($G$5/$B$5),0),0))))</f>
        <v/>
      </c>
      <c r="W173" s="141" t="str">
        <f>IF($W$8="Habilitado",IF($A173="","",ROUND(VLOOKUP($A173,'Presupuesto Consolidado'!#REF!,6,FALSE),2)),"")</f>
        <v/>
      </c>
      <c r="X173" s="142" t="str">
        <f t="shared" ref="X173" si="2185">IF($A173="","",IF(W173="","",IF($K$4="Media aritmética",(W173&lt;=$B173)*($G$5/$B$5)+(W173&gt;$B173)*0,IF(ROUND(AVERAGE($C173,$E173,$G173,$I173,$K173,$M173,$O173,$Q173,$S173,$U173,$W173,$Y173,$AA173,$AC173,$AE173),2)-$B173/2&lt;=W173,IF(ROUND(AVERAGE($C173,$E173,$G173,$I173,$K173,$M173,$O173,$Q173,$S173,$U173,$W173,$Y173,$AA173,$AC173,$AE173),2)+$B173/2&gt;W173,($G$5/$B$5),0),0))))</f>
        <v/>
      </c>
      <c r="Y173" s="141" t="str">
        <f>IF($Y$8="Habilitado",IF($A173="","",ROUND(VLOOKUP($A173,'Presupuesto Consolidado'!#REF!,6,FALSE),2)),"")</f>
        <v/>
      </c>
      <c r="Z173" s="142" t="str">
        <f t="shared" ref="Z173" si="2186">IF($A173="","",IF(Y173="","",IF($K$4="Media aritmética",(Y173&lt;=$B173)*($G$5/$B$5)+(Y173&gt;$B173)*0,IF(ROUND(AVERAGE($C173,$E173,$G173,$I173,$K173,$M173,$O173,$Q173,$S173,$U173,$W173,$Y173,$AA173,$AC173,$AE173),2)-$B173/2&lt;=Y173,IF(ROUND(AVERAGE($C173,$E173,$G173,$I173,$K173,$M173,$O173,$Q173,$S173,$U173,$W173,$Y173,$AA173,$AC173,$AE173),2)+$B173/2&gt;Y173,($G$5/$B$5),0),0))))</f>
        <v/>
      </c>
      <c r="AA173" s="141" t="str">
        <f>IF($AA$8="Habilitado",IF($A173="","",ROUND(VLOOKUP($A173,'Presupuesto Consolidado'!#REF!,6,FALSE),2)),"")</f>
        <v/>
      </c>
      <c r="AB173" s="142" t="str">
        <f t="shared" ref="AB173" si="2187">IF($A173="","",IF(AA173="","",IF($K$4="Media aritmética",(AA173&lt;=$B173)*($G$5/$B$5)+(AA173&gt;$B173)*0,IF(ROUND(AVERAGE($C173,$E173,$G173,$I173,$K173,$M173,$O173,$Q173,$S173,$U173,$W173,$Y173,$AA173,$AC173,$AE173),2)-$B173/2&lt;=AA173,IF(ROUND(AVERAGE($C173,$E173,$G173,$I173,$K173,$M173,$O173,$Q173,$S173,$U173,$W173,$Y173,$AA173,$AC173,$AE173),2)+$B173/2&gt;AA173,($G$5/$B$5),0),0))))</f>
        <v/>
      </c>
      <c r="AC173" s="141" t="str">
        <f>IF($AC$8="Habilitado",IF($A173="","",ROUND(VLOOKUP($A173,'Presupuesto Consolidado'!#REF!,6,FALSE),2)),"")</f>
        <v/>
      </c>
      <c r="AD173" s="142" t="str">
        <f t="shared" ref="AD173" si="2188">IF($A173="","",IF(AC173="","",IF($K$4="Media aritmética",(AC173&lt;=$B173)*($G$5/$B$5)+(AC173&gt;$B173)*0,IF(ROUND(AVERAGE($C173,$E173,$G173,$I173,$K173,$M173,$O173,$Q173,$S173,$U173,$W173,$Y173,$AA173,$AC173,$AE173),2)-$B173/2&lt;=AC173,IF(ROUND(AVERAGE($C173,$E173,$G173,$I173,$K173,$M173,$O173,$Q173,$S173,$U173,$W173,$Y173,$AA173,$AC173,$AE173),2)+$B173/2&gt;AC173,($G$5/$B$5),0),0))))</f>
        <v/>
      </c>
      <c r="AE173" s="141" t="str">
        <f>IF($AE$8="Habilitado",IF($A173="","",ROUND(VLOOKUP($A173,'Presupuesto Consolidado'!#REF!,6,FALSE),2)),"")</f>
        <v/>
      </c>
      <c r="AF173" s="142" t="str">
        <f t="shared" ref="AF173" si="2189">IF($A173="","",IF(AE173="","",IF($K$4="Media aritmética",(AE173&lt;=$B173)*($G$5/$B$5)+(AE173&gt;$B173)*0,IF(ROUND(AVERAGE($C173,$E173,$G173,$I173,$K173,$M173,$O173,$Q173,$S173,$U173,$W173,$Y173,$AA173,$AC173,$AE173),2)-$B173/2&lt;=AE173,IF(ROUND(AVERAGE($C173,$E173,$G173,$I173,$K173,$M173,$O173,$Q173,$S173,$U173,$W173,$Y173,$AA173,$AC173,$AE173),2)+$B173/2&gt;AE173,($G$5/$B$5),0),0))))</f>
        <v/>
      </c>
    </row>
    <row r="174" spans="1:32" s="135" customFormat="1" ht="21" customHeight="1">
      <c r="A174" s="132" t="str">
        <f>+'Presupuesto Consolidado'!A201</f>
        <v>12.5.18</v>
      </c>
      <c r="B174" s="140">
        <f t="shared" ref="B174" si="2190">IF(A174="","",IF($K$4="Media aritmética",ROUND(AVERAGE(C174,E174,G174,I174,K174,M174,O174,Q174,S174,U174,W174,Y174,AA174,AC174,AE174),2),ROUND(_xlfn.STDEV.P(C174,E174,G174,I174,K174,M174,O174,Q174,S174,U174,W174,Y174,AA174,AC174,AE174),2)))</f>
        <v>77625</v>
      </c>
      <c r="C174" s="141">
        <f>IF($C$8="Habilitado",IF($A174="","",ROUND(VLOOKUP($A174,'Presupuesto Consolidado'!$A$9:$F$600,6,FALSE),2)),"")</f>
        <v>77625</v>
      </c>
      <c r="D174" s="142">
        <f t="shared" ref="D174" si="2191">IF($A174="","",IF(C174="","",IF($K$4="Media aritmética",(C174&lt;=$B174)*($G$5/$B$5)+(C174&gt;$B174)*0,IF(ROUND(AVERAGE($C174,$E174,$G174,$I174,$K174,$M174,$O174,$Q174,$S174,$U174,$W174,$Y174,$AA174,$AC174,$AE174),2)-$B174/2&lt;=C174,IF(ROUND(AVERAGE($C174,$E174,$G174,$I174,$K174,$M174,$O174,$Q174,$S174,$U174,$W174,$Y174,$AA174,$AC174,$AE174),2)+$B174/2&gt;C174,($G$5/$B$5),0),0))))</f>
        <v>0.45714285714285713</v>
      </c>
      <c r="E174" s="141" t="str">
        <f>IF($E$8="Habilitado",IF($A174="","",ROUND(VLOOKUP($A174,'Presupuesto Consolidado'!$I$9:$N$600,6,FALSE),2)),"")</f>
        <v/>
      </c>
      <c r="F174" s="142" t="str">
        <f t="shared" ref="F174" si="2192">IF($A174="","",IF(E174="","",IF($K$4="Media aritmética",(E174&lt;=$B174)*($G$5/$B$5)+(E174&gt;$B174)*0,IF(ROUND(AVERAGE($C174,$E174,$G174,$I174,$K174,$M174,$O174,$Q174,$S174,$U174,$W174,$Y174,$AA174,$AC174,$AE174),2)-$B174/2&lt;=E174,IF(ROUND(AVERAGE($C174,$E174,$G174,$I174,$K174,$M174,$O174,$Q174,$S174,$U174,$W174,$Y174,$AA174,$AC174,$AE174),2)+$B174/2&gt;E174,($G$5/$B$5),0),0))))</f>
        <v/>
      </c>
      <c r="G174" s="141" t="str">
        <f>IF($G$8="Habilitado",IF($A174="","",ROUND(VLOOKUP($A174,'Presupuesto Consolidado'!$Q$9:$V$600,6,FALSE),2)),"")</f>
        <v/>
      </c>
      <c r="H174" s="142" t="str">
        <f t="shared" ref="H174" si="2193">IF($A174="","",IF(G174="","",IF($K$4="Media aritmética",(G174&lt;=$B174)*($G$5/$B$5)+(G174&gt;$B174)*0,IF(ROUND(AVERAGE($C174,$E174,$G174,$I174,$K174,$M174,$O174,$Q174,$S174,$U174,$W174,$Y174,$AA174,$AC174,$AE174),2)-$B174/2&lt;=G174,IF(ROUND(AVERAGE($C174,$E174,$G174,$I174,$K174,$M174,$O174,$Q174,$S174,$U174,$W174,$Y174,$AA174,$AC174,$AE174),2)+$B174/2&gt;G174,($G$5/$B$5),0),0))))</f>
        <v/>
      </c>
      <c r="I174" s="141" t="str">
        <f>IF($I$8="Habilitado",IF($A174="","",ROUND(VLOOKUP($A174,'Presupuesto Consolidado'!$Y$9:$AD$600,6,FALSE),2)),"")</f>
        <v/>
      </c>
      <c r="J174" s="142" t="str">
        <f t="shared" ref="J174" si="2194">IF($A174="","",IF(I174="","",IF($K$4="Media aritmética",(I174&lt;=$B174)*($G$5/$B$5)+(I174&gt;$B174)*0,IF(ROUND(AVERAGE($C174,$E174,$G174,$I174,$K174,$M174,$O174,$Q174,$S174,$U174,$W174,$Y174,$AA174,$AC174,$AE174),2)-$B174/2&lt;=I174,IF(ROUND(AVERAGE($C174,$E174,$G174,$I174,$K174,$M174,$O174,$Q174,$S174,$U174,$W174,$Y174,$AA174,$AC174,$AE174),2)+$B174/2&gt;I174,($G$5/$B$5),0),0))))</f>
        <v/>
      </c>
      <c r="K174" s="141" t="str">
        <f>IF($K$8="Habilitado",IF($A174="","",ROUND(VLOOKUP($A174,'Presupuesto Consolidado'!#REF!,6,FALSE),2)),"")</f>
        <v/>
      </c>
      <c r="L174" s="142" t="str">
        <f t="shared" ref="L174" si="2195">IF($A174="","",IF(K174="","",IF($K$4="Media aritmética",(K174&lt;=$B174)*($G$5/$B$5)+(K174&gt;$B174)*0,IF(ROUND(AVERAGE($C174,$E174,$G174,$I174,$K174,$M174,$O174,$Q174,$S174,$U174,$W174,$Y174,$AA174,$AC174,$AE174),2)-$B174/2&lt;=K174,IF(ROUND(AVERAGE($C174,$E174,$G174,$I174,$K174,$M174,$O174,$Q174,$S174,$U174,$W174,$Y174,$AA174,$AC174,$AE174),2)+$B174/2&gt;K174,($G$5/$B$5),0),0))))</f>
        <v/>
      </c>
      <c r="M174" s="141" t="str">
        <f>IF($M$8="Habilitado",IF($A174="","",ROUND(VLOOKUP($A174,'Presupuesto Consolidado'!#REF!,6,FALSE),2)),"")</f>
        <v/>
      </c>
      <c r="N174" s="142" t="str">
        <f t="shared" ref="N174" si="2196">IF($A174="","",IF(M174="","",IF($K$4="Media aritmética",(M174&lt;=$B174)*($G$5/$B$5)+(M174&gt;$B174)*0,IF(ROUND(AVERAGE($C174,$E174,$G174,$I174,$K174,$M174,$O174,$Q174,$S174,$U174,$W174,$Y174,$AA174,$AC174,$AE174),2)-$B174/2&lt;=M174,IF(ROUND(AVERAGE($C174,$E174,$G174,$I174,$K174,$M174,$O174,$Q174,$S174,$U174,$W174,$Y174,$AA174,$AC174,$AE174),2)+$B174/2&gt;M174,($G$5/$B$5),0),0))))</f>
        <v/>
      </c>
      <c r="O174" s="141" t="str">
        <f>IF($O$8="Habilitado",IF($A174="","",ROUND(VLOOKUP($A174,'Presupuesto Consolidado'!#REF!,6,FALSE),2)),"")</f>
        <v/>
      </c>
      <c r="P174" s="142" t="str">
        <f t="shared" ref="P174" si="2197">IF($A174="","",IF(O174="","",IF($K$4="Media aritmética",(O174&lt;=$B174)*($G$5/$B$5)+(O174&gt;$B174)*0,IF(ROUND(AVERAGE($C174,$E174,$G174,$I174,$K174,$M174,$O174,$Q174,$S174,$U174,$W174,$Y174,$AA174,$AC174,$AE174),2)-$B174/2&lt;=O174,IF(ROUND(AVERAGE($C174,$E174,$G174,$I174,$K174,$M174,$O174,$Q174,$S174,$U174,$W174,$Y174,$AA174,$AC174,$AE174),2)+$B174/2&gt;O174,($G$5/$B$5),0),0))))</f>
        <v/>
      </c>
      <c r="Q174" s="141" t="str">
        <f>IF($Q$8="Habilitado",IF($A174="","",ROUND(VLOOKUP($A174,'Presupuesto Consolidado'!#REF!,6,FALSE),2)),"")</f>
        <v/>
      </c>
      <c r="R174" s="142" t="str">
        <f t="shared" ref="R174" si="2198">IF($A174="","",IF(Q174="","",IF($K$4="Media aritmética",(Q174&lt;=$B174)*($G$5/$B$5)+(Q174&gt;$B174)*0,IF(ROUND(AVERAGE($C174,$E174,$G174,$I174,$K174,$M174,$O174,$Q174,$S174,$U174,$W174,$Y174,$AA174,$AC174,$AE174),2)-$B174/2&lt;=Q174,IF(ROUND(AVERAGE($C174,$E174,$G174,$I174,$K174,$M174,$O174,$Q174,$S174,$U174,$W174,$Y174,$AA174,$AC174,$AE174),2)+$B174/2&gt;Q174,($G$5/$B$5),0),0))))</f>
        <v/>
      </c>
      <c r="S174" s="141" t="str">
        <f>IF($S$8="Habilitado",IF($A174="","",ROUND(VLOOKUP($A174,'Presupuesto Consolidado'!#REF!,6,FALSE),2)),"")</f>
        <v/>
      </c>
      <c r="T174" s="142" t="str">
        <f t="shared" ref="T174" si="2199">IF($A174="","",IF(S174="","",IF($K$4="Media aritmética",(S174&lt;=$B174)*($G$5/$B$5)+(S174&gt;$B174)*0,IF(ROUND(AVERAGE($C174,$E174,$G174,$I174,$K174,$M174,$O174,$Q174,$S174,$U174,$W174,$Y174,$AA174,$AC174,$AE174),2)-$B174/2&lt;=S174,IF(ROUND(AVERAGE($C174,$E174,$G174,$I174,$K174,$M174,$O174,$Q174,$S174,$U174,$W174,$Y174,$AA174,$AC174,$AE174),2)+$B174/2&gt;S174,($G$5/$B$5),0),0))))</f>
        <v/>
      </c>
      <c r="U174" s="141" t="str">
        <f>IF($U$8="Habilitado",IF($A174="","",ROUND(VLOOKUP($A174,'Presupuesto Consolidado'!#REF!,6,FALSE),2)),"")</f>
        <v/>
      </c>
      <c r="V174" s="142" t="str">
        <f t="shared" ref="V174" si="2200">IF($A174="","",IF(U174="","",IF($K$4="Media aritmética",(U174&lt;=$B174)*($G$5/$B$5)+(U174&gt;$B174)*0,IF(ROUND(AVERAGE($C174,$E174,$G174,$I174,$K174,$M174,$O174,$Q174,$S174,$U174,$W174,$Y174,$AA174,$AC174,$AE174),2)-$B174/2&lt;=U174,IF(ROUND(AVERAGE($C174,$E174,$G174,$I174,$K174,$M174,$O174,$Q174,$S174,$U174,$W174,$Y174,$AA174,$AC174,$AE174),2)+$B174/2&gt;U174,($G$5/$B$5),0),0))))</f>
        <v/>
      </c>
      <c r="W174" s="141" t="str">
        <f>IF($W$8="Habilitado",IF($A174="","",ROUND(VLOOKUP($A174,'Presupuesto Consolidado'!#REF!,6,FALSE),2)),"")</f>
        <v/>
      </c>
      <c r="X174" s="142" t="str">
        <f t="shared" ref="X174" si="2201">IF($A174="","",IF(W174="","",IF($K$4="Media aritmética",(W174&lt;=$B174)*($G$5/$B$5)+(W174&gt;$B174)*0,IF(ROUND(AVERAGE($C174,$E174,$G174,$I174,$K174,$M174,$O174,$Q174,$S174,$U174,$W174,$Y174,$AA174,$AC174,$AE174),2)-$B174/2&lt;=W174,IF(ROUND(AVERAGE($C174,$E174,$G174,$I174,$K174,$M174,$O174,$Q174,$S174,$U174,$W174,$Y174,$AA174,$AC174,$AE174),2)+$B174/2&gt;W174,($G$5/$B$5),0),0))))</f>
        <v/>
      </c>
      <c r="Y174" s="141" t="str">
        <f>IF($Y$8="Habilitado",IF($A174="","",ROUND(VLOOKUP($A174,'Presupuesto Consolidado'!#REF!,6,FALSE),2)),"")</f>
        <v/>
      </c>
      <c r="Z174" s="142" t="str">
        <f t="shared" ref="Z174" si="2202">IF($A174="","",IF(Y174="","",IF($K$4="Media aritmética",(Y174&lt;=$B174)*($G$5/$B$5)+(Y174&gt;$B174)*0,IF(ROUND(AVERAGE($C174,$E174,$G174,$I174,$K174,$M174,$O174,$Q174,$S174,$U174,$W174,$Y174,$AA174,$AC174,$AE174),2)-$B174/2&lt;=Y174,IF(ROUND(AVERAGE($C174,$E174,$G174,$I174,$K174,$M174,$O174,$Q174,$S174,$U174,$W174,$Y174,$AA174,$AC174,$AE174),2)+$B174/2&gt;Y174,($G$5/$B$5),0),0))))</f>
        <v/>
      </c>
      <c r="AA174" s="141" t="str">
        <f>IF($AA$8="Habilitado",IF($A174="","",ROUND(VLOOKUP($A174,'Presupuesto Consolidado'!#REF!,6,FALSE),2)),"")</f>
        <v/>
      </c>
      <c r="AB174" s="142" t="str">
        <f t="shared" ref="AB174" si="2203">IF($A174="","",IF(AA174="","",IF($K$4="Media aritmética",(AA174&lt;=$B174)*($G$5/$B$5)+(AA174&gt;$B174)*0,IF(ROUND(AVERAGE($C174,$E174,$G174,$I174,$K174,$M174,$O174,$Q174,$S174,$U174,$W174,$Y174,$AA174,$AC174,$AE174),2)-$B174/2&lt;=AA174,IF(ROUND(AVERAGE($C174,$E174,$G174,$I174,$K174,$M174,$O174,$Q174,$S174,$U174,$W174,$Y174,$AA174,$AC174,$AE174),2)+$B174/2&gt;AA174,($G$5/$B$5),0),0))))</f>
        <v/>
      </c>
      <c r="AC174" s="141" t="str">
        <f>IF($AC$8="Habilitado",IF($A174="","",ROUND(VLOOKUP($A174,'Presupuesto Consolidado'!#REF!,6,FALSE),2)),"")</f>
        <v/>
      </c>
      <c r="AD174" s="142" t="str">
        <f t="shared" ref="AD174" si="2204">IF($A174="","",IF(AC174="","",IF($K$4="Media aritmética",(AC174&lt;=$B174)*($G$5/$B$5)+(AC174&gt;$B174)*0,IF(ROUND(AVERAGE($C174,$E174,$G174,$I174,$K174,$M174,$O174,$Q174,$S174,$U174,$W174,$Y174,$AA174,$AC174,$AE174),2)-$B174/2&lt;=AC174,IF(ROUND(AVERAGE($C174,$E174,$G174,$I174,$K174,$M174,$O174,$Q174,$S174,$U174,$W174,$Y174,$AA174,$AC174,$AE174),2)+$B174/2&gt;AC174,($G$5/$B$5),0),0))))</f>
        <v/>
      </c>
      <c r="AE174" s="141" t="str">
        <f>IF($AE$8="Habilitado",IF($A174="","",ROUND(VLOOKUP($A174,'Presupuesto Consolidado'!#REF!,6,FALSE),2)),"")</f>
        <v/>
      </c>
      <c r="AF174" s="142" t="str">
        <f t="shared" ref="AF174" si="2205">IF($A174="","",IF(AE174="","",IF($K$4="Media aritmética",(AE174&lt;=$B174)*($G$5/$B$5)+(AE174&gt;$B174)*0,IF(ROUND(AVERAGE($C174,$E174,$G174,$I174,$K174,$M174,$O174,$Q174,$S174,$U174,$W174,$Y174,$AA174,$AC174,$AE174),2)-$B174/2&lt;=AE174,IF(ROUND(AVERAGE($C174,$E174,$G174,$I174,$K174,$M174,$O174,$Q174,$S174,$U174,$W174,$Y174,$AA174,$AC174,$AE174),2)+$B174/2&gt;AE174,($G$5/$B$5),0),0))))</f>
        <v/>
      </c>
    </row>
    <row r="175" spans="1:32" s="135" customFormat="1" ht="21" customHeight="1">
      <c r="A175" s="132" t="str">
        <f>+'Presupuesto Consolidado'!A202</f>
        <v>12.5.19</v>
      </c>
      <c r="B175" s="140">
        <f t="shared" ref="B175" si="2206">IF(A175="","",IF($K$4="Media aritmética",ROUND(AVERAGE(C175,E175,G175,I175,K175,M175,O175,Q175,S175,U175,W175,Y175,AA175,AC175,AE175),2),ROUND(_xlfn.STDEV.P(C175,E175,G175,I175,K175,M175,O175,Q175,S175,U175,W175,Y175,AA175,AC175,AE175),2)))</f>
        <v>31050</v>
      </c>
      <c r="C175" s="141">
        <f>IF($C$8="Habilitado",IF($A175="","",ROUND(VLOOKUP($A175,'Presupuesto Consolidado'!$A$9:$F$600,6,FALSE),2)),"")</f>
        <v>31050</v>
      </c>
      <c r="D175" s="142">
        <f t="shared" ref="D175" si="2207">IF($A175="","",IF(C175="","",IF($K$4="Media aritmética",(C175&lt;=$B175)*($G$5/$B$5)+(C175&gt;$B175)*0,IF(ROUND(AVERAGE($C175,$E175,$G175,$I175,$K175,$M175,$O175,$Q175,$S175,$U175,$W175,$Y175,$AA175,$AC175,$AE175),2)-$B175/2&lt;=C175,IF(ROUND(AVERAGE($C175,$E175,$G175,$I175,$K175,$M175,$O175,$Q175,$S175,$U175,$W175,$Y175,$AA175,$AC175,$AE175),2)+$B175/2&gt;C175,($G$5/$B$5),0),0))))</f>
        <v>0.45714285714285713</v>
      </c>
      <c r="E175" s="141" t="str">
        <f>IF($E$8="Habilitado",IF($A175="","",ROUND(VLOOKUP($A175,'Presupuesto Consolidado'!$I$9:$N$600,6,FALSE),2)),"")</f>
        <v/>
      </c>
      <c r="F175" s="142" t="str">
        <f t="shared" ref="F175" si="2208">IF($A175="","",IF(E175="","",IF($K$4="Media aritmética",(E175&lt;=$B175)*($G$5/$B$5)+(E175&gt;$B175)*0,IF(ROUND(AVERAGE($C175,$E175,$G175,$I175,$K175,$M175,$O175,$Q175,$S175,$U175,$W175,$Y175,$AA175,$AC175,$AE175),2)-$B175/2&lt;=E175,IF(ROUND(AVERAGE($C175,$E175,$G175,$I175,$K175,$M175,$O175,$Q175,$S175,$U175,$W175,$Y175,$AA175,$AC175,$AE175),2)+$B175/2&gt;E175,($G$5/$B$5),0),0))))</f>
        <v/>
      </c>
      <c r="G175" s="141" t="str">
        <f>IF($G$8="Habilitado",IF($A175="","",ROUND(VLOOKUP($A175,'Presupuesto Consolidado'!$Q$9:$V$600,6,FALSE),2)),"")</f>
        <v/>
      </c>
      <c r="H175" s="142" t="str">
        <f t="shared" ref="H175" si="2209">IF($A175="","",IF(G175="","",IF($K$4="Media aritmética",(G175&lt;=$B175)*($G$5/$B$5)+(G175&gt;$B175)*0,IF(ROUND(AVERAGE($C175,$E175,$G175,$I175,$K175,$M175,$O175,$Q175,$S175,$U175,$W175,$Y175,$AA175,$AC175,$AE175),2)-$B175/2&lt;=G175,IF(ROUND(AVERAGE($C175,$E175,$G175,$I175,$K175,$M175,$O175,$Q175,$S175,$U175,$W175,$Y175,$AA175,$AC175,$AE175),2)+$B175/2&gt;G175,($G$5/$B$5),0),0))))</f>
        <v/>
      </c>
      <c r="I175" s="141" t="str">
        <f>IF($I$8="Habilitado",IF($A175="","",ROUND(VLOOKUP($A175,'Presupuesto Consolidado'!$Y$9:$AD$600,6,FALSE),2)),"")</f>
        <v/>
      </c>
      <c r="J175" s="142" t="str">
        <f t="shared" ref="J175" si="2210">IF($A175="","",IF(I175="","",IF($K$4="Media aritmética",(I175&lt;=$B175)*($G$5/$B$5)+(I175&gt;$B175)*0,IF(ROUND(AVERAGE($C175,$E175,$G175,$I175,$K175,$M175,$O175,$Q175,$S175,$U175,$W175,$Y175,$AA175,$AC175,$AE175),2)-$B175/2&lt;=I175,IF(ROUND(AVERAGE($C175,$E175,$G175,$I175,$K175,$M175,$O175,$Q175,$S175,$U175,$W175,$Y175,$AA175,$AC175,$AE175),2)+$B175/2&gt;I175,($G$5/$B$5),0),0))))</f>
        <v/>
      </c>
      <c r="K175" s="141" t="str">
        <f>IF($K$8="Habilitado",IF($A175="","",ROUND(VLOOKUP($A175,'Presupuesto Consolidado'!#REF!,6,FALSE),2)),"")</f>
        <v/>
      </c>
      <c r="L175" s="142" t="str">
        <f t="shared" ref="L175" si="2211">IF($A175="","",IF(K175="","",IF($K$4="Media aritmética",(K175&lt;=$B175)*($G$5/$B$5)+(K175&gt;$B175)*0,IF(ROUND(AVERAGE($C175,$E175,$G175,$I175,$K175,$M175,$O175,$Q175,$S175,$U175,$W175,$Y175,$AA175,$AC175,$AE175),2)-$B175/2&lt;=K175,IF(ROUND(AVERAGE($C175,$E175,$G175,$I175,$K175,$M175,$O175,$Q175,$S175,$U175,$W175,$Y175,$AA175,$AC175,$AE175),2)+$B175/2&gt;K175,($G$5/$B$5),0),0))))</f>
        <v/>
      </c>
      <c r="M175" s="141" t="str">
        <f>IF($M$8="Habilitado",IF($A175="","",ROUND(VLOOKUP($A175,'Presupuesto Consolidado'!#REF!,6,FALSE),2)),"")</f>
        <v/>
      </c>
      <c r="N175" s="142" t="str">
        <f t="shared" ref="N175" si="2212">IF($A175="","",IF(M175="","",IF($K$4="Media aritmética",(M175&lt;=$B175)*($G$5/$B$5)+(M175&gt;$B175)*0,IF(ROUND(AVERAGE($C175,$E175,$G175,$I175,$K175,$M175,$O175,$Q175,$S175,$U175,$W175,$Y175,$AA175,$AC175,$AE175),2)-$B175/2&lt;=M175,IF(ROUND(AVERAGE($C175,$E175,$G175,$I175,$K175,$M175,$O175,$Q175,$S175,$U175,$W175,$Y175,$AA175,$AC175,$AE175),2)+$B175/2&gt;M175,($G$5/$B$5),0),0))))</f>
        <v/>
      </c>
      <c r="O175" s="141" t="str">
        <f>IF($O$8="Habilitado",IF($A175="","",ROUND(VLOOKUP($A175,'Presupuesto Consolidado'!#REF!,6,FALSE),2)),"")</f>
        <v/>
      </c>
      <c r="P175" s="142" t="str">
        <f t="shared" ref="P175" si="2213">IF($A175="","",IF(O175="","",IF($K$4="Media aritmética",(O175&lt;=$B175)*($G$5/$B$5)+(O175&gt;$B175)*0,IF(ROUND(AVERAGE($C175,$E175,$G175,$I175,$K175,$M175,$O175,$Q175,$S175,$U175,$W175,$Y175,$AA175,$AC175,$AE175),2)-$B175/2&lt;=O175,IF(ROUND(AVERAGE($C175,$E175,$G175,$I175,$K175,$M175,$O175,$Q175,$S175,$U175,$W175,$Y175,$AA175,$AC175,$AE175),2)+$B175/2&gt;O175,($G$5/$B$5),0),0))))</f>
        <v/>
      </c>
      <c r="Q175" s="141" t="str">
        <f>IF($Q$8="Habilitado",IF($A175="","",ROUND(VLOOKUP($A175,'Presupuesto Consolidado'!#REF!,6,FALSE),2)),"")</f>
        <v/>
      </c>
      <c r="R175" s="142" t="str">
        <f t="shared" ref="R175" si="2214">IF($A175="","",IF(Q175="","",IF($K$4="Media aritmética",(Q175&lt;=$B175)*($G$5/$B$5)+(Q175&gt;$B175)*0,IF(ROUND(AVERAGE($C175,$E175,$G175,$I175,$K175,$M175,$O175,$Q175,$S175,$U175,$W175,$Y175,$AA175,$AC175,$AE175),2)-$B175/2&lt;=Q175,IF(ROUND(AVERAGE($C175,$E175,$G175,$I175,$K175,$M175,$O175,$Q175,$S175,$U175,$W175,$Y175,$AA175,$AC175,$AE175),2)+$B175/2&gt;Q175,($G$5/$B$5),0),0))))</f>
        <v/>
      </c>
      <c r="S175" s="141" t="str">
        <f>IF($S$8="Habilitado",IF($A175="","",ROUND(VLOOKUP($A175,'Presupuesto Consolidado'!#REF!,6,FALSE),2)),"")</f>
        <v/>
      </c>
      <c r="T175" s="142" t="str">
        <f t="shared" ref="T175" si="2215">IF($A175="","",IF(S175="","",IF($K$4="Media aritmética",(S175&lt;=$B175)*($G$5/$B$5)+(S175&gt;$B175)*0,IF(ROUND(AVERAGE($C175,$E175,$G175,$I175,$K175,$M175,$O175,$Q175,$S175,$U175,$W175,$Y175,$AA175,$AC175,$AE175),2)-$B175/2&lt;=S175,IF(ROUND(AVERAGE($C175,$E175,$G175,$I175,$K175,$M175,$O175,$Q175,$S175,$U175,$W175,$Y175,$AA175,$AC175,$AE175),2)+$B175/2&gt;S175,($G$5/$B$5),0),0))))</f>
        <v/>
      </c>
      <c r="U175" s="141" t="str">
        <f>IF($U$8="Habilitado",IF($A175="","",ROUND(VLOOKUP($A175,'Presupuesto Consolidado'!#REF!,6,FALSE),2)),"")</f>
        <v/>
      </c>
      <c r="V175" s="142" t="str">
        <f t="shared" ref="V175" si="2216">IF($A175="","",IF(U175="","",IF($K$4="Media aritmética",(U175&lt;=$B175)*($G$5/$B$5)+(U175&gt;$B175)*0,IF(ROUND(AVERAGE($C175,$E175,$G175,$I175,$K175,$M175,$O175,$Q175,$S175,$U175,$W175,$Y175,$AA175,$AC175,$AE175),2)-$B175/2&lt;=U175,IF(ROUND(AVERAGE($C175,$E175,$G175,$I175,$K175,$M175,$O175,$Q175,$S175,$U175,$W175,$Y175,$AA175,$AC175,$AE175),2)+$B175/2&gt;U175,($G$5/$B$5),0),0))))</f>
        <v/>
      </c>
      <c r="W175" s="141" t="str">
        <f>IF($W$8="Habilitado",IF($A175="","",ROUND(VLOOKUP($A175,'Presupuesto Consolidado'!#REF!,6,FALSE),2)),"")</f>
        <v/>
      </c>
      <c r="X175" s="142" t="str">
        <f t="shared" ref="X175" si="2217">IF($A175="","",IF(W175="","",IF($K$4="Media aritmética",(W175&lt;=$B175)*($G$5/$B$5)+(W175&gt;$B175)*0,IF(ROUND(AVERAGE($C175,$E175,$G175,$I175,$K175,$M175,$O175,$Q175,$S175,$U175,$W175,$Y175,$AA175,$AC175,$AE175),2)-$B175/2&lt;=W175,IF(ROUND(AVERAGE($C175,$E175,$G175,$I175,$K175,$M175,$O175,$Q175,$S175,$U175,$W175,$Y175,$AA175,$AC175,$AE175),2)+$B175/2&gt;W175,($G$5/$B$5),0),0))))</f>
        <v/>
      </c>
      <c r="Y175" s="141" t="str">
        <f>IF($Y$8="Habilitado",IF($A175="","",ROUND(VLOOKUP($A175,'Presupuesto Consolidado'!#REF!,6,FALSE),2)),"")</f>
        <v/>
      </c>
      <c r="Z175" s="142" t="str">
        <f t="shared" ref="Z175" si="2218">IF($A175="","",IF(Y175="","",IF($K$4="Media aritmética",(Y175&lt;=$B175)*($G$5/$B$5)+(Y175&gt;$B175)*0,IF(ROUND(AVERAGE($C175,$E175,$G175,$I175,$K175,$M175,$O175,$Q175,$S175,$U175,$W175,$Y175,$AA175,$AC175,$AE175),2)-$B175/2&lt;=Y175,IF(ROUND(AVERAGE($C175,$E175,$G175,$I175,$K175,$M175,$O175,$Q175,$S175,$U175,$W175,$Y175,$AA175,$AC175,$AE175),2)+$B175/2&gt;Y175,($G$5/$B$5),0),0))))</f>
        <v/>
      </c>
      <c r="AA175" s="141" t="str">
        <f>IF($AA$8="Habilitado",IF($A175="","",ROUND(VLOOKUP($A175,'Presupuesto Consolidado'!#REF!,6,FALSE),2)),"")</f>
        <v/>
      </c>
      <c r="AB175" s="142" t="str">
        <f t="shared" ref="AB175" si="2219">IF($A175="","",IF(AA175="","",IF($K$4="Media aritmética",(AA175&lt;=$B175)*($G$5/$B$5)+(AA175&gt;$B175)*0,IF(ROUND(AVERAGE($C175,$E175,$G175,$I175,$K175,$M175,$O175,$Q175,$S175,$U175,$W175,$Y175,$AA175,$AC175,$AE175),2)-$B175/2&lt;=AA175,IF(ROUND(AVERAGE($C175,$E175,$G175,$I175,$K175,$M175,$O175,$Q175,$S175,$U175,$W175,$Y175,$AA175,$AC175,$AE175),2)+$B175/2&gt;AA175,($G$5/$B$5),0),0))))</f>
        <v/>
      </c>
      <c r="AC175" s="141" t="str">
        <f>IF($AC$8="Habilitado",IF($A175="","",ROUND(VLOOKUP($A175,'Presupuesto Consolidado'!#REF!,6,FALSE),2)),"")</f>
        <v/>
      </c>
      <c r="AD175" s="142" t="str">
        <f t="shared" ref="AD175" si="2220">IF($A175="","",IF(AC175="","",IF($K$4="Media aritmética",(AC175&lt;=$B175)*($G$5/$B$5)+(AC175&gt;$B175)*0,IF(ROUND(AVERAGE($C175,$E175,$G175,$I175,$K175,$M175,$O175,$Q175,$S175,$U175,$W175,$Y175,$AA175,$AC175,$AE175),2)-$B175/2&lt;=AC175,IF(ROUND(AVERAGE($C175,$E175,$G175,$I175,$K175,$M175,$O175,$Q175,$S175,$U175,$W175,$Y175,$AA175,$AC175,$AE175),2)+$B175/2&gt;AC175,($G$5/$B$5),0),0))))</f>
        <v/>
      </c>
      <c r="AE175" s="141" t="str">
        <f>IF($AE$8="Habilitado",IF($A175="","",ROUND(VLOOKUP($A175,'Presupuesto Consolidado'!#REF!,6,FALSE),2)),"")</f>
        <v/>
      </c>
      <c r="AF175" s="142" t="str">
        <f t="shared" ref="AF175" si="2221">IF($A175="","",IF(AE175="","",IF($K$4="Media aritmética",(AE175&lt;=$B175)*($G$5/$B$5)+(AE175&gt;$B175)*0,IF(ROUND(AVERAGE($C175,$E175,$G175,$I175,$K175,$M175,$O175,$Q175,$S175,$U175,$W175,$Y175,$AA175,$AC175,$AE175),2)-$B175/2&lt;=AE175,IF(ROUND(AVERAGE($C175,$E175,$G175,$I175,$K175,$M175,$O175,$Q175,$S175,$U175,$W175,$Y175,$AA175,$AC175,$AE175),2)+$B175/2&gt;AE175,($G$5/$B$5),0),0))))</f>
        <v/>
      </c>
    </row>
    <row r="176" spans="1:32" s="135" customFormat="1" ht="21" customHeight="1">
      <c r="A176" s="132" t="str">
        <f>+'Presupuesto Consolidado'!A203</f>
        <v>12.5.20</v>
      </c>
      <c r="B176" s="140">
        <f t="shared" ref="B176" si="2222">IF(A176="","",IF($K$4="Media aritmética",ROUND(AVERAGE(C176,E176,G176,I176,K176,M176,O176,Q176,S176,U176,W176,Y176,AA176,AC176,AE176),2),ROUND(_xlfn.STDEV.P(C176,E176,G176,I176,K176,M176,O176,Q176,S176,U176,W176,Y176,AA176,AC176,AE176),2)))</f>
        <v>31050</v>
      </c>
      <c r="C176" s="141">
        <f>IF($C$8="Habilitado",IF($A176="","",ROUND(VLOOKUP($A176,'Presupuesto Consolidado'!$A$9:$F$600,6,FALSE),2)),"")</f>
        <v>31050</v>
      </c>
      <c r="D176" s="142">
        <f t="shared" ref="D176" si="2223">IF($A176="","",IF(C176="","",IF($K$4="Media aritmética",(C176&lt;=$B176)*($G$5/$B$5)+(C176&gt;$B176)*0,IF(ROUND(AVERAGE($C176,$E176,$G176,$I176,$K176,$M176,$O176,$Q176,$S176,$U176,$W176,$Y176,$AA176,$AC176,$AE176),2)-$B176/2&lt;=C176,IF(ROUND(AVERAGE($C176,$E176,$G176,$I176,$K176,$M176,$O176,$Q176,$S176,$U176,$W176,$Y176,$AA176,$AC176,$AE176),2)+$B176/2&gt;C176,($G$5/$B$5),0),0))))</f>
        <v>0.45714285714285713</v>
      </c>
      <c r="E176" s="141" t="str">
        <f>IF($E$8="Habilitado",IF($A176="","",ROUND(VLOOKUP($A176,'Presupuesto Consolidado'!$I$9:$N$600,6,FALSE),2)),"")</f>
        <v/>
      </c>
      <c r="F176" s="142" t="str">
        <f t="shared" ref="F176" si="2224">IF($A176="","",IF(E176="","",IF($K$4="Media aritmética",(E176&lt;=$B176)*($G$5/$B$5)+(E176&gt;$B176)*0,IF(ROUND(AVERAGE($C176,$E176,$G176,$I176,$K176,$M176,$O176,$Q176,$S176,$U176,$W176,$Y176,$AA176,$AC176,$AE176),2)-$B176/2&lt;=E176,IF(ROUND(AVERAGE($C176,$E176,$G176,$I176,$K176,$M176,$O176,$Q176,$S176,$U176,$W176,$Y176,$AA176,$AC176,$AE176),2)+$B176/2&gt;E176,($G$5/$B$5),0),0))))</f>
        <v/>
      </c>
      <c r="G176" s="141" t="str">
        <f>IF($G$8="Habilitado",IF($A176="","",ROUND(VLOOKUP($A176,'Presupuesto Consolidado'!$Q$9:$V$600,6,FALSE),2)),"")</f>
        <v/>
      </c>
      <c r="H176" s="142" t="str">
        <f t="shared" ref="H176" si="2225">IF($A176="","",IF(G176="","",IF($K$4="Media aritmética",(G176&lt;=$B176)*($G$5/$B$5)+(G176&gt;$B176)*0,IF(ROUND(AVERAGE($C176,$E176,$G176,$I176,$K176,$M176,$O176,$Q176,$S176,$U176,$W176,$Y176,$AA176,$AC176,$AE176),2)-$B176/2&lt;=G176,IF(ROUND(AVERAGE($C176,$E176,$G176,$I176,$K176,$M176,$O176,$Q176,$S176,$U176,$W176,$Y176,$AA176,$AC176,$AE176),2)+$B176/2&gt;G176,($G$5/$B$5),0),0))))</f>
        <v/>
      </c>
      <c r="I176" s="141" t="str">
        <f>IF($I$8="Habilitado",IF($A176="","",ROUND(VLOOKUP($A176,'Presupuesto Consolidado'!$Y$9:$AD$600,6,FALSE),2)),"")</f>
        <v/>
      </c>
      <c r="J176" s="142" t="str">
        <f t="shared" ref="J176" si="2226">IF($A176="","",IF(I176="","",IF($K$4="Media aritmética",(I176&lt;=$B176)*($G$5/$B$5)+(I176&gt;$B176)*0,IF(ROUND(AVERAGE($C176,$E176,$G176,$I176,$K176,$M176,$O176,$Q176,$S176,$U176,$W176,$Y176,$AA176,$AC176,$AE176),2)-$B176/2&lt;=I176,IF(ROUND(AVERAGE($C176,$E176,$G176,$I176,$K176,$M176,$O176,$Q176,$S176,$U176,$W176,$Y176,$AA176,$AC176,$AE176),2)+$B176/2&gt;I176,($G$5/$B$5),0),0))))</f>
        <v/>
      </c>
      <c r="K176" s="141" t="str">
        <f>IF($K$8="Habilitado",IF($A176="","",ROUND(VLOOKUP($A176,'Presupuesto Consolidado'!#REF!,6,FALSE),2)),"")</f>
        <v/>
      </c>
      <c r="L176" s="142" t="str">
        <f t="shared" ref="L176" si="2227">IF($A176="","",IF(K176="","",IF($K$4="Media aritmética",(K176&lt;=$B176)*($G$5/$B$5)+(K176&gt;$B176)*0,IF(ROUND(AVERAGE($C176,$E176,$G176,$I176,$K176,$M176,$O176,$Q176,$S176,$U176,$W176,$Y176,$AA176,$AC176,$AE176),2)-$B176/2&lt;=K176,IF(ROUND(AVERAGE($C176,$E176,$G176,$I176,$K176,$M176,$O176,$Q176,$S176,$U176,$W176,$Y176,$AA176,$AC176,$AE176),2)+$B176/2&gt;K176,($G$5/$B$5),0),0))))</f>
        <v/>
      </c>
      <c r="M176" s="141" t="str">
        <f>IF($M$8="Habilitado",IF($A176="","",ROUND(VLOOKUP($A176,'Presupuesto Consolidado'!#REF!,6,FALSE),2)),"")</f>
        <v/>
      </c>
      <c r="N176" s="142" t="str">
        <f t="shared" ref="N176" si="2228">IF($A176="","",IF(M176="","",IF($K$4="Media aritmética",(M176&lt;=$B176)*($G$5/$B$5)+(M176&gt;$B176)*0,IF(ROUND(AVERAGE($C176,$E176,$G176,$I176,$K176,$M176,$O176,$Q176,$S176,$U176,$W176,$Y176,$AA176,$AC176,$AE176),2)-$B176/2&lt;=M176,IF(ROUND(AVERAGE($C176,$E176,$G176,$I176,$K176,$M176,$O176,$Q176,$S176,$U176,$W176,$Y176,$AA176,$AC176,$AE176),2)+$B176/2&gt;M176,($G$5/$B$5),0),0))))</f>
        <v/>
      </c>
      <c r="O176" s="141" t="str">
        <f>IF($O$8="Habilitado",IF($A176="","",ROUND(VLOOKUP($A176,'Presupuesto Consolidado'!#REF!,6,FALSE),2)),"")</f>
        <v/>
      </c>
      <c r="P176" s="142" t="str">
        <f t="shared" ref="P176" si="2229">IF($A176="","",IF(O176="","",IF($K$4="Media aritmética",(O176&lt;=$B176)*($G$5/$B$5)+(O176&gt;$B176)*0,IF(ROUND(AVERAGE($C176,$E176,$G176,$I176,$K176,$M176,$O176,$Q176,$S176,$U176,$W176,$Y176,$AA176,$AC176,$AE176),2)-$B176/2&lt;=O176,IF(ROUND(AVERAGE($C176,$E176,$G176,$I176,$K176,$M176,$O176,$Q176,$S176,$U176,$W176,$Y176,$AA176,$AC176,$AE176),2)+$B176/2&gt;O176,($G$5/$B$5),0),0))))</f>
        <v/>
      </c>
      <c r="Q176" s="141" t="str">
        <f>IF($Q$8="Habilitado",IF($A176="","",ROUND(VLOOKUP($A176,'Presupuesto Consolidado'!#REF!,6,FALSE),2)),"")</f>
        <v/>
      </c>
      <c r="R176" s="142" t="str">
        <f t="shared" ref="R176" si="2230">IF($A176="","",IF(Q176="","",IF($K$4="Media aritmética",(Q176&lt;=$B176)*($G$5/$B$5)+(Q176&gt;$B176)*0,IF(ROUND(AVERAGE($C176,$E176,$G176,$I176,$K176,$M176,$O176,$Q176,$S176,$U176,$W176,$Y176,$AA176,$AC176,$AE176),2)-$B176/2&lt;=Q176,IF(ROUND(AVERAGE($C176,$E176,$G176,$I176,$K176,$M176,$O176,$Q176,$S176,$U176,$W176,$Y176,$AA176,$AC176,$AE176),2)+$B176/2&gt;Q176,($G$5/$B$5),0),0))))</f>
        <v/>
      </c>
      <c r="S176" s="141" t="str">
        <f>IF($S$8="Habilitado",IF($A176="","",ROUND(VLOOKUP($A176,'Presupuesto Consolidado'!#REF!,6,FALSE),2)),"")</f>
        <v/>
      </c>
      <c r="T176" s="142" t="str">
        <f t="shared" ref="T176" si="2231">IF($A176="","",IF(S176="","",IF($K$4="Media aritmética",(S176&lt;=$B176)*($G$5/$B$5)+(S176&gt;$B176)*0,IF(ROUND(AVERAGE($C176,$E176,$G176,$I176,$K176,$M176,$O176,$Q176,$S176,$U176,$W176,$Y176,$AA176,$AC176,$AE176),2)-$B176/2&lt;=S176,IF(ROUND(AVERAGE($C176,$E176,$G176,$I176,$K176,$M176,$O176,$Q176,$S176,$U176,$W176,$Y176,$AA176,$AC176,$AE176),2)+$B176/2&gt;S176,($G$5/$B$5),0),0))))</f>
        <v/>
      </c>
      <c r="U176" s="141" t="str">
        <f>IF($U$8="Habilitado",IF($A176="","",ROUND(VLOOKUP($A176,'Presupuesto Consolidado'!#REF!,6,FALSE),2)),"")</f>
        <v/>
      </c>
      <c r="V176" s="142" t="str">
        <f t="shared" ref="V176" si="2232">IF($A176="","",IF(U176="","",IF($K$4="Media aritmética",(U176&lt;=$B176)*($G$5/$B$5)+(U176&gt;$B176)*0,IF(ROUND(AVERAGE($C176,$E176,$G176,$I176,$K176,$M176,$O176,$Q176,$S176,$U176,$W176,$Y176,$AA176,$AC176,$AE176),2)-$B176/2&lt;=U176,IF(ROUND(AVERAGE($C176,$E176,$G176,$I176,$K176,$M176,$O176,$Q176,$S176,$U176,$W176,$Y176,$AA176,$AC176,$AE176),2)+$B176/2&gt;U176,($G$5/$B$5),0),0))))</f>
        <v/>
      </c>
      <c r="W176" s="141" t="str">
        <f>IF($W$8="Habilitado",IF($A176="","",ROUND(VLOOKUP($A176,'Presupuesto Consolidado'!#REF!,6,FALSE),2)),"")</f>
        <v/>
      </c>
      <c r="X176" s="142" t="str">
        <f t="shared" ref="X176" si="2233">IF($A176="","",IF(W176="","",IF($K$4="Media aritmética",(W176&lt;=$B176)*($G$5/$B$5)+(W176&gt;$B176)*0,IF(ROUND(AVERAGE($C176,$E176,$G176,$I176,$K176,$M176,$O176,$Q176,$S176,$U176,$W176,$Y176,$AA176,$AC176,$AE176),2)-$B176/2&lt;=W176,IF(ROUND(AVERAGE($C176,$E176,$G176,$I176,$K176,$M176,$O176,$Q176,$S176,$U176,$W176,$Y176,$AA176,$AC176,$AE176),2)+$B176/2&gt;W176,($G$5/$B$5),0),0))))</f>
        <v/>
      </c>
      <c r="Y176" s="141" t="str">
        <f>IF($Y$8="Habilitado",IF($A176="","",ROUND(VLOOKUP($A176,'Presupuesto Consolidado'!#REF!,6,FALSE),2)),"")</f>
        <v/>
      </c>
      <c r="Z176" s="142" t="str">
        <f t="shared" ref="Z176" si="2234">IF($A176="","",IF(Y176="","",IF($K$4="Media aritmética",(Y176&lt;=$B176)*($G$5/$B$5)+(Y176&gt;$B176)*0,IF(ROUND(AVERAGE($C176,$E176,$G176,$I176,$K176,$M176,$O176,$Q176,$S176,$U176,$W176,$Y176,$AA176,$AC176,$AE176),2)-$B176/2&lt;=Y176,IF(ROUND(AVERAGE($C176,$E176,$G176,$I176,$K176,$M176,$O176,$Q176,$S176,$U176,$W176,$Y176,$AA176,$AC176,$AE176),2)+$B176/2&gt;Y176,($G$5/$B$5),0),0))))</f>
        <v/>
      </c>
      <c r="AA176" s="141" t="str">
        <f>IF($AA$8="Habilitado",IF($A176="","",ROUND(VLOOKUP($A176,'Presupuesto Consolidado'!#REF!,6,FALSE),2)),"")</f>
        <v/>
      </c>
      <c r="AB176" s="142" t="str">
        <f t="shared" ref="AB176" si="2235">IF($A176="","",IF(AA176="","",IF($K$4="Media aritmética",(AA176&lt;=$B176)*($G$5/$B$5)+(AA176&gt;$B176)*0,IF(ROUND(AVERAGE($C176,$E176,$G176,$I176,$K176,$M176,$O176,$Q176,$S176,$U176,$W176,$Y176,$AA176,$AC176,$AE176),2)-$B176/2&lt;=AA176,IF(ROUND(AVERAGE($C176,$E176,$G176,$I176,$K176,$M176,$O176,$Q176,$S176,$U176,$W176,$Y176,$AA176,$AC176,$AE176),2)+$B176/2&gt;AA176,($G$5/$B$5),0),0))))</f>
        <v/>
      </c>
      <c r="AC176" s="141" t="str">
        <f>IF($AC$8="Habilitado",IF($A176="","",ROUND(VLOOKUP($A176,'Presupuesto Consolidado'!#REF!,6,FALSE),2)),"")</f>
        <v/>
      </c>
      <c r="AD176" s="142" t="str">
        <f t="shared" ref="AD176" si="2236">IF($A176="","",IF(AC176="","",IF($K$4="Media aritmética",(AC176&lt;=$B176)*($G$5/$B$5)+(AC176&gt;$B176)*0,IF(ROUND(AVERAGE($C176,$E176,$G176,$I176,$K176,$M176,$O176,$Q176,$S176,$U176,$W176,$Y176,$AA176,$AC176,$AE176),2)-$B176/2&lt;=AC176,IF(ROUND(AVERAGE($C176,$E176,$G176,$I176,$K176,$M176,$O176,$Q176,$S176,$U176,$W176,$Y176,$AA176,$AC176,$AE176),2)+$B176/2&gt;AC176,($G$5/$B$5),0),0))))</f>
        <v/>
      </c>
      <c r="AE176" s="141" t="str">
        <f>IF($AE$8="Habilitado",IF($A176="","",ROUND(VLOOKUP($A176,'Presupuesto Consolidado'!#REF!,6,FALSE),2)),"")</f>
        <v/>
      </c>
      <c r="AF176" s="142" t="str">
        <f t="shared" ref="AF176" si="2237">IF($A176="","",IF(AE176="","",IF($K$4="Media aritmética",(AE176&lt;=$B176)*($G$5/$B$5)+(AE176&gt;$B176)*0,IF(ROUND(AVERAGE($C176,$E176,$G176,$I176,$K176,$M176,$O176,$Q176,$S176,$U176,$W176,$Y176,$AA176,$AC176,$AE176),2)-$B176/2&lt;=AE176,IF(ROUND(AVERAGE($C176,$E176,$G176,$I176,$K176,$M176,$O176,$Q176,$S176,$U176,$W176,$Y176,$AA176,$AC176,$AE176),2)+$B176/2&gt;AE176,($G$5/$B$5),0),0))))</f>
        <v/>
      </c>
    </row>
    <row r="177" spans="1:32" s="135" customFormat="1" ht="21" customHeight="1">
      <c r="A177" s="132" t="str">
        <f>+'Presupuesto Consolidado'!A204</f>
        <v>12.5.21</v>
      </c>
      <c r="B177" s="140">
        <f t="shared" ref="B177" si="2238">IF(A177="","",IF($K$4="Media aritmética",ROUND(AVERAGE(C177,E177,G177,I177,K177,M177,O177,Q177,S177,U177,W177,Y177,AA177,AC177,AE177),2),ROUND(_xlfn.STDEV.P(C177,E177,G177,I177,K177,M177,O177,Q177,S177,U177,W177,Y177,AA177,AC177,AE177),2)))</f>
        <v>155250</v>
      </c>
      <c r="C177" s="141">
        <f>IF($C$8="Habilitado",IF($A177="","",ROUND(VLOOKUP($A177,'Presupuesto Consolidado'!$A$9:$F$600,6,FALSE),2)),"")</f>
        <v>155250</v>
      </c>
      <c r="D177" s="142">
        <f t="shared" ref="D177" si="2239">IF($A177="","",IF(C177="","",IF($K$4="Media aritmética",(C177&lt;=$B177)*($G$5/$B$5)+(C177&gt;$B177)*0,IF(ROUND(AVERAGE($C177,$E177,$G177,$I177,$K177,$M177,$O177,$Q177,$S177,$U177,$W177,$Y177,$AA177,$AC177,$AE177),2)-$B177/2&lt;=C177,IF(ROUND(AVERAGE($C177,$E177,$G177,$I177,$K177,$M177,$O177,$Q177,$S177,$U177,$W177,$Y177,$AA177,$AC177,$AE177),2)+$B177/2&gt;C177,($G$5/$B$5),0),0))))</f>
        <v>0.45714285714285713</v>
      </c>
      <c r="E177" s="141" t="str">
        <f>IF($E$8="Habilitado",IF($A177="","",ROUND(VLOOKUP($A177,'Presupuesto Consolidado'!$I$9:$N$600,6,FALSE),2)),"")</f>
        <v/>
      </c>
      <c r="F177" s="142" t="str">
        <f t="shared" ref="F177" si="2240">IF($A177="","",IF(E177="","",IF($K$4="Media aritmética",(E177&lt;=$B177)*($G$5/$B$5)+(E177&gt;$B177)*0,IF(ROUND(AVERAGE($C177,$E177,$G177,$I177,$K177,$M177,$O177,$Q177,$S177,$U177,$W177,$Y177,$AA177,$AC177,$AE177),2)-$B177/2&lt;=E177,IF(ROUND(AVERAGE($C177,$E177,$G177,$I177,$K177,$M177,$O177,$Q177,$S177,$U177,$W177,$Y177,$AA177,$AC177,$AE177),2)+$B177/2&gt;E177,($G$5/$B$5),0),0))))</f>
        <v/>
      </c>
      <c r="G177" s="141" t="str">
        <f>IF($G$8="Habilitado",IF($A177="","",ROUND(VLOOKUP($A177,'Presupuesto Consolidado'!$Q$9:$V$600,6,FALSE),2)),"")</f>
        <v/>
      </c>
      <c r="H177" s="142" t="str">
        <f t="shared" ref="H177" si="2241">IF($A177="","",IF(G177="","",IF($K$4="Media aritmética",(G177&lt;=$B177)*($G$5/$B$5)+(G177&gt;$B177)*0,IF(ROUND(AVERAGE($C177,$E177,$G177,$I177,$K177,$M177,$O177,$Q177,$S177,$U177,$W177,$Y177,$AA177,$AC177,$AE177),2)-$B177/2&lt;=G177,IF(ROUND(AVERAGE($C177,$E177,$G177,$I177,$K177,$M177,$O177,$Q177,$S177,$U177,$W177,$Y177,$AA177,$AC177,$AE177),2)+$B177/2&gt;G177,($G$5/$B$5),0),0))))</f>
        <v/>
      </c>
      <c r="I177" s="141" t="str">
        <f>IF($I$8="Habilitado",IF($A177="","",ROUND(VLOOKUP($A177,'Presupuesto Consolidado'!$Y$9:$AD$600,6,FALSE),2)),"")</f>
        <v/>
      </c>
      <c r="J177" s="142" t="str">
        <f t="shared" ref="J177" si="2242">IF($A177="","",IF(I177="","",IF($K$4="Media aritmética",(I177&lt;=$B177)*($G$5/$B$5)+(I177&gt;$B177)*0,IF(ROUND(AVERAGE($C177,$E177,$G177,$I177,$K177,$M177,$O177,$Q177,$S177,$U177,$W177,$Y177,$AA177,$AC177,$AE177),2)-$B177/2&lt;=I177,IF(ROUND(AVERAGE($C177,$E177,$G177,$I177,$K177,$M177,$O177,$Q177,$S177,$U177,$W177,$Y177,$AA177,$AC177,$AE177),2)+$B177/2&gt;I177,($G$5/$B$5),0),0))))</f>
        <v/>
      </c>
      <c r="K177" s="141" t="str">
        <f>IF($K$8="Habilitado",IF($A177="","",ROUND(VLOOKUP($A177,'Presupuesto Consolidado'!#REF!,6,FALSE),2)),"")</f>
        <v/>
      </c>
      <c r="L177" s="142" t="str">
        <f t="shared" ref="L177" si="2243">IF($A177="","",IF(K177="","",IF($K$4="Media aritmética",(K177&lt;=$B177)*($G$5/$B$5)+(K177&gt;$B177)*0,IF(ROUND(AVERAGE($C177,$E177,$G177,$I177,$K177,$M177,$O177,$Q177,$S177,$U177,$W177,$Y177,$AA177,$AC177,$AE177),2)-$B177/2&lt;=K177,IF(ROUND(AVERAGE($C177,$E177,$G177,$I177,$K177,$M177,$O177,$Q177,$S177,$U177,$W177,$Y177,$AA177,$AC177,$AE177),2)+$B177/2&gt;K177,($G$5/$B$5),0),0))))</f>
        <v/>
      </c>
      <c r="M177" s="141" t="str">
        <f>IF($M$8="Habilitado",IF($A177="","",ROUND(VLOOKUP($A177,'Presupuesto Consolidado'!#REF!,6,FALSE),2)),"")</f>
        <v/>
      </c>
      <c r="N177" s="142" t="str">
        <f t="shared" ref="N177" si="2244">IF($A177="","",IF(M177="","",IF($K$4="Media aritmética",(M177&lt;=$B177)*($G$5/$B$5)+(M177&gt;$B177)*0,IF(ROUND(AVERAGE($C177,$E177,$G177,$I177,$K177,$M177,$O177,$Q177,$S177,$U177,$W177,$Y177,$AA177,$AC177,$AE177),2)-$B177/2&lt;=M177,IF(ROUND(AVERAGE($C177,$E177,$G177,$I177,$K177,$M177,$O177,$Q177,$S177,$U177,$W177,$Y177,$AA177,$AC177,$AE177),2)+$B177/2&gt;M177,($G$5/$B$5),0),0))))</f>
        <v/>
      </c>
      <c r="O177" s="141" t="str">
        <f>IF($O$8="Habilitado",IF($A177="","",ROUND(VLOOKUP($A177,'Presupuesto Consolidado'!#REF!,6,FALSE),2)),"")</f>
        <v/>
      </c>
      <c r="P177" s="142" t="str">
        <f t="shared" ref="P177" si="2245">IF($A177="","",IF(O177="","",IF($K$4="Media aritmética",(O177&lt;=$B177)*($G$5/$B$5)+(O177&gt;$B177)*0,IF(ROUND(AVERAGE($C177,$E177,$G177,$I177,$K177,$M177,$O177,$Q177,$S177,$U177,$W177,$Y177,$AA177,$AC177,$AE177),2)-$B177/2&lt;=O177,IF(ROUND(AVERAGE($C177,$E177,$G177,$I177,$K177,$M177,$O177,$Q177,$S177,$U177,$W177,$Y177,$AA177,$AC177,$AE177),2)+$B177/2&gt;O177,($G$5/$B$5),0),0))))</f>
        <v/>
      </c>
      <c r="Q177" s="141" t="str">
        <f>IF($Q$8="Habilitado",IF($A177="","",ROUND(VLOOKUP($A177,'Presupuesto Consolidado'!#REF!,6,FALSE),2)),"")</f>
        <v/>
      </c>
      <c r="R177" s="142" t="str">
        <f t="shared" ref="R177" si="2246">IF($A177="","",IF(Q177="","",IF($K$4="Media aritmética",(Q177&lt;=$B177)*($G$5/$B$5)+(Q177&gt;$B177)*0,IF(ROUND(AVERAGE($C177,$E177,$G177,$I177,$K177,$M177,$O177,$Q177,$S177,$U177,$W177,$Y177,$AA177,$AC177,$AE177),2)-$B177/2&lt;=Q177,IF(ROUND(AVERAGE($C177,$E177,$G177,$I177,$K177,$M177,$O177,$Q177,$S177,$U177,$W177,$Y177,$AA177,$AC177,$AE177),2)+$B177/2&gt;Q177,($G$5/$B$5),0),0))))</f>
        <v/>
      </c>
      <c r="S177" s="141" t="str">
        <f>IF($S$8="Habilitado",IF($A177="","",ROUND(VLOOKUP($A177,'Presupuesto Consolidado'!#REF!,6,FALSE),2)),"")</f>
        <v/>
      </c>
      <c r="T177" s="142" t="str">
        <f t="shared" ref="T177" si="2247">IF($A177="","",IF(S177="","",IF($K$4="Media aritmética",(S177&lt;=$B177)*($G$5/$B$5)+(S177&gt;$B177)*0,IF(ROUND(AVERAGE($C177,$E177,$G177,$I177,$K177,$M177,$O177,$Q177,$S177,$U177,$W177,$Y177,$AA177,$AC177,$AE177),2)-$B177/2&lt;=S177,IF(ROUND(AVERAGE($C177,$E177,$G177,$I177,$K177,$M177,$O177,$Q177,$S177,$U177,$W177,$Y177,$AA177,$AC177,$AE177),2)+$B177/2&gt;S177,($G$5/$B$5),0),0))))</f>
        <v/>
      </c>
      <c r="U177" s="141" t="str">
        <f>IF($U$8="Habilitado",IF($A177="","",ROUND(VLOOKUP($A177,'Presupuesto Consolidado'!#REF!,6,FALSE),2)),"")</f>
        <v/>
      </c>
      <c r="V177" s="142" t="str">
        <f t="shared" ref="V177" si="2248">IF($A177="","",IF(U177="","",IF($K$4="Media aritmética",(U177&lt;=$B177)*($G$5/$B$5)+(U177&gt;$B177)*0,IF(ROUND(AVERAGE($C177,$E177,$G177,$I177,$K177,$M177,$O177,$Q177,$S177,$U177,$W177,$Y177,$AA177,$AC177,$AE177),2)-$B177/2&lt;=U177,IF(ROUND(AVERAGE($C177,$E177,$G177,$I177,$K177,$M177,$O177,$Q177,$S177,$U177,$W177,$Y177,$AA177,$AC177,$AE177),2)+$B177/2&gt;U177,($G$5/$B$5),0),0))))</f>
        <v/>
      </c>
      <c r="W177" s="141" t="str">
        <f>IF($W$8="Habilitado",IF($A177="","",ROUND(VLOOKUP($A177,'Presupuesto Consolidado'!#REF!,6,FALSE),2)),"")</f>
        <v/>
      </c>
      <c r="X177" s="142" t="str">
        <f t="shared" ref="X177" si="2249">IF($A177="","",IF(W177="","",IF($K$4="Media aritmética",(W177&lt;=$B177)*($G$5/$B$5)+(W177&gt;$B177)*0,IF(ROUND(AVERAGE($C177,$E177,$G177,$I177,$K177,$M177,$O177,$Q177,$S177,$U177,$W177,$Y177,$AA177,$AC177,$AE177),2)-$B177/2&lt;=W177,IF(ROUND(AVERAGE($C177,$E177,$G177,$I177,$K177,$M177,$O177,$Q177,$S177,$U177,$W177,$Y177,$AA177,$AC177,$AE177),2)+$B177/2&gt;W177,($G$5/$B$5),0),0))))</f>
        <v/>
      </c>
      <c r="Y177" s="141" t="str">
        <f>IF($Y$8="Habilitado",IF($A177="","",ROUND(VLOOKUP($A177,'Presupuesto Consolidado'!#REF!,6,FALSE),2)),"")</f>
        <v/>
      </c>
      <c r="Z177" s="142" t="str">
        <f t="shared" ref="Z177" si="2250">IF($A177="","",IF(Y177="","",IF($K$4="Media aritmética",(Y177&lt;=$B177)*($G$5/$B$5)+(Y177&gt;$B177)*0,IF(ROUND(AVERAGE($C177,$E177,$G177,$I177,$K177,$M177,$O177,$Q177,$S177,$U177,$W177,$Y177,$AA177,$AC177,$AE177),2)-$B177/2&lt;=Y177,IF(ROUND(AVERAGE($C177,$E177,$G177,$I177,$K177,$M177,$O177,$Q177,$S177,$U177,$W177,$Y177,$AA177,$AC177,$AE177),2)+$B177/2&gt;Y177,($G$5/$B$5),0),0))))</f>
        <v/>
      </c>
      <c r="AA177" s="141" t="str">
        <f>IF($AA$8="Habilitado",IF($A177="","",ROUND(VLOOKUP($A177,'Presupuesto Consolidado'!#REF!,6,FALSE),2)),"")</f>
        <v/>
      </c>
      <c r="AB177" s="142" t="str">
        <f t="shared" ref="AB177" si="2251">IF($A177="","",IF(AA177="","",IF($K$4="Media aritmética",(AA177&lt;=$B177)*($G$5/$B$5)+(AA177&gt;$B177)*0,IF(ROUND(AVERAGE($C177,$E177,$G177,$I177,$K177,$M177,$O177,$Q177,$S177,$U177,$W177,$Y177,$AA177,$AC177,$AE177),2)-$B177/2&lt;=AA177,IF(ROUND(AVERAGE($C177,$E177,$G177,$I177,$K177,$M177,$O177,$Q177,$S177,$U177,$W177,$Y177,$AA177,$AC177,$AE177),2)+$B177/2&gt;AA177,($G$5/$B$5),0),0))))</f>
        <v/>
      </c>
      <c r="AC177" s="141" t="str">
        <f>IF($AC$8="Habilitado",IF($A177="","",ROUND(VLOOKUP($A177,'Presupuesto Consolidado'!#REF!,6,FALSE),2)),"")</f>
        <v/>
      </c>
      <c r="AD177" s="142" t="str">
        <f t="shared" ref="AD177" si="2252">IF($A177="","",IF(AC177="","",IF($K$4="Media aritmética",(AC177&lt;=$B177)*($G$5/$B$5)+(AC177&gt;$B177)*0,IF(ROUND(AVERAGE($C177,$E177,$G177,$I177,$K177,$M177,$O177,$Q177,$S177,$U177,$W177,$Y177,$AA177,$AC177,$AE177),2)-$B177/2&lt;=AC177,IF(ROUND(AVERAGE($C177,$E177,$G177,$I177,$K177,$M177,$O177,$Q177,$S177,$U177,$W177,$Y177,$AA177,$AC177,$AE177),2)+$B177/2&gt;AC177,($G$5/$B$5),0),0))))</f>
        <v/>
      </c>
      <c r="AE177" s="141" t="str">
        <f>IF($AE$8="Habilitado",IF($A177="","",ROUND(VLOOKUP($A177,'Presupuesto Consolidado'!#REF!,6,FALSE),2)),"")</f>
        <v/>
      </c>
      <c r="AF177" s="142" t="str">
        <f t="shared" ref="AF177" si="2253">IF($A177="","",IF(AE177="","",IF($K$4="Media aritmética",(AE177&lt;=$B177)*($G$5/$B$5)+(AE177&gt;$B177)*0,IF(ROUND(AVERAGE($C177,$E177,$G177,$I177,$K177,$M177,$O177,$Q177,$S177,$U177,$W177,$Y177,$AA177,$AC177,$AE177),2)-$B177/2&lt;=AE177,IF(ROUND(AVERAGE($C177,$E177,$G177,$I177,$K177,$M177,$O177,$Q177,$S177,$U177,$W177,$Y177,$AA177,$AC177,$AE177),2)+$B177/2&gt;AE177,($G$5/$B$5),0),0))))</f>
        <v/>
      </c>
    </row>
    <row r="178" spans="1:32" s="135" customFormat="1" ht="21" customHeight="1">
      <c r="A178" s="132" t="str">
        <f>+'Presupuesto Consolidado'!A205</f>
        <v>12.5.22</v>
      </c>
      <c r="B178" s="140">
        <f t="shared" ref="B178" si="2254">IF(A178="","",IF($K$4="Media aritmética",ROUND(AVERAGE(C178,E178,G178,I178,K178,M178,O178,Q178,S178,U178,W178,Y178,AA178,AC178,AE178),2),ROUND(_xlfn.STDEV.P(C178,E178,G178,I178,K178,M178,O178,Q178,S178,U178,W178,Y178,AA178,AC178,AE178),2)))</f>
        <v>465750</v>
      </c>
      <c r="C178" s="141">
        <f>IF($C$8="Habilitado",IF($A178="","",ROUND(VLOOKUP($A178,'Presupuesto Consolidado'!$A$9:$F$600,6,FALSE),2)),"")</f>
        <v>465750</v>
      </c>
      <c r="D178" s="142">
        <f t="shared" ref="D178" si="2255">IF($A178="","",IF(C178="","",IF($K$4="Media aritmética",(C178&lt;=$B178)*($G$5/$B$5)+(C178&gt;$B178)*0,IF(ROUND(AVERAGE($C178,$E178,$G178,$I178,$K178,$M178,$O178,$Q178,$S178,$U178,$W178,$Y178,$AA178,$AC178,$AE178),2)-$B178/2&lt;=C178,IF(ROUND(AVERAGE($C178,$E178,$G178,$I178,$K178,$M178,$O178,$Q178,$S178,$U178,$W178,$Y178,$AA178,$AC178,$AE178),2)+$B178/2&gt;C178,($G$5/$B$5),0),0))))</f>
        <v>0.45714285714285713</v>
      </c>
      <c r="E178" s="141" t="str">
        <f>IF($E$8="Habilitado",IF($A178="","",ROUND(VLOOKUP($A178,'Presupuesto Consolidado'!$I$9:$N$600,6,FALSE),2)),"")</f>
        <v/>
      </c>
      <c r="F178" s="142" t="str">
        <f t="shared" ref="F178" si="2256">IF($A178="","",IF(E178="","",IF($K$4="Media aritmética",(E178&lt;=$B178)*($G$5/$B$5)+(E178&gt;$B178)*0,IF(ROUND(AVERAGE($C178,$E178,$G178,$I178,$K178,$M178,$O178,$Q178,$S178,$U178,$W178,$Y178,$AA178,$AC178,$AE178),2)-$B178/2&lt;=E178,IF(ROUND(AVERAGE($C178,$E178,$G178,$I178,$K178,$M178,$O178,$Q178,$S178,$U178,$W178,$Y178,$AA178,$AC178,$AE178),2)+$B178/2&gt;E178,($G$5/$B$5),0),0))))</f>
        <v/>
      </c>
      <c r="G178" s="141" t="str">
        <f>IF($G$8="Habilitado",IF($A178="","",ROUND(VLOOKUP($A178,'Presupuesto Consolidado'!$Q$9:$V$600,6,FALSE),2)),"")</f>
        <v/>
      </c>
      <c r="H178" s="142" t="str">
        <f t="shared" ref="H178" si="2257">IF($A178="","",IF(G178="","",IF($K$4="Media aritmética",(G178&lt;=$B178)*($G$5/$B$5)+(G178&gt;$B178)*0,IF(ROUND(AVERAGE($C178,$E178,$G178,$I178,$K178,$M178,$O178,$Q178,$S178,$U178,$W178,$Y178,$AA178,$AC178,$AE178),2)-$B178/2&lt;=G178,IF(ROUND(AVERAGE($C178,$E178,$G178,$I178,$K178,$M178,$O178,$Q178,$S178,$U178,$W178,$Y178,$AA178,$AC178,$AE178),2)+$B178/2&gt;G178,($G$5/$B$5),0),0))))</f>
        <v/>
      </c>
      <c r="I178" s="141" t="str">
        <f>IF($I$8="Habilitado",IF($A178="","",ROUND(VLOOKUP($A178,'Presupuesto Consolidado'!$Y$9:$AD$600,6,FALSE),2)),"")</f>
        <v/>
      </c>
      <c r="J178" s="142" t="str">
        <f t="shared" ref="J178" si="2258">IF($A178="","",IF(I178="","",IF($K$4="Media aritmética",(I178&lt;=$B178)*($G$5/$B$5)+(I178&gt;$B178)*0,IF(ROUND(AVERAGE($C178,$E178,$G178,$I178,$K178,$M178,$O178,$Q178,$S178,$U178,$W178,$Y178,$AA178,$AC178,$AE178),2)-$B178/2&lt;=I178,IF(ROUND(AVERAGE($C178,$E178,$G178,$I178,$K178,$M178,$O178,$Q178,$S178,$U178,$W178,$Y178,$AA178,$AC178,$AE178),2)+$B178/2&gt;I178,($G$5/$B$5),0),0))))</f>
        <v/>
      </c>
      <c r="K178" s="141" t="str">
        <f>IF($K$8="Habilitado",IF($A178="","",ROUND(VLOOKUP($A178,'Presupuesto Consolidado'!#REF!,6,FALSE),2)),"")</f>
        <v/>
      </c>
      <c r="L178" s="142" t="str">
        <f t="shared" ref="L178" si="2259">IF($A178="","",IF(K178="","",IF($K$4="Media aritmética",(K178&lt;=$B178)*($G$5/$B$5)+(K178&gt;$B178)*0,IF(ROUND(AVERAGE($C178,$E178,$G178,$I178,$K178,$M178,$O178,$Q178,$S178,$U178,$W178,$Y178,$AA178,$AC178,$AE178),2)-$B178/2&lt;=K178,IF(ROUND(AVERAGE($C178,$E178,$G178,$I178,$K178,$M178,$O178,$Q178,$S178,$U178,$W178,$Y178,$AA178,$AC178,$AE178),2)+$B178/2&gt;K178,($G$5/$B$5),0),0))))</f>
        <v/>
      </c>
      <c r="M178" s="141" t="str">
        <f>IF($M$8="Habilitado",IF($A178="","",ROUND(VLOOKUP($A178,'Presupuesto Consolidado'!#REF!,6,FALSE),2)),"")</f>
        <v/>
      </c>
      <c r="N178" s="142" t="str">
        <f t="shared" ref="N178" si="2260">IF($A178="","",IF(M178="","",IF($K$4="Media aritmética",(M178&lt;=$B178)*($G$5/$B$5)+(M178&gt;$B178)*0,IF(ROUND(AVERAGE($C178,$E178,$G178,$I178,$K178,$M178,$O178,$Q178,$S178,$U178,$W178,$Y178,$AA178,$AC178,$AE178),2)-$B178/2&lt;=M178,IF(ROUND(AVERAGE($C178,$E178,$G178,$I178,$K178,$M178,$O178,$Q178,$S178,$U178,$W178,$Y178,$AA178,$AC178,$AE178),2)+$B178/2&gt;M178,($G$5/$B$5),0),0))))</f>
        <v/>
      </c>
      <c r="O178" s="141" t="str">
        <f>IF($O$8="Habilitado",IF($A178="","",ROUND(VLOOKUP($A178,'Presupuesto Consolidado'!#REF!,6,FALSE),2)),"")</f>
        <v/>
      </c>
      <c r="P178" s="142" t="str">
        <f t="shared" ref="P178" si="2261">IF($A178="","",IF(O178="","",IF($K$4="Media aritmética",(O178&lt;=$B178)*($G$5/$B$5)+(O178&gt;$B178)*0,IF(ROUND(AVERAGE($C178,$E178,$G178,$I178,$K178,$M178,$O178,$Q178,$S178,$U178,$W178,$Y178,$AA178,$AC178,$AE178),2)-$B178/2&lt;=O178,IF(ROUND(AVERAGE($C178,$E178,$G178,$I178,$K178,$M178,$O178,$Q178,$S178,$U178,$W178,$Y178,$AA178,$AC178,$AE178),2)+$B178/2&gt;O178,($G$5/$B$5),0),0))))</f>
        <v/>
      </c>
      <c r="Q178" s="141" t="str">
        <f>IF($Q$8="Habilitado",IF($A178="","",ROUND(VLOOKUP($A178,'Presupuesto Consolidado'!#REF!,6,FALSE),2)),"")</f>
        <v/>
      </c>
      <c r="R178" s="142" t="str">
        <f t="shared" ref="R178" si="2262">IF($A178="","",IF(Q178="","",IF($K$4="Media aritmética",(Q178&lt;=$B178)*($G$5/$B$5)+(Q178&gt;$B178)*0,IF(ROUND(AVERAGE($C178,$E178,$G178,$I178,$K178,$M178,$O178,$Q178,$S178,$U178,$W178,$Y178,$AA178,$AC178,$AE178),2)-$B178/2&lt;=Q178,IF(ROUND(AVERAGE($C178,$E178,$G178,$I178,$K178,$M178,$O178,$Q178,$S178,$U178,$W178,$Y178,$AA178,$AC178,$AE178),2)+$B178/2&gt;Q178,($G$5/$B$5),0),0))))</f>
        <v/>
      </c>
      <c r="S178" s="141" t="str">
        <f>IF($S$8="Habilitado",IF($A178="","",ROUND(VLOOKUP($A178,'Presupuesto Consolidado'!#REF!,6,FALSE),2)),"")</f>
        <v/>
      </c>
      <c r="T178" s="142" t="str">
        <f t="shared" ref="T178" si="2263">IF($A178="","",IF(S178="","",IF($K$4="Media aritmética",(S178&lt;=$B178)*($G$5/$B$5)+(S178&gt;$B178)*0,IF(ROUND(AVERAGE($C178,$E178,$G178,$I178,$K178,$M178,$O178,$Q178,$S178,$U178,$W178,$Y178,$AA178,$AC178,$AE178),2)-$B178/2&lt;=S178,IF(ROUND(AVERAGE($C178,$E178,$G178,$I178,$K178,$M178,$O178,$Q178,$S178,$U178,$W178,$Y178,$AA178,$AC178,$AE178),2)+$B178/2&gt;S178,($G$5/$B$5),0),0))))</f>
        <v/>
      </c>
      <c r="U178" s="141" t="str">
        <f>IF($U$8="Habilitado",IF($A178="","",ROUND(VLOOKUP($A178,'Presupuesto Consolidado'!#REF!,6,FALSE),2)),"")</f>
        <v/>
      </c>
      <c r="V178" s="142" t="str">
        <f t="shared" ref="V178" si="2264">IF($A178="","",IF(U178="","",IF($K$4="Media aritmética",(U178&lt;=$B178)*($G$5/$B$5)+(U178&gt;$B178)*0,IF(ROUND(AVERAGE($C178,$E178,$G178,$I178,$K178,$M178,$O178,$Q178,$S178,$U178,$W178,$Y178,$AA178,$AC178,$AE178),2)-$B178/2&lt;=U178,IF(ROUND(AVERAGE($C178,$E178,$G178,$I178,$K178,$M178,$O178,$Q178,$S178,$U178,$W178,$Y178,$AA178,$AC178,$AE178),2)+$B178/2&gt;U178,($G$5/$B$5),0),0))))</f>
        <v/>
      </c>
      <c r="W178" s="141" t="str">
        <f>IF($W$8="Habilitado",IF($A178="","",ROUND(VLOOKUP($A178,'Presupuesto Consolidado'!#REF!,6,FALSE),2)),"")</f>
        <v/>
      </c>
      <c r="X178" s="142" t="str">
        <f t="shared" ref="X178" si="2265">IF($A178="","",IF(W178="","",IF($K$4="Media aritmética",(W178&lt;=$B178)*($G$5/$B$5)+(W178&gt;$B178)*0,IF(ROUND(AVERAGE($C178,$E178,$G178,$I178,$K178,$M178,$O178,$Q178,$S178,$U178,$W178,$Y178,$AA178,$AC178,$AE178),2)-$B178/2&lt;=W178,IF(ROUND(AVERAGE($C178,$E178,$G178,$I178,$K178,$M178,$O178,$Q178,$S178,$U178,$W178,$Y178,$AA178,$AC178,$AE178),2)+$B178/2&gt;W178,($G$5/$B$5),0),0))))</f>
        <v/>
      </c>
      <c r="Y178" s="141" t="str">
        <f>IF($Y$8="Habilitado",IF($A178="","",ROUND(VLOOKUP($A178,'Presupuesto Consolidado'!#REF!,6,FALSE),2)),"")</f>
        <v/>
      </c>
      <c r="Z178" s="142" t="str">
        <f t="shared" ref="Z178" si="2266">IF($A178="","",IF(Y178="","",IF($K$4="Media aritmética",(Y178&lt;=$B178)*($G$5/$B$5)+(Y178&gt;$B178)*0,IF(ROUND(AVERAGE($C178,$E178,$G178,$I178,$K178,$M178,$O178,$Q178,$S178,$U178,$W178,$Y178,$AA178,$AC178,$AE178),2)-$B178/2&lt;=Y178,IF(ROUND(AVERAGE($C178,$E178,$G178,$I178,$K178,$M178,$O178,$Q178,$S178,$U178,$W178,$Y178,$AA178,$AC178,$AE178),2)+$B178/2&gt;Y178,($G$5/$B$5),0),0))))</f>
        <v/>
      </c>
      <c r="AA178" s="141" t="str">
        <f>IF($AA$8="Habilitado",IF($A178="","",ROUND(VLOOKUP($A178,'Presupuesto Consolidado'!#REF!,6,FALSE),2)),"")</f>
        <v/>
      </c>
      <c r="AB178" s="142" t="str">
        <f t="shared" ref="AB178" si="2267">IF($A178="","",IF(AA178="","",IF($K$4="Media aritmética",(AA178&lt;=$B178)*($G$5/$B$5)+(AA178&gt;$B178)*0,IF(ROUND(AVERAGE($C178,$E178,$G178,$I178,$K178,$M178,$O178,$Q178,$S178,$U178,$W178,$Y178,$AA178,$AC178,$AE178),2)-$B178/2&lt;=AA178,IF(ROUND(AVERAGE($C178,$E178,$G178,$I178,$K178,$M178,$O178,$Q178,$S178,$U178,$W178,$Y178,$AA178,$AC178,$AE178),2)+$B178/2&gt;AA178,($G$5/$B$5),0),0))))</f>
        <v/>
      </c>
      <c r="AC178" s="141" t="str">
        <f>IF($AC$8="Habilitado",IF($A178="","",ROUND(VLOOKUP($A178,'Presupuesto Consolidado'!#REF!,6,FALSE),2)),"")</f>
        <v/>
      </c>
      <c r="AD178" s="142" t="str">
        <f t="shared" ref="AD178" si="2268">IF($A178="","",IF(AC178="","",IF($K$4="Media aritmética",(AC178&lt;=$B178)*($G$5/$B$5)+(AC178&gt;$B178)*0,IF(ROUND(AVERAGE($C178,$E178,$G178,$I178,$K178,$M178,$O178,$Q178,$S178,$U178,$W178,$Y178,$AA178,$AC178,$AE178),2)-$B178/2&lt;=AC178,IF(ROUND(AVERAGE($C178,$E178,$G178,$I178,$K178,$M178,$O178,$Q178,$S178,$U178,$W178,$Y178,$AA178,$AC178,$AE178),2)+$B178/2&gt;AC178,($G$5/$B$5),0),0))))</f>
        <v/>
      </c>
      <c r="AE178" s="141" t="str">
        <f>IF($AE$8="Habilitado",IF($A178="","",ROUND(VLOOKUP($A178,'Presupuesto Consolidado'!#REF!,6,FALSE),2)),"")</f>
        <v/>
      </c>
      <c r="AF178" s="142" t="str">
        <f t="shared" ref="AF178" si="2269">IF($A178="","",IF(AE178="","",IF($K$4="Media aritmética",(AE178&lt;=$B178)*($G$5/$B$5)+(AE178&gt;$B178)*0,IF(ROUND(AVERAGE($C178,$E178,$G178,$I178,$K178,$M178,$O178,$Q178,$S178,$U178,$W178,$Y178,$AA178,$AC178,$AE178),2)-$B178/2&lt;=AE178,IF(ROUND(AVERAGE($C178,$E178,$G178,$I178,$K178,$M178,$O178,$Q178,$S178,$U178,$W178,$Y178,$AA178,$AC178,$AE178),2)+$B178/2&gt;AE178,($G$5/$B$5),0),0))))</f>
        <v/>
      </c>
    </row>
    <row r="179" spans="1:32" s="135" customFormat="1" ht="21" customHeight="1">
      <c r="A179" s="132" t="str">
        <f>+'Presupuesto Consolidado'!A206</f>
        <v>12.5.23</v>
      </c>
      <c r="B179" s="140">
        <f t="shared" ref="B179" si="2270">IF(A179="","",IF($K$4="Media aritmética",ROUND(AVERAGE(C179,E179,G179,I179,K179,M179,O179,Q179,S179,U179,W179,Y179,AA179,AC179,AE179),2),ROUND(_xlfn.STDEV.P(C179,E179,G179,I179,K179,M179,O179,Q179,S179,U179,W179,Y179,AA179,AC179,AE179),2)))</f>
        <v>74520</v>
      </c>
      <c r="C179" s="141">
        <f>IF($C$8="Habilitado",IF($A179="","",ROUND(VLOOKUP($A179,'Presupuesto Consolidado'!$A$9:$F$600,6,FALSE),2)),"")</f>
        <v>74520</v>
      </c>
      <c r="D179" s="142">
        <f t="shared" ref="D179" si="2271">IF($A179="","",IF(C179="","",IF($K$4="Media aritmética",(C179&lt;=$B179)*($G$5/$B$5)+(C179&gt;$B179)*0,IF(ROUND(AVERAGE($C179,$E179,$G179,$I179,$K179,$M179,$O179,$Q179,$S179,$U179,$W179,$Y179,$AA179,$AC179,$AE179),2)-$B179/2&lt;=C179,IF(ROUND(AVERAGE($C179,$E179,$G179,$I179,$K179,$M179,$O179,$Q179,$S179,$U179,$W179,$Y179,$AA179,$AC179,$AE179),2)+$B179/2&gt;C179,($G$5/$B$5),0),0))))</f>
        <v>0.45714285714285713</v>
      </c>
      <c r="E179" s="141" t="str">
        <f>IF($E$8="Habilitado",IF($A179="","",ROUND(VLOOKUP($A179,'Presupuesto Consolidado'!$I$9:$N$600,6,FALSE),2)),"")</f>
        <v/>
      </c>
      <c r="F179" s="142" t="str">
        <f t="shared" ref="F179" si="2272">IF($A179="","",IF(E179="","",IF($K$4="Media aritmética",(E179&lt;=$B179)*($G$5/$B$5)+(E179&gt;$B179)*0,IF(ROUND(AVERAGE($C179,$E179,$G179,$I179,$K179,$M179,$O179,$Q179,$S179,$U179,$W179,$Y179,$AA179,$AC179,$AE179),2)-$B179/2&lt;=E179,IF(ROUND(AVERAGE($C179,$E179,$G179,$I179,$K179,$M179,$O179,$Q179,$S179,$U179,$W179,$Y179,$AA179,$AC179,$AE179),2)+$B179/2&gt;E179,($G$5/$B$5),0),0))))</f>
        <v/>
      </c>
      <c r="G179" s="141" t="str">
        <f>IF($G$8="Habilitado",IF($A179="","",ROUND(VLOOKUP($A179,'Presupuesto Consolidado'!$Q$9:$V$600,6,FALSE),2)),"")</f>
        <v/>
      </c>
      <c r="H179" s="142" t="str">
        <f t="shared" ref="H179" si="2273">IF($A179="","",IF(G179="","",IF($K$4="Media aritmética",(G179&lt;=$B179)*($G$5/$B$5)+(G179&gt;$B179)*0,IF(ROUND(AVERAGE($C179,$E179,$G179,$I179,$K179,$M179,$O179,$Q179,$S179,$U179,$W179,$Y179,$AA179,$AC179,$AE179),2)-$B179/2&lt;=G179,IF(ROUND(AVERAGE($C179,$E179,$G179,$I179,$K179,$M179,$O179,$Q179,$S179,$U179,$W179,$Y179,$AA179,$AC179,$AE179),2)+$B179/2&gt;G179,($G$5/$B$5),0),0))))</f>
        <v/>
      </c>
      <c r="I179" s="141" t="str">
        <f>IF($I$8="Habilitado",IF($A179="","",ROUND(VLOOKUP($A179,'Presupuesto Consolidado'!$Y$9:$AD$600,6,FALSE),2)),"")</f>
        <v/>
      </c>
      <c r="J179" s="142" t="str">
        <f t="shared" ref="J179" si="2274">IF($A179="","",IF(I179="","",IF($K$4="Media aritmética",(I179&lt;=$B179)*($G$5/$B$5)+(I179&gt;$B179)*0,IF(ROUND(AVERAGE($C179,$E179,$G179,$I179,$K179,$M179,$O179,$Q179,$S179,$U179,$W179,$Y179,$AA179,$AC179,$AE179),2)-$B179/2&lt;=I179,IF(ROUND(AVERAGE($C179,$E179,$G179,$I179,$K179,$M179,$O179,$Q179,$S179,$U179,$W179,$Y179,$AA179,$AC179,$AE179),2)+$B179/2&gt;I179,($G$5/$B$5),0),0))))</f>
        <v/>
      </c>
      <c r="K179" s="141" t="str">
        <f>IF($K$8="Habilitado",IF($A179="","",ROUND(VLOOKUP($A179,'Presupuesto Consolidado'!#REF!,6,FALSE),2)),"")</f>
        <v/>
      </c>
      <c r="L179" s="142" t="str">
        <f t="shared" ref="L179" si="2275">IF($A179="","",IF(K179="","",IF($K$4="Media aritmética",(K179&lt;=$B179)*($G$5/$B$5)+(K179&gt;$B179)*0,IF(ROUND(AVERAGE($C179,$E179,$G179,$I179,$K179,$M179,$O179,$Q179,$S179,$U179,$W179,$Y179,$AA179,$AC179,$AE179),2)-$B179/2&lt;=K179,IF(ROUND(AVERAGE($C179,$E179,$G179,$I179,$K179,$M179,$O179,$Q179,$S179,$U179,$W179,$Y179,$AA179,$AC179,$AE179),2)+$B179/2&gt;K179,($G$5/$B$5),0),0))))</f>
        <v/>
      </c>
      <c r="M179" s="141" t="str">
        <f>IF($M$8="Habilitado",IF($A179="","",ROUND(VLOOKUP($A179,'Presupuesto Consolidado'!#REF!,6,FALSE),2)),"")</f>
        <v/>
      </c>
      <c r="N179" s="142" t="str">
        <f t="shared" ref="N179" si="2276">IF($A179="","",IF(M179="","",IF($K$4="Media aritmética",(M179&lt;=$B179)*($G$5/$B$5)+(M179&gt;$B179)*0,IF(ROUND(AVERAGE($C179,$E179,$G179,$I179,$K179,$M179,$O179,$Q179,$S179,$U179,$W179,$Y179,$AA179,$AC179,$AE179),2)-$B179/2&lt;=M179,IF(ROUND(AVERAGE($C179,$E179,$G179,$I179,$K179,$M179,$O179,$Q179,$S179,$U179,$W179,$Y179,$AA179,$AC179,$AE179),2)+$B179/2&gt;M179,($G$5/$B$5),0),0))))</f>
        <v/>
      </c>
      <c r="O179" s="141" t="str">
        <f>IF($O$8="Habilitado",IF($A179="","",ROUND(VLOOKUP($A179,'Presupuesto Consolidado'!#REF!,6,FALSE),2)),"")</f>
        <v/>
      </c>
      <c r="P179" s="142" t="str">
        <f t="shared" ref="P179" si="2277">IF($A179="","",IF(O179="","",IF($K$4="Media aritmética",(O179&lt;=$B179)*($G$5/$B$5)+(O179&gt;$B179)*0,IF(ROUND(AVERAGE($C179,$E179,$G179,$I179,$K179,$M179,$O179,$Q179,$S179,$U179,$W179,$Y179,$AA179,$AC179,$AE179),2)-$B179/2&lt;=O179,IF(ROUND(AVERAGE($C179,$E179,$G179,$I179,$K179,$M179,$O179,$Q179,$S179,$U179,$W179,$Y179,$AA179,$AC179,$AE179),2)+$B179/2&gt;O179,($G$5/$B$5),0),0))))</f>
        <v/>
      </c>
      <c r="Q179" s="141" t="str">
        <f>IF($Q$8="Habilitado",IF($A179="","",ROUND(VLOOKUP($A179,'Presupuesto Consolidado'!#REF!,6,FALSE),2)),"")</f>
        <v/>
      </c>
      <c r="R179" s="142" t="str">
        <f t="shared" ref="R179" si="2278">IF($A179="","",IF(Q179="","",IF($K$4="Media aritmética",(Q179&lt;=$B179)*($G$5/$B$5)+(Q179&gt;$B179)*0,IF(ROUND(AVERAGE($C179,$E179,$G179,$I179,$K179,$M179,$O179,$Q179,$S179,$U179,$W179,$Y179,$AA179,$AC179,$AE179),2)-$B179/2&lt;=Q179,IF(ROUND(AVERAGE($C179,$E179,$G179,$I179,$K179,$M179,$O179,$Q179,$S179,$U179,$W179,$Y179,$AA179,$AC179,$AE179),2)+$B179/2&gt;Q179,($G$5/$B$5),0),0))))</f>
        <v/>
      </c>
      <c r="S179" s="141" t="str">
        <f>IF($S$8="Habilitado",IF($A179="","",ROUND(VLOOKUP($A179,'Presupuesto Consolidado'!#REF!,6,FALSE),2)),"")</f>
        <v/>
      </c>
      <c r="T179" s="142" t="str">
        <f t="shared" ref="T179" si="2279">IF($A179="","",IF(S179="","",IF($K$4="Media aritmética",(S179&lt;=$B179)*($G$5/$B$5)+(S179&gt;$B179)*0,IF(ROUND(AVERAGE($C179,$E179,$G179,$I179,$K179,$M179,$O179,$Q179,$S179,$U179,$W179,$Y179,$AA179,$AC179,$AE179),2)-$B179/2&lt;=S179,IF(ROUND(AVERAGE($C179,$E179,$G179,$I179,$K179,$M179,$O179,$Q179,$S179,$U179,$W179,$Y179,$AA179,$AC179,$AE179),2)+$B179/2&gt;S179,($G$5/$B$5),0),0))))</f>
        <v/>
      </c>
      <c r="U179" s="141" t="str">
        <f>IF($U$8="Habilitado",IF($A179="","",ROUND(VLOOKUP($A179,'Presupuesto Consolidado'!#REF!,6,FALSE),2)),"")</f>
        <v/>
      </c>
      <c r="V179" s="142" t="str">
        <f t="shared" ref="V179" si="2280">IF($A179="","",IF(U179="","",IF($K$4="Media aritmética",(U179&lt;=$B179)*($G$5/$B$5)+(U179&gt;$B179)*0,IF(ROUND(AVERAGE($C179,$E179,$G179,$I179,$K179,$M179,$O179,$Q179,$S179,$U179,$W179,$Y179,$AA179,$AC179,$AE179),2)-$B179/2&lt;=U179,IF(ROUND(AVERAGE($C179,$E179,$G179,$I179,$K179,$M179,$O179,$Q179,$S179,$U179,$W179,$Y179,$AA179,$AC179,$AE179),2)+$B179/2&gt;U179,($G$5/$B$5),0),0))))</f>
        <v/>
      </c>
      <c r="W179" s="141" t="str">
        <f>IF($W$8="Habilitado",IF($A179="","",ROUND(VLOOKUP($A179,'Presupuesto Consolidado'!#REF!,6,FALSE),2)),"")</f>
        <v/>
      </c>
      <c r="X179" s="142" t="str">
        <f t="shared" ref="X179" si="2281">IF($A179="","",IF(W179="","",IF($K$4="Media aritmética",(W179&lt;=$B179)*($G$5/$B$5)+(W179&gt;$B179)*0,IF(ROUND(AVERAGE($C179,$E179,$G179,$I179,$K179,$M179,$O179,$Q179,$S179,$U179,$W179,$Y179,$AA179,$AC179,$AE179),2)-$B179/2&lt;=W179,IF(ROUND(AVERAGE($C179,$E179,$G179,$I179,$K179,$M179,$O179,$Q179,$S179,$U179,$W179,$Y179,$AA179,$AC179,$AE179),2)+$B179/2&gt;W179,($G$5/$B$5),0),0))))</f>
        <v/>
      </c>
      <c r="Y179" s="141" t="str">
        <f>IF($Y$8="Habilitado",IF($A179="","",ROUND(VLOOKUP($A179,'Presupuesto Consolidado'!#REF!,6,FALSE),2)),"")</f>
        <v/>
      </c>
      <c r="Z179" s="142" t="str">
        <f t="shared" ref="Z179" si="2282">IF($A179="","",IF(Y179="","",IF($K$4="Media aritmética",(Y179&lt;=$B179)*($G$5/$B$5)+(Y179&gt;$B179)*0,IF(ROUND(AVERAGE($C179,$E179,$G179,$I179,$K179,$M179,$O179,$Q179,$S179,$U179,$W179,$Y179,$AA179,$AC179,$AE179),2)-$B179/2&lt;=Y179,IF(ROUND(AVERAGE($C179,$E179,$G179,$I179,$K179,$M179,$O179,$Q179,$S179,$U179,$W179,$Y179,$AA179,$AC179,$AE179),2)+$B179/2&gt;Y179,($G$5/$B$5),0),0))))</f>
        <v/>
      </c>
      <c r="AA179" s="141" t="str">
        <f>IF($AA$8="Habilitado",IF($A179="","",ROUND(VLOOKUP($A179,'Presupuesto Consolidado'!#REF!,6,FALSE),2)),"")</f>
        <v/>
      </c>
      <c r="AB179" s="142" t="str">
        <f t="shared" ref="AB179" si="2283">IF($A179="","",IF(AA179="","",IF($K$4="Media aritmética",(AA179&lt;=$B179)*($G$5/$B$5)+(AA179&gt;$B179)*0,IF(ROUND(AVERAGE($C179,$E179,$G179,$I179,$K179,$M179,$O179,$Q179,$S179,$U179,$W179,$Y179,$AA179,$AC179,$AE179),2)-$B179/2&lt;=AA179,IF(ROUND(AVERAGE($C179,$E179,$G179,$I179,$K179,$M179,$O179,$Q179,$S179,$U179,$W179,$Y179,$AA179,$AC179,$AE179),2)+$B179/2&gt;AA179,($G$5/$B$5),0),0))))</f>
        <v/>
      </c>
      <c r="AC179" s="141" t="str">
        <f>IF($AC$8="Habilitado",IF($A179="","",ROUND(VLOOKUP($A179,'Presupuesto Consolidado'!#REF!,6,FALSE),2)),"")</f>
        <v/>
      </c>
      <c r="AD179" s="142" t="str">
        <f t="shared" ref="AD179" si="2284">IF($A179="","",IF(AC179="","",IF($K$4="Media aritmética",(AC179&lt;=$B179)*($G$5/$B$5)+(AC179&gt;$B179)*0,IF(ROUND(AVERAGE($C179,$E179,$G179,$I179,$K179,$M179,$O179,$Q179,$S179,$U179,$W179,$Y179,$AA179,$AC179,$AE179),2)-$B179/2&lt;=AC179,IF(ROUND(AVERAGE($C179,$E179,$G179,$I179,$K179,$M179,$O179,$Q179,$S179,$U179,$W179,$Y179,$AA179,$AC179,$AE179),2)+$B179/2&gt;AC179,($G$5/$B$5),0),0))))</f>
        <v/>
      </c>
      <c r="AE179" s="141" t="str">
        <f>IF($AE$8="Habilitado",IF($A179="","",ROUND(VLOOKUP($A179,'Presupuesto Consolidado'!#REF!,6,FALSE),2)),"")</f>
        <v/>
      </c>
      <c r="AF179" s="142" t="str">
        <f t="shared" ref="AF179" si="2285">IF($A179="","",IF(AE179="","",IF($K$4="Media aritmética",(AE179&lt;=$B179)*($G$5/$B$5)+(AE179&gt;$B179)*0,IF(ROUND(AVERAGE($C179,$E179,$G179,$I179,$K179,$M179,$O179,$Q179,$S179,$U179,$W179,$Y179,$AA179,$AC179,$AE179),2)-$B179/2&lt;=AE179,IF(ROUND(AVERAGE($C179,$E179,$G179,$I179,$K179,$M179,$O179,$Q179,$S179,$U179,$W179,$Y179,$AA179,$AC179,$AE179),2)+$B179/2&gt;AE179,($G$5/$B$5),0),0))))</f>
        <v/>
      </c>
    </row>
    <row r="180" spans="1:32" s="135" customFormat="1" ht="21" customHeight="1">
      <c r="A180" s="132" t="str">
        <f>+'Presupuesto Consolidado'!A207</f>
        <v>12.5.24</v>
      </c>
      <c r="B180" s="140">
        <f t="shared" ref="B180" si="2286">IF(A180="","",IF($K$4="Media aritmética",ROUND(AVERAGE(C180,E180,G180,I180,K180,M180,O180,Q180,S180,U180,W180,Y180,AA180,AC180,AE180),2),ROUND(_xlfn.STDEV.P(C180,E180,G180,I180,K180,M180,O180,Q180,S180,U180,W180,Y180,AA180,AC180,AE180),2)))</f>
        <v>5278500</v>
      </c>
      <c r="C180" s="141">
        <f>IF($C$8="Habilitado",IF($A180="","",ROUND(VLOOKUP($A180,'Presupuesto Consolidado'!$A$9:$F$600,6,FALSE),2)),"")</f>
        <v>5278500</v>
      </c>
      <c r="D180" s="142">
        <f t="shared" ref="D180" si="2287">IF($A180="","",IF(C180="","",IF($K$4="Media aritmética",(C180&lt;=$B180)*($G$5/$B$5)+(C180&gt;$B180)*0,IF(ROUND(AVERAGE($C180,$E180,$G180,$I180,$K180,$M180,$O180,$Q180,$S180,$U180,$W180,$Y180,$AA180,$AC180,$AE180),2)-$B180/2&lt;=C180,IF(ROUND(AVERAGE($C180,$E180,$G180,$I180,$K180,$M180,$O180,$Q180,$S180,$U180,$W180,$Y180,$AA180,$AC180,$AE180),2)+$B180/2&gt;C180,($G$5/$B$5),0),0))))</f>
        <v>0.45714285714285713</v>
      </c>
      <c r="E180" s="141" t="str">
        <f>IF($E$8="Habilitado",IF($A180="","",ROUND(VLOOKUP($A180,'Presupuesto Consolidado'!$I$9:$N$600,6,FALSE),2)),"")</f>
        <v/>
      </c>
      <c r="F180" s="142" t="str">
        <f t="shared" ref="F180" si="2288">IF($A180="","",IF(E180="","",IF($K$4="Media aritmética",(E180&lt;=$B180)*($G$5/$B$5)+(E180&gt;$B180)*0,IF(ROUND(AVERAGE($C180,$E180,$G180,$I180,$K180,$M180,$O180,$Q180,$S180,$U180,$W180,$Y180,$AA180,$AC180,$AE180),2)-$B180/2&lt;=E180,IF(ROUND(AVERAGE($C180,$E180,$G180,$I180,$K180,$M180,$O180,$Q180,$S180,$U180,$W180,$Y180,$AA180,$AC180,$AE180),2)+$B180/2&gt;E180,($G$5/$B$5),0),0))))</f>
        <v/>
      </c>
      <c r="G180" s="141" t="str">
        <f>IF($G$8="Habilitado",IF($A180="","",ROUND(VLOOKUP($A180,'Presupuesto Consolidado'!$Q$9:$V$600,6,FALSE),2)),"")</f>
        <v/>
      </c>
      <c r="H180" s="142" t="str">
        <f t="shared" ref="H180" si="2289">IF($A180="","",IF(G180="","",IF($K$4="Media aritmética",(G180&lt;=$B180)*($G$5/$B$5)+(G180&gt;$B180)*0,IF(ROUND(AVERAGE($C180,$E180,$G180,$I180,$K180,$M180,$O180,$Q180,$S180,$U180,$W180,$Y180,$AA180,$AC180,$AE180),2)-$B180/2&lt;=G180,IF(ROUND(AVERAGE($C180,$E180,$G180,$I180,$K180,$M180,$O180,$Q180,$S180,$U180,$W180,$Y180,$AA180,$AC180,$AE180),2)+$B180/2&gt;G180,($G$5/$B$5),0),0))))</f>
        <v/>
      </c>
      <c r="I180" s="141" t="str">
        <f>IF($I$8="Habilitado",IF($A180="","",ROUND(VLOOKUP($A180,'Presupuesto Consolidado'!$Y$9:$AD$600,6,FALSE),2)),"")</f>
        <v/>
      </c>
      <c r="J180" s="142" t="str">
        <f t="shared" ref="J180" si="2290">IF($A180="","",IF(I180="","",IF($K$4="Media aritmética",(I180&lt;=$B180)*($G$5/$B$5)+(I180&gt;$B180)*0,IF(ROUND(AVERAGE($C180,$E180,$G180,$I180,$K180,$M180,$O180,$Q180,$S180,$U180,$W180,$Y180,$AA180,$AC180,$AE180),2)-$B180/2&lt;=I180,IF(ROUND(AVERAGE($C180,$E180,$G180,$I180,$K180,$M180,$O180,$Q180,$S180,$U180,$W180,$Y180,$AA180,$AC180,$AE180),2)+$B180/2&gt;I180,($G$5/$B$5),0),0))))</f>
        <v/>
      </c>
      <c r="K180" s="141" t="str">
        <f>IF($K$8="Habilitado",IF($A180="","",ROUND(VLOOKUP($A180,'Presupuesto Consolidado'!#REF!,6,FALSE),2)),"")</f>
        <v/>
      </c>
      <c r="L180" s="142" t="str">
        <f t="shared" ref="L180" si="2291">IF($A180="","",IF(K180="","",IF($K$4="Media aritmética",(K180&lt;=$B180)*($G$5/$B$5)+(K180&gt;$B180)*0,IF(ROUND(AVERAGE($C180,$E180,$G180,$I180,$K180,$M180,$O180,$Q180,$S180,$U180,$W180,$Y180,$AA180,$AC180,$AE180),2)-$B180/2&lt;=K180,IF(ROUND(AVERAGE($C180,$E180,$G180,$I180,$K180,$M180,$O180,$Q180,$S180,$U180,$W180,$Y180,$AA180,$AC180,$AE180),2)+$B180/2&gt;K180,($G$5/$B$5),0),0))))</f>
        <v/>
      </c>
      <c r="M180" s="141" t="str">
        <f>IF($M$8="Habilitado",IF($A180="","",ROUND(VLOOKUP($A180,'Presupuesto Consolidado'!#REF!,6,FALSE),2)),"")</f>
        <v/>
      </c>
      <c r="N180" s="142" t="str">
        <f t="shared" ref="N180" si="2292">IF($A180="","",IF(M180="","",IF($K$4="Media aritmética",(M180&lt;=$B180)*($G$5/$B$5)+(M180&gt;$B180)*0,IF(ROUND(AVERAGE($C180,$E180,$G180,$I180,$K180,$M180,$O180,$Q180,$S180,$U180,$W180,$Y180,$AA180,$AC180,$AE180),2)-$B180/2&lt;=M180,IF(ROUND(AVERAGE($C180,$E180,$G180,$I180,$K180,$M180,$O180,$Q180,$S180,$U180,$W180,$Y180,$AA180,$AC180,$AE180),2)+$B180/2&gt;M180,($G$5/$B$5),0),0))))</f>
        <v/>
      </c>
      <c r="O180" s="141" t="str">
        <f>IF($O$8="Habilitado",IF($A180="","",ROUND(VLOOKUP($A180,'Presupuesto Consolidado'!#REF!,6,FALSE),2)),"")</f>
        <v/>
      </c>
      <c r="P180" s="142" t="str">
        <f t="shared" ref="P180" si="2293">IF($A180="","",IF(O180="","",IF($K$4="Media aritmética",(O180&lt;=$B180)*($G$5/$B$5)+(O180&gt;$B180)*0,IF(ROUND(AVERAGE($C180,$E180,$G180,$I180,$K180,$M180,$O180,$Q180,$S180,$U180,$W180,$Y180,$AA180,$AC180,$AE180),2)-$B180/2&lt;=O180,IF(ROUND(AVERAGE($C180,$E180,$G180,$I180,$K180,$M180,$O180,$Q180,$S180,$U180,$W180,$Y180,$AA180,$AC180,$AE180),2)+$B180/2&gt;O180,($G$5/$B$5),0),0))))</f>
        <v/>
      </c>
      <c r="Q180" s="141" t="str">
        <f>IF($Q$8="Habilitado",IF($A180="","",ROUND(VLOOKUP($A180,'Presupuesto Consolidado'!#REF!,6,FALSE),2)),"")</f>
        <v/>
      </c>
      <c r="R180" s="142" t="str">
        <f t="shared" ref="R180" si="2294">IF($A180="","",IF(Q180="","",IF($K$4="Media aritmética",(Q180&lt;=$B180)*($G$5/$B$5)+(Q180&gt;$B180)*0,IF(ROUND(AVERAGE($C180,$E180,$G180,$I180,$K180,$M180,$O180,$Q180,$S180,$U180,$W180,$Y180,$AA180,$AC180,$AE180),2)-$B180/2&lt;=Q180,IF(ROUND(AVERAGE($C180,$E180,$G180,$I180,$K180,$M180,$O180,$Q180,$S180,$U180,$W180,$Y180,$AA180,$AC180,$AE180),2)+$B180/2&gt;Q180,($G$5/$B$5),0),0))))</f>
        <v/>
      </c>
      <c r="S180" s="141" t="str">
        <f>IF($S$8="Habilitado",IF($A180="","",ROUND(VLOOKUP($A180,'Presupuesto Consolidado'!#REF!,6,FALSE),2)),"")</f>
        <v/>
      </c>
      <c r="T180" s="142" t="str">
        <f t="shared" ref="T180" si="2295">IF($A180="","",IF(S180="","",IF($K$4="Media aritmética",(S180&lt;=$B180)*($G$5/$B$5)+(S180&gt;$B180)*0,IF(ROUND(AVERAGE($C180,$E180,$G180,$I180,$K180,$M180,$O180,$Q180,$S180,$U180,$W180,$Y180,$AA180,$AC180,$AE180),2)-$B180/2&lt;=S180,IF(ROUND(AVERAGE($C180,$E180,$G180,$I180,$K180,$M180,$O180,$Q180,$S180,$U180,$W180,$Y180,$AA180,$AC180,$AE180),2)+$B180/2&gt;S180,($G$5/$B$5),0),0))))</f>
        <v/>
      </c>
      <c r="U180" s="141" t="str">
        <f>IF($U$8="Habilitado",IF($A180="","",ROUND(VLOOKUP($A180,'Presupuesto Consolidado'!#REF!,6,FALSE),2)),"")</f>
        <v/>
      </c>
      <c r="V180" s="142" t="str">
        <f t="shared" ref="V180" si="2296">IF($A180="","",IF(U180="","",IF($K$4="Media aritmética",(U180&lt;=$B180)*($G$5/$B$5)+(U180&gt;$B180)*0,IF(ROUND(AVERAGE($C180,$E180,$G180,$I180,$K180,$M180,$O180,$Q180,$S180,$U180,$W180,$Y180,$AA180,$AC180,$AE180),2)-$B180/2&lt;=U180,IF(ROUND(AVERAGE($C180,$E180,$G180,$I180,$K180,$M180,$O180,$Q180,$S180,$U180,$W180,$Y180,$AA180,$AC180,$AE180),2)+$B180/2&gt;U180,($G$5/$B$5),0),0))))</f>
        <v/>
      </c>
      <c r="W180" s="141" t="str">
        <f>IF($W$8="Habilitado",IF($A180="","",ROUND(VLOOKUP($A180,'Presupuesto Consolidado'!#REF!,6,FALSE),2)),"")</f>
        <v/>
      </c>
      <c r="X180" s="142" t="str">
        <f t="shared" ref="X180" si="2297">IF($A180="","",IF(W180="","",IF($K$4="Media aritmética",(W180&lt;=$B180)*($G$5/$B$5)+(W180&gt;$B180)*0,IF(ROUND(AVERAGE($C180,$E180,$G180,$I180,$K180,$M180,$O180,$Q180,$S180,$U180,$W180,$Y180,$AA180,$AC180,$AE180),2)-$B180/2&lt;=W180,IF(ROUND(AVERAGE($C180,$E180,$G180,$I180,$K180,$M180,$O180,$Q180,$S180,$U180,$W180,$Y180,$AA180,$AC180,$AE180),2)+$B180/2&gt;W180,($G$5/$B$5),0),0))))</f>
        <v/>
      </c>
      <c r="Y180" s="141" t="str">
        <f>IF($Y$8="Habilitado",IF($A180="","",ROUND(VLOOKUP($A180,'Presupuesto Consolidado'!#REF!,6,FALSE),2)),"")</f>
        <v/>
      </c>
      <c r="Z180" s="142" t="str">
        <f t="shared" ref="Z180" si="2298">IF($A180="","",IF(Y180="","",IF($K$4="Media aritmética",(Y180&lt;=$B180)*($G$5/$B$5)+(Y180&gt;$B180)*0,IF(ROUND(AVERAGE($C180,$E180,$G180,$I180,$K180,$M180,$O180,$Q180,$S180,$U180,$W180,$Y180,$AA180,$AC180,$AE180),2)-$B180/2&lt;=Y180,IF(ROUND(AVERAGE($C180,$E180,$G180,$I180,$K180,$M180,$O180,$Q180,$S180,$U180,$W180,$Y180,$AA180,$AC180,$AE180),2)+$B180/2&gt;Y180,($G$5/$B$5),0),0))))</f>
        <v/>
      </c>
      <c r="AA180" s="141" t="str">
        <f>IF($AA$8="Habilitado",IF($A180="","",ROUND(VLOOKUP($A180,'Presupuesto Consolidado'!#REF!,6,FALSE),2)),"")</f>
        <v/>
      </c>
      <c r="AB180" s="142" t="str">
        <f t="shared" ref="AB180" si="2299">IF($A180="","",IF(AA180="","",IF($K$4="Media aritmética",(AA180&lt;=$B180)*($G$5/$B$5)+(AA180&gt;$B180)*0,IF(ROUND(AVERAGE($C180,$E180,$G180,$I180,$K180,$M180,$O180,$Q180,$S180,$U180,$W180,$Y180,$AA180,$AC180,$AE180),2)-$B180/2&lt;=AA180,IF(ROUND(AVERAGE($C180,$E180,$G180,$I180,$K180,$M180,$O180,$Q180,$S180,$U180,$W180,$Y180,$AA180,$AC180,$AE180),2)+$B180/2&gt;AA180,($G$5/$B$5),0),0))))</f>
        <v/>
      </c>
      <c r="AC180" s="141" t="str">
        <f>IF($AC$8="Habilitado",IF($A180="","",ROUND(VLOOKUP($A180,'Presupuesto Consolidado'!#REF!,6,FALSE),2)),"")</f>
        <v/>
      </c>
      <c r="AD180" s="142" t="str">
        <f t="shared" ref="AD180" si="2300">IF($A180="","",IF(AC180="","",IF($K$4="Media aritmética",(AC180&lt;=$B180)*($G$5/$B$5)+(AC180&gt;$B180)*0,IF(ROUND(AVERAGE($C180,$E180,$G180,$I180,$K180,$M180,$O180,$Q180,$S180,$U180,$W180,$Y180,$AA180,$AC180,$AE180),2)-$B180/2&lt;=AC180,IF(ROUND(AVERAGE($C180,$E180,$G180,$I180,$K180,$M180,$O180,$Q180,$S180,$U180,$W180,$Y180,$AA180,$AC180,$AE180),2)+$B180/2&gt;AC180,($G$5/$B$5),0),0))))</f>
        <v/>
      </c>
      <c r="AE180" s="141" t="str">
        <f>IF($AE$8="Habilitado",IF($A180="","",ROUND(VLOOKUP($A180,'Presupuesto Consolidado'!#REF!,6,FALSE),2)),"")</f>
        <v/>
      </c>
      <c r="AF180" s="142" t="str">
        <f t="shared" ref="AF180" si="2301">IF($A180="","",IF(AE180="","",IF($K$4="Media aritmética",(AE180&lt;=$B180)*($G$5/$B$5)+(AE180&gt;$B180)*0,IF(ROUND(AVERAGE($C180,$E180,$G180,$I180,$K180,$M180,$O180,$Q180,$S180,$U180,$W180,$Y180,$AA180,$AC180,$AE180),2)-$B180/2&lt;=AE180,IF(ROUND(AVERAGE($C180,$E180,$G180,$I180,$K180,$M180,$O180,$Q180,$S180,$U180,$W180,$Y180,$AA180,$AC180,$AE180),2)+$B180/2&gt;AE180,($G$5/$B$5),0),0))))</f>
        <v/>
      </c>
    </row>
    <row r="181" spans="1:32" s="135" customFormat="1" ht="21" customHeight="1">
      <c r="A181" s="132" t="str">
        <f>+'Presupuesto Consolidado'!A210</f>
        <v>13.1.1</v>
      </c>
      <c r="B181" s="140">
        <f t="shared" ref="B181" si="2302">IF(A181="","",IF($K$4="Media aritmética",ROUND(AVERAGE(C181,E181,G181,I181,K181,M181,O181,Q181,S181,U181,W181,Y181,AA181,AC181,AE181),2),ROUND(_xlfn.STDEV.P(C181,E181,G181,I181,K181,M181,O181,Q181,S181,U181,W181,Y181,AA181,AC181,AE181),2)))</f>
        <v>1603125</v>
      </c>
      <c r="C181" s="141">
        <f>IF($C$8="Habilitado",IF($A181="","",ROUND(VLOOKUP($A181,'Presupuesto Consolidado'!$A$9:$F$600,6,FALSE),2)),"")</f>
        <v>1603125</v>
      </c>
      <c r="D181" s="142">
        <f t="shared" ref="D181" si="2303">IF($A181="","",IF(C181="","",IF($K$4="Media aritmética",(C181&lt;=$B181)*($G$5/$B$5)+(C181&gt;$B181)*0,IF(ROUND(AVERAGE($C181,$E181,$G181,$I181,$K181,$M181,$O181,$Q181,$S181,$U181,$W181,$Y181,$AA181,$AC181,$AE181),2)-$B181/2&lt;=C181,IF(ROUND(AVERAGE($C181,$E181,$G181,$I181,$K181,$M181,$O181,$Q181,$S181,$U181,$W181,$Y181,$AA181,$AC181,$AE181),2)+$B181/2&gt;C181,($G$5/$B$5),0),0))))</f>
        <v>0.45714285714285713</v>
      </c>
      <c r="E181" s="141" t="str">
        <f>IF($E$8="Habilitado",IF($A181="","",ROUND(VLOOKUP($A181,'Presupuesto Consolidado'!$I$9:$N$600,6,FALSE),2)),"")</f>
        <v/>
      </c>
      <c r="F181" s="142" t="str">
        <f t="shared" ref="F181" si="2304">IF($A181="","",IF(E181="","",IF($K$4="Media aritmética",(E181&lt;=$B181)*($G$5/$B$5)+(E181&gt;$B181)*0,IF(ROUND(AVERAGE($C181,$E181,$G181,$I181,$K181,$M181,$O181,$Q181,$S181,$U181,$W181,$Y181,$AA181,$AC181,$AE181),2)-$B181/2&lt;=E181,IF(ROUND(AVERAGE($C181,$E181,$G181,$I181,$K181,$M181,$O181,$Q181,$S181,$U181,$W181,$Y181,$AA181,$AC181,$AE181),2)+$B181/2&gt;E181,($G$5/$B$5),0),0))))</f>
        <v/>
      </c>
      <c r="G181" s="141" t="str">
        <f>IF($G$8="Habilitado",IF($A181="","",ROUND(VLOOKUP($A181,'Presupuesto Consolidado'!$Q$9:$V$600,6,FALSE),2)),"")</f>
        <v/>
      </c>
      <c r="H181" s="142" t="str">
        <f t="shared" ref="H181" si="2305">IF($A181="","",IF(G181="","",IF($K$4="Media aritmética",(G181&lt;=$B181)*($G$5/$B$5)+(G181&gt;$B181)*0,IF(ROUND(AVERAGE($C181,$E181,$G181,$I181,$K181,$M181,$O181,$Q181,$S181,$U181,$W181,$Y181,$AA181,$AC181,$AE181),2)-$B181/2&lt;=G181,IF(ROUND(AVERAGE($C181,$E181,$G181,$I181,$K181,$M181,$O181,$Q181,$S181,$U181,$W181,$Y181,$AA181,$AC181,$AE181),2)+$B181/2&gt;G181,($G$5/$B$5),0),0))))</f>
        <v/>
      </c>
      <c r="I181" s="141" t="str">
        <f>IF($I$8="Habilitado",IF($A181="","",ROUND(VLOOKUP($A181,'Presupuesto Consolidado'!$Y$9:$AD$600,6,FALSE),2)),"")</f>
        <v/>
      </c>
      <c r="J181" s="142" t="str">
        <f t="shared" ref="J181" si="2306">IF($A181="","",IF(I181="","",IF($K$4="Media aritmética",(I181&lt;=$B181)*($G$5/$B$5)+(I181&gt;$B181)*0,IF(ROUND(AVERAGE($C181,$E181,$G181,$I181,$K181,$M181,$O181,$Q181,$S181,$U181,$W181,$Y181,$AA181,$AC181,$AE181),2)-$B181/2&lt;=I181,IF(ROUND(AVERAGE($C181,$E181,$G181,$I181,$K181,$M181,$O181,$Q181,$S181,$U181,$W181,$Y181,$AA181,$AC181,$AE181),2)+$B181/2&gt;I181,($G$5/$B$5),0),0))))</f>
        <v/>
      </c>
      <c r="K181" s="141" t="str">
        <f>IF($K$8="Habilitado",IF($A181="","",ROUND(VLOOKUP($A181,'Presupuesto Consolidado'!#REF!,6,FALSE),2)),"")</f>
        <v/>
      </c>
      <c r="L181" s="142" t="str">
        <f t="shared" ref="L181" si="2307">IF($A181="","",IF(K181="","",IF($K$4="Media aritmética",(K181&lt;=$B181)*($G$5/$B$5)+(K181&gt;$B181)*0,IF(ROUND(AVERAGE($C181,$E181,$G181,$I181,$K181,$M181,$O181,$Q181,$S181,$U181,$W181,$Y181,$AA181,$AC181,$AE181),2)-$B181/2&lt;=K181,IF(ROUND(AVERAGE($C181,$E181,$G181,$I181,$K181,$M181,$O181,$Q181,$S181,$U181,$W181,$Y181,$AA181,$AC181,$AE181),2)+$B181/2&gt;K181,($G$5/$B$5),0),0))))</f>
        <v/>
      </c>
      <c r="M181" s="141" t="str">
        <f>IF($M$8="Habilitado",IF($A181="","",ROUND(VLOOKUP($A181,'Presupuesto Consolidado'!#REF!,6,FALSE),2)),"")</f>
        <v/>
      </c>
      <c r="N181" s="142" t="str">
        <f t="shared" ref="N181" si="2308">IF($A181="","",IF(M181="","",IF($K$4="Media aritmética",(M181&lt;=$B181)*($G$5/$B$5)+(M181&gt;$B181)*0,IF(ROUND(AVERAGE($C181,$E181,$G181,$I181,$K181,$M181,$O181,$Q181,$S181,$U181,$W181,$Y181,$AA181,$AC181,$AE181),2)-$B181/2&lt;=M181,IF(ROUND(AVERAGE($C181,$E181,$G181,$I181,$K181,$M181,$O181,$Q181,$S181,$U181,$W181,$Y181,$AA181,$AC181,$AE181),2)+$B181/2&gt;M181,($G$5/$B$5),0),0))))</f>
        <v/>
      </c>
      <c r="O181" s="141" t="str">
        <f>IF($O$8="Habilitado",IF($A181="","",ROUND(VLOOKUP($A181,'Presupuesto Consolidado'!#REF!,6,FALSE),2)),"")</f>
        <v/>
      </c>
      <c r="P181" s="142" t="str">
        <f t="shared" ref="P181" si="2309">IF($A181="","",IF(O181="","",IF($K$4="Media aritmética",(O181&lt;=$B181)*($G$5/$B$5)+(O181&gt;$B181)*0,IF(ROUND(AVERAGE($C181,$E181,$G181,$I181,$K181,$M181,$O181,$Q181,$S181,$U181,$W181,$Y181,$AA181,$AC181,$AE181),2)-$B181/2&lt;=O181,IF(ROUND(AVERAGE($C181,$E181,$G181,$I181,$K181,$M181,$O181,$Q181,$S181,$U181,$W181,$Y181,$AA181,$AC181,$AE181),2)+$B181/2&gt;O181,($G$5/$B$5),0),0))))</f>
        <v/>
      </c>
      <c r="Q181" s="141" t="str">
        <f>IF($Q$8="Habilitado",IF($A181="","",ROUND(VLOOKUP($A181,'Presupuesto Consolidado'!#REF!,6,FALSE),2)),"")</f>
        <v/>
      </c>
      <c r="R181" s="142" t="str">
        <f t="shared" ref="R181" si="2310">IF($A181="","",IF(Q181="","",IF($K$4="Media aritmética",(Q181&lt;=$B181)*($G$5/$B$5)+(Q181&gt;$B181)*0,IF(ROUND(AVERAGE($C181,$E181,$G181,$I181,$K181,$M181,$O181,$Q181,$S181,$U181,$W181,$Y181,$AA181,$AC181,$AE181),2)-$B181/2&lt;=Q181,IF(ROUND(AVERAGE($C181,$E181,$G181,$I181,$K181,$M181,$O181,$Q181,$S181,$U181,$W181,$Y181,$AA181,$AC181,$AE181),2)+$B181/2&gt;Q181,($G$5/$B$5),0),0))))</f>
        <v/>
      </c>
      <c r="S181" s="141" t="str">
        <f>IF($S$8="Habilitado",IF($A181="","",ROUND(VLOOKUP($A181,'Presupuesto Consolidado'!#REF!,6,FALSE),2)),"")</f>
        <v/>
      </c>
      <c r="T181" s="142" t="str">
        <f t="shared" ref="T181" si="2311">IF($A181="","",IF(S181="","",IF($K$4="Media aritmética",(S181&lt;=$B181)*($G$5/$B$5)+(S181&gt;$B181)*0,IF(ROUND(AVERAGE($C181,$E181,$G181,$I181,$K181,$M181,$O181,$Q181,$S181,$U181,$W181,$Y181,$AA181,$AC181,$AE181),2)-$B181/2&lt;=S181,IF(ROUND(AVERAGE($C181,$E181,$G181,$I181,$K181,$M181,$O181,$Q181,$S181,$U181,$W181,$Y181,$AA181,$AC181,$AE181),2)+$B181/2&gt;S181,($G$5/$B$5),0),0))))</f>
        <v/>
      </c>
      <c r="U181" s="141" t="str">
        <f>IF($U$8="Habilitado",IF($A181="","",ROUND(VLOOKUP($A181,'Presupuesto Consolidado'!#REF!,6,FALSE),2)),"")</f>
        <v/>
      </c>
      <c r="V181" s="142" t="str">
        <f t="shared" ref="V181" si="2312">IF($A181="","",IF(U181="","",IF($K$4="Media aritmética",(U181&lt;=$B181)*($G$5/$B$5)+(U181&gt;$B181)*0,IF(ROUND(AVERAGE($C181,$E181,$G181,$I181,$K181,$M181,$O181,$Q181,$S181,$U181,$W181,$Y181,$AA181,$AC181,$AE181),2)-$B181/2&lt;=U181,IF(ROUND(AVERAGE($C181,$E181,$G181,$I181,$K181,$M181,$O181,$Q181,$S181,$U181,$W181,$Y181,$AA181,$AC181,$AE181),2)+$B181/2&gt;U181,($G$5/$B$5),0),0))))</f>
        <v/>
      </c>
      <c r="W181" s="141" t="str">
        <f>IF($W$8="Habilitado",IF($A181="","",ROUND(VLOOKUP($A181,'Presupuesto Consolidado'!#REF!,6,FALSE),2)),"")</f>
        <v/>
      </c>
      <c r="X181" s="142" t="str">
        <f t="shared" ref="X181" si="2313">IF($A181="","",IF(W181="","",IF($K$4="Media aritmética",(W181&lt;=$B181)*($G$5/$B$5)+(W181&gt;$B181)*0,IF(ROUND(AVERAGE($C181,$E181,$G181,$I181,$K181,$M181,$O181,$Q181,$S181,$U181,$W181,$Y181,$AA181,$AC181,$AE181),2)-$B181/2&lt;=W181,IF(ROUND(AVERAGE($C181,$E181,$G181,$I181,$K181,$M181,$O181,$Q181,$S181,$U181,$W181,$Y181,$AA181,$AC181,$AE181),2)+$B181/2&gt;W181,($G$5/$B$5),0),0))))</f>
        <v/>
      </c>
      <c r="Y181" s="141" t="str">
        <f>IF($Y$8="Habilitado",IF($A181="","",ROUND(VLOOKUP($A181,'Presupuesto Consolidado'!#REF!,6,FALSE),2)),"")</f>
        <v/>
      </c>
      <c r="Z181" s="142" t="str">
        <f t="shared" ref="Z181" si="2314">IF($A181="","",IF(Y181="","",IF($K$4="Media aritmética",(Y181&lt;=$B181)*($G$5/$B$5)+(Y181&gt;$B181)*0,IF(ROUND(AVERAGE($C181,$E181,$G181,$I181,$K181,$M181,$O181,$Q181,$S181,$U181,$W181,$Y181,$AA181,$AC181,$AE181),2)-$B181/2&lt;=Y181,IF(ROUND(AVERAGE($C181,$E181,$G181,$I181,$K181,$M181,$O181,$Q181,$S181,$U181,$W181,$Y181,$AA181,$AC181,$AE181),2)+$B181/2&gt;Y181,($G$5/$B$5),0),0))))</f>
        <v/>
      </c>
      <c r="AA181" s="141" t="str">
        <f>IF($AA$8="Habilitado",IF($A181="","",ROUND(VLOOKUP($A181,'Presupuesto Consolidado'!#REF!,6,FALSE),2)),"")</f>
        <v/>
      </c>
      <c r="AB181" s="142" t="str">
        <f t="shared" ref="AB181" si="2315">IF($A181="","",IF(AA181="","",IF($K$4="Media aritmética",(AA181&lt;=$B181)*($G$5/$B$5)+(AA181&gt;$B181)*0,IF(ROUND(AVERAGE($C181,$E181,$G181,$I181,$K181,$M181,$O181,$Q181,$S181,$U181,$W181,$Y181,$AA181,$AC181,$AE181),2)-$B181/2&lt;=AA181,IF(ROUND(AVERAGE($C181,$E181,$G181,$I181,$K181,$M181,$O181,$Q181,$S181,$U181,$W181,$Y181,$AA181,$AC181,$AE181),2)+$B181/2&gt;AA181,($G$5/$B$5),0),0))))</f>
        <v/>
      </c>
      <c r="AC181" s="141" t="str">
        <f>IF($AC$8="Habilitado",IF($A181="","",ROUND(VLOOKUP($A181,'Presupuesto Consolidado'!#REF!,6,FALSE),2)),"")</f>
        <v/>
      </c>
      <c r="AD181" s="142" t="str">
        <f t="shared" ref="AD181" si="2316">IF($A181="","",IF(AC181="","",IF($K$4="Media aritmética",(AC181&lt;=$B181)*($G$5/$B$5)+(AC181&gt;$B181)*0,IF(ROUND(AVERAGE($C181,$E181,$G181,$I181,$K181,$M181,$O181,$Q181,$S181,$U181,$W181,$Y181,$AA181,$AC181,$AE181),2)-$B181/2&lt;=AC181,IF(ROUND(AVERAGE($C181,$E181,$G181,$I181,$K181,$M181,$O181,$Q181,$S181,$U181,$W181,$Y181,$AA181,$AC181,$AE181),2)+$B181/2&gt;AC181,($G$5/$B$5),0),0))))</f>
        <v/>
      </c>
      <c r="AE181" s="141" t="str">
        <f>IF($AE$8="Habilitado",IF($A181="","",ROUND(VLOOKUP($A181,'Presupuesto Consolidado'!#REF!,6,FALSE),2)),"")</f>
        <v/>
      </c>
      <c r="AF181" s="142" t="str">
        <f t="shared" ref="AF181" si="2317">IF($A181="","",IF(AE181="","",IF($K$4="Media aritmética",(AE181&lt;=$B181)*($G$5/$B$5)+(AE181&gt;$B181)*0,IF(ROUND(AVERAGE($C181,$E181,$G181,$I181,$K181,$M181,$O181,$Q181,$S181,$U181,$W181,$Y181,$AA181,$AC181,$AE181),2)-$B181/2&lt;=AE181,IF(ROUND(AVERAGE($C181,$E181,$G181,$I181,$K181,$M181,$O181,$Q181,$S181,$U181,$W181,$Y181,$AA181,$AC181,$AE181),2)+$B181/2&gt;AE181,($G$5/$B$5),0),0))))</f>
        <v/>
      </c>
    </row>
    <row r="182" spans="1:32" s="135" customFormat="1" ht="21" customHeight="1">
      <c r="A182" s="132" t="str">
        <f>+'Presupuesto Consolidado'!A211</f>
        <v>13.1.2</v>
      </c>
      <c r="B182" s="140">
        <f t="shared" ref="B182" si="2318">IF(A182="","",IF($K$4="Media aritmética",ROUND(AVERAGE(C182,E182,G182,I182,K182,M182,O182,Q182,S182,U182,W182,Y182,AA182,AC182,AE182),2),ROUND(_xlfn.STDEV.P(C182,E182,G182,I182,K182,M182,O182,Q182,S182,U182,W182,Y182,AA182,AC182,AE182),2)))</f>
        <v>926842</v>
      </c>
      <c r="C182" s="141">
        <f>IF($C$8="Habilitado",IF($A182="","",ROUND(VLOOKUP($A182,'Presupuesto Consolidado'!$A$9:$F$600,6,FALSE),2)),"")</f>
        <v>926842</v>
      </c>
      <c r="D182" s="142">
        <f t="shared" ref="D182" si="2319">IF($A182="","",IF(C182="","",IF($K$4="Media aritmética",(C182&lt;=$B182)*($G$5/$B$5)+(C182&gt;$B182)*0,IF(ROUND(AVERAGE($C182,$E182,$G182,$I182,$K182,$M182,$O182,$Q182,$S182,$U182,$W182,$Y182,$AA182,$AC182,$AE182),2)-$B182/2&lt;=C182,IF(ROUND(AVERAGE($C182,$E182,$G182,$I182,$K182,$M182,$O182,$Q182,$S182,$U182,$W182,$Y182,$AA182,$AC182,$AE182),2)+$B182/2&gt;C182,($G$5/$B$5),0),0))))</f>
        <v>0.45714285714285713</v>
      </c>
      <c r="E182" s="141" t="str">
        <f>IF($E$8="Habilitado",IF($A182="","",ROUND(VLOOKUP($A182,'Presupuesto Consolidado'!$I$9:$N$600,6,FALSE),2)),"")</f>
        <v/>
      </c>
      <c r="F182" s="142" t="str">
        <f t="shared" ref="F182" si="2320">IF($A182="","",IF(E182="","",IF($K$4="Media aritmética",(E182&lt;=$B182)*($G$5/$B$5)+(E182&gt;$B182)*0,IF(ROUND(AVERAGE($C182,$E182,$G182,$I182,$K182,$M182,$O182,$Q182,$S182,$U182,$W182,$Y182,$AA182,$AC182,$AE182),2)-$B182/2&lt;=E182,IF(ROUND(AVERAGE($C182,$E182,$G182,$I182,$K182,$M182,$O182,$Q182,$S182,$U182,$W182,$Y182,$AA182,$AC182,$AE182),2)+$B182/2&gt;E182,($G$5/$B$5),0),0))))</f>
        <v/>
      </c>
      <c r="G182" s="141" t="str">
        <f>IF($G$8="Habilitado",IF($A182="","",ROUND(VLOOKUP($A182,'Presupuesto Consolidado'!$Q$9:$V$600,6,FALSE),2)),"")</f>
        <v/>
      </c>
      <c r="H182" s="142" t="str">
        <f t="shared" ref="H182" si="2321">IF($A182="","",IF(G182="","",IF($K$4="Media aritmética",(G182&lt;=$B182)*($G$5/$B$5)+(G182&gt;$B182)*0,IF(ROUND(AVERAGE($C182,$E182,$G182,$I182,$K182,$M182,$O182,$Q182,$S182,$U182,$W182,$Y182,$AA182,$AC182,$AE182),2)-$B182/2&lt;=G182,IF(ROUND(AVERAGE($C182,$E182,$G182,$I182,$K182,$M182,$O182,$Q182,$S182,$U182,$W182,$Y182,$AA182,$AC182,$AE182),2)+$B182/2&gt;G182,($G$5/$B$5),0),0))))</f>
        <v/>
      </c>
      <c r="I182" s="141" t="str">
        <f>IF($I$8="Habilitado",IF($A182="","",ROUND(VLOOKUP($A182,'Presupuesto Consolidado'!$Y$9:$AD$600,6,FALSE),2)),"")</f>
        <v/>
      </c>
      <c r="J182" s="142" t="str">
        <f t="shared" ref="J182" si="2322">IF($A182="","",IF(I182="","",IF($K$4="Media aritmética",(I182&lt;=$B182)*($G$5/$B$5)+(I182&gt;$B182)*0,IF(ROUND(AVERAGE($C182,$E182,$G182,$I182,$K182,$M182,$O182,$Q182,$S182,$U182,$W182,$Y182,$AA182,$AC182,$AE182),2)-$B182/2&lt;=I182,IF(ROUND(AVERAGE($C182,$E182,$G182,$I182,$K182,$M182,$O182,$Q182,$S182,$U182,$W182,$Y182,$AA182,$AC182,$AE182),2)+$B182/2&gt;I182,($G$5/$B$5),0),0))))</f>
        <v/>
      </c>
      <c r="K182" s="141" t="str">
        <f>IF($K$8="Habilitado",IF($A182="","",ROUND(VLOOKUP($A182,'Presupuesto Consolidado'!#REF!,6,FALSE),2)),"")</f>
        <v/>
      </c>
      <c r="L182" s="142" t="str">
        <f t="shared" ref="L182" si="2323">IF($A182="","",IF(K182="","",IF($K$4="Media aritmética",(K182&lt;=$B182)*($G$5/$B$5)+(K182&gt;$B182)*0,IF(ROUND(AVERAGE($C182,$E182,$G182,$I182,$K182,$M182,$O182,$Q182,$S182,$U182,$W182,$Y182,$AA182,$AC182,$AE182),2)-$B182/2&lt;=K182,IF(ROUND(AVERAGE($C182,$E182,$G182,$I182,$K182,$M182,$O182,$Q182,$S182,$U182,$W182,$Y182,$AA182,$AC182,$AE182),2)+$B182/2&gt;K182,($G$5/$B$5),0),0))))</f>
        <v/>
      </c>
      <c r="M182" s="141" t="str">
        <f>IF($M$8="Habilitado",IF($A182="","",ROUND(VLOOKUP($A182,'Presupuesto Consolidado'!#REF!,6,FALSE),2)),"")</f>
        <v/>
      </c>
      <c r="N182" s="142" t="str">
        <f t="shared" ref="N182" si="2324">IF($A182="","",IF(M182="","",IF($K$4="Media aritmética",(M182&lt;=$B182)*($G$5/$B$5)+(M182&gt;$B182)*0,IF(ROUND(AVERAGE($C182,$E182,$G182,$I182,$K182,$M182,$O182,$Q182,$S182,$U182,$W182,$Y182,$AA182,$AC182,$AE182),2)-$B182/2&lt;=M182,IF(ROUND(AVERAGE($C182,$E182,$G182,$I182,$K182,$M182,$O182,$Q182,$S182,$U182,$W182,$Y182,$AA182,$AC182,$AE182),2)+$B182/2&gt;M182,($G$5/$B$5),0),0))))</f>
        <v/>
      </c>
      <c r="O182" s="141" t="str">
        <f>IF($O$8="Habilitado",IF($A182="","",ROUND(VLOOKUP($A182,'Presupuesto Consolidado'!#REF!,6,FALSE),2)),"")</f>
        <v/>
      </c>
      <c r="P182" s="142" t="str">
        <f t="shared" ref="P182" si="2325">IF($A182="","",IF(O182="","",IF($K$4="Media aritmética",(O182&lt;=$B182)*($G$5/$B$5)+(O182&gt;$B182)*0,IF(ROUND(AVERAGE($C182,$E182,$G182,$I182,$K182,$M182,$O182,$Q182,$S182,$U182,$W182,$Y182,$AA182,$AC182,$AE182),2)-$B182/2&lt;=O182,IF(ROUND(AVERAGE($C182,$E182,$G182,$I182,$K182,$M182,$O182,$Q182,$S182,$U182,$W182,$Y182,$AA182,$AC182,$AE182),2)+$B182/2&gt;O182,($G$5/$B$5),0),0))))</f>
        <v/>
      </c>
      <c r="Q182" s="141" t="str">
        <f>IF($Q$8="Habilitado",IF($A182="","",ROUND(VLOOKUP($A182,'Presupuesto Consolidado'!#REF!,6,FALSE),2)),"")</f>
        <v/>
      </c>
      <c r="R182" s="142" t="str">
        <f t="shared" ref="R182" si="2326">IF($A182="","",IF(Q182="","",IF($K$4="Media aritmética",(Q182&lt;=$B182)*($G$5/$B$5)+(Q182&gt;$B182)*0,IF(ROUND(AVERAGE($C182,$E182,$G182,$I182,$K182,$M182,$O182,$Q182,$S182,$U182,$W182,$Y182,$AA182,$AC182,$AE182),2)-$B182/2&lt;=Q182,IF(ROUND(AVERAGE($C182,$E182,$G182,$I182,$K182,$M182,$O182,$Q182,$S182,$U182,$W182,$Y182,$AA182,$AC182,$AE182),2)+$B182/2&gt;Q182,($G$5/$B$5),0),0))))</f>
        <v/>
      </c>
      <c r="S182" s="141" t="str">
        <f>IF($S$8="Habilitado",IF($A182="","",ROUND(VLOOKUP($A182,'Presupuesto Consolidado'!#REF!,6,FALSE),2)),"")</f>
        <v/>
      </c>
      <c r="T182" s="142" t="str">
        <f t="shared" ref="T182" si="2327">IF($A182="","",IF(S182="","",IF($K$4="Media aritmética",(S182&lt;=$B182)*($G$5/$B$5)+(S182&gt;$B182)*0,IF(ROUND(AVERAGE($C182,$E182,$G182,$I182,$K182,$M182,$O182,$Q182,$S182,$U182,$W182,$Y182,$AA182,$AC182,$AE182),2)-$B182/2&lt;=S182,IF(ROUND(AVERAGE($C182,$E182,$G182,$I182,$K182,$M182,$O182,$Q182,$S182,$U182,$W182,$Y182,$AA182,$AC182,$AE182),2)+$B182/2&gt;S182,($G$5/$B$5),0),0))))</f>
        <v/>
      </c>
      <c r="U182" s="141" t="str">
        <f>IF($U$8="Habilitado",IF($A182="","",ROUND(VLOOKUP($A182,'Presupuesto Consolidado'!#REF!,6,FALSE),2)),"")</f>
        <v/>
      </c>
      <c r="V182" s="142" t="str">
        <f t="shared" ref="V182" si="2328">IF($A182="","",IF(U182="","",IF($K$4="Media aritmética",(U182&lt;=$B182)*($G$5/$B$5)+(U182&gt;$B182)*0,IF(ROUND(AVERAGE($C182,$E182,$G182,$I182,$K182,$M182,$O182,$Q182,$S182,$U182,$W182,$Y182,$AA182,$AC182,$AE182),2)-$B182/2&lt;=U182,IF(ROUND(AVERAGE($C182,$E182,$G182,$I182,$K182,$M182,$O182,$Q182,$S182,$U182,$W182,$Y182,$AA182,$AC182,$AE182),2)+$B182/2&gt;U182,($G$5/$B$5),0),0))))</f>
        <v/>
      </c>
      <c r="W182" s="141" t="str">
        <f>IF($W$8="Habilitado",IF($A182="","",ROUND(VLOOKUP($A182,'Presupuesto Consolidado'!#REF!,6,FALSE),2)),"")</f>
        <v/>
      </c>
      <c r="X182" s="142" t="str">
        <f t="shared" ref="X182" si="2329">IF($A182="","",IF(W182="","",IF($K$4="Media aritmética",(W182&lt;=$B182)*($G$5/$B$5)+(W182&gt;$B182)*0,IF(ROUND(AVERAGE($C182,$E182,$G182,$I182,$K182,$M182,$O182,$Q182,$S182,$U182,$W182,$Y182,$AA182,$AC182,$AE182),2)-$B182/2&lt;=W182,IF(ROUND(AVERAGE($C182,$E182,$G182,$I182,$K182,$M182,$O182,$Q182,$S182,$U182,$W182,$Y182,$AA182,$AC182,$AE182),2)+$B182/2&gt;W182,($G$5/$B$5),0),0))))</f>
        <v/>
      </c>
      <c r="Y182" s="141" t="str">
        <f>IF($Y$8="Habilitado",IF($A182="","",ROUND(VLOOKUP($A182,'Presupuesto Consolidado'!#REF!,6,FALSE),2)),"")</f>
        <v/>
      </c>
      <c r="Z182" s="142" t="str">
        <f t="shared" ref="Z182" si="2330">IF($A182="","",IF(Y182="","",IF($K$4="Media aritmética",(Y182&lt;=$B182)*($G$5/$B$5)+(Y182&gt;$B182)*0,IF(ROUND(AVERAGE($C182,$E182,$G182,$I182,$K182,$M182,$O182,$Q182,$S182,$U182,$W182,$Y182,$AA182,$AC182,$AE182),2)-$B182/2&lt;=Y182,IF(ROUND(AVERAGE($C182,$E182,$G182,$I182,$K182,$M182,$O182,$Q182,$S182,$U182,$W182,$Y182,$AA182,$AC182,$AE182),2)+$B182/2&gt;Y182,($G$5/$B$5),0),0))))</f>
        <v/>
      </c>
      <c r="AA182" s="141" t="str">
        <f>IF($AA$8="Habilitado",IF($A182="","",ROUND(VLOOKUP($A182,'Presupuesto Consolidado'!#REF!,6,FALSE),2)),"")</f>
        <v/>
      </c>
      <c r="AB182" s="142" t="str">
        <f t="shared" ref="AB182" si="2331">IF($A182="","",IF(AA182="","",IF($K$4="Media aritmética",(AA182&lt;=$B182)*($G$5/$B$5)+(AA182&gt;$B182)*0,IF(ROUND(AVERAGE($C182,$E182,$G182,$I182,$K182,$M182,$O182,$Q182,$S182,$U182,$W182,$Y182,$AA182,$AC182,$AE182),2)-$B182/2&lt;=AA182,IF(ROUND(AVERAGE($C182,$E182,$G182,$I182,$K182,$M182,$O182,$Q182,$S182,$U182,$W182,$Y182,$AA182,$AC182,$AE182),2)+$B182/2&gt;AA182,($G$5/$B$5),0),0))))</f>
        <v/>
      </c>
      <c r="AC182" s="141" t="str">
        <f>IF($AC$8="Habilitado",IF($A182="","",ROUND(VLOOKUP($A182,'Presupuesto Consolidado'!#REF!,6,FALSE),2)),"")</f>
        <v/>
      </c>
      <c r="AD182" s="142" t="str">
        <f t="shared" ref="AD182" si="2332">IF($A182="","",IF(AC182="","",IF($K$4="Media aritmética",(AC182&lt;=$B182)*($G$5/$B$5)+(AC182&gt;$B182)*0,IF(ROUND(AVERAGE($C182,$E182,$G182,$I182,$K182,$M182,$O182,$Q182,$S182,$U182,$W182,$Y182,$AA182,$AC182,$AE182),2)-$B182/2&lt;=AC182,IF(ROUND(AVERAGE($C182,$E182,$G182,$I182,$K182,$M182,$O182,$Q182,$S182,$U182,$W182,$Y182,$AA182,$AC182,$AE182),2)+$B182/2&gt;AC182,($G$5/$B$5),0),0))))</f>
        <v/>
      </c>
      <c r="AE182" s="141" t="str">
        <f>IF($AE$8="Habilitado",IF($A182="","",ROUND(VLOOKUP($A182,'Presupuesto Consolidado'!#REF!,6,FALSE),2)),"")</f>
        <v/>
      </c>
      <c r="AF182" s="142" t="str">
        <f t="shared" ref="AF182" si="2333">IF($A182="","",IF(AE182="","",IF($K$4="Media aritmética",(AE182&lt;=$B182)*($G$5/$B$5)+(AE182&gt;$B182)*0,IF(ROUND(AVERAGE($C182,$E182,$G182,$I182,$K182,$M182,$O182,$Q182,$S182,$U182,$W182,$Y182,$AA182,$AC182,$AE182),2)-$B182/2&lt;=AE182,IF(ROUND(AVERAGE($C182,$E182,$G182,$I182,$K182,$M182,$O182,$Q182,$S182,$U182,$W182,$Y182,$AA182,$AC182,$AE182),2)+$B182/2&gt;AE182,($G$5/$B$5),0),0))))</f>
        <v/>
      </c>
    </row>
    <row r="183" spans="1:32" s="135" customFormat="1" ht="21" customHeight="1">
      <c r="A183" s="132" t="str">
        <f>+'Presupuesto Consolidado'!A212</f>
        <v>13.1.3</v>
      </c>
      <c r="B183" s="140">
        <f t="shared" ref="B183" si="2334">IF(A183="","",IF($K$4="Media aritmética",ROUND(AVERAGE(C183,E183,G183,I183,K183,M183,O183,Q183,S183,U183,W183,Y183,AA183,AC183,AE183),2),ROUND(_xlfn.STDEV.P(C183,E183,G183,I183,K183,M183,O183,Q183,S183,U183,W183,Y183,AA183,AC183,AE183),2)))</f>
        <v>2835000</v>
      </c>
      <c r="C183" s="141">
        <f>IF($C$8="Habilitado",IF($A183="","",ROUND(VLOOKUP($A183,'Presupuesto Consolidado'!$A$9:$F$600,6,FALSE),2)),"")</f>
        <v>2835000</v>
      </c>
      <c r="D183" s="142">
        <f t="shared" ref="D183" si="2335">IF($A183="","",IF(C183="","",IF($K$4="Media aritmética",(C183&lt;=$B183)*($G$5/$B$5)+(C183&gt;$B183)*0,IF(ROUND(AVERAGE($C183,$E183,$G183,$I183,$K183,$M183,$O183,$Q183,$S183,$U183,$W183,$Y183,$AA183,$AC183,$AE183),2)-$B183/2&lt;=C183,IF(ROUND(AVERAGE($C183,$E183,$G183,$I183,$K183,$M183,$O183,$Q183,$S183,$U183,$W183,$Y183,$AA183,$AC183,$AE183),2)+$B183/2&gt;C183,($G$5/$B$5),0),0))))</f>
        <v>0.45714285714285713</v>
      </c>
      <c r="E183" s="141" t="str">
        <f>IF($E$8="Habilitado",IF($A183="","",ROUND(VLOOKUP($A183,'Presupuesto Consolidado'!$I$9:$N$600,6,FALSE),2)),"")</f>
        <v/>
      </c>
      <c r="F183" s="142" t="str">
        <f t="shared" ref="F183" si="2336">IF($A183="","",IF(E183="","",IF($K$4="Media aritmética",(E183&lt;=$B183)*($G$5/$B$5)+(E183&gt;$B183)*0,IF(ROUND(AVERAGE($C183,$E183,$G183,$I183,$K183,$M183,$O183,$Q183,$S183,$U183,$W183,$Y183,$AA183,$AC183,$AE183),2)-$B183/2&lt;=E183,IF(ROUND(AVERAGE($C183,$E183,$G183,$I183,$K183,$M183,$O183,$Q183,$S183,$U183,$W183,$Y183,$AA183,$AC183,$AE183),2)+$B183/2&gt;E183,($G$5/$B$5),0),0))))</f>
        <v/>
      </c>
      <c r="G183" s="141" t="str">
        <f>IF($G$8="Habilitado",IF($A183="","",ROUND(VLOOKUP($A183,'Presupuesto Consolidado'!$Q$9:$V$600,6,FALSE),2)),"")</f>
        <v/>
      </c>
      <c r="H183" s="142" t="str">
        <f t="shared" ref="H183" si="2337">IF($A183="","",IF(G183="","",IF($K$4="Media aritmética",(G183&lt;=$B183)*($G$5/$B$5)+(G183&gt;$B183)*0,IF(ROUND(AVERAGE($C183,$E183,$G183,$I183,$K183,$M183,$O183,$Q183,$S183,$U183,$W183,$Y183,$AA183,$AC183,$AE183),2)-$B183/2&lt;=G183,IF(ROUND(AVERAGE($C183,$E183,$G183,$I183,$K183,$M183,$O183,$Q183,$S183,$U183,$W183,$Y183,$AA183,$AC183,$AE183),2)+$B183/2&gt;G183,($G$5/$B$5),0),0))))</f>
        <v/>
      </c>
      <c r="I183" s="141" t="str">
        <f>IF($I$8="Habilitado",IF($A183="","",ROUND(VLOOKUP($A183,'Presupuesto Consolidado'!$Y$9:$AD$600,6,FALSE),2)),"")</f>
        <v/>
      </c>
      <c r="J183" s="142" t="str">
        <f t="shared" ref="J183" si="2338">IF($A183="","",IF(I183="","",IF($K$4="Media aritmética",(I183&lt;=$B183)*($G$5/$B$5)+(I183&gt;$B183)*0,IF(ROUND(AVERAGE($C183,$E183,$G183,$I183,$K183,$M183,$O183,$Q183,$S183,$U183,$W183,$Y183,$AA183,$AC183,$AE183),2)-$B183/2&lt;=I183,IF(ROUND(AVERAGE($C183,$E183,$G183,$I183,$K183,$M183,$O183,$Q183,$S183,$U183,$W183,$Y183,$AA183,$AC183,$AE183),2)+$B183/2&gt;I183,($G$5/$B$5),0),0))))</f>
        <v/>
      </c>
      <c r="K183" s="141" t="str">
        <f>IF($K$8="Habilitado",IF($A183="","",ROUND(VLOOKUP($A183,'Presupuesto Consolidado'!#REF!,6,FALSE),2)),"")</f>
        <v/>
      </c>
      <c r="L183" s="142" t="str">
        <f t="shared" ref="L183" si="2339">IF($A183="","",IF(K183="","",IF($K$4="Media aritmética",(K183&lt;=$B183)*($G$5/$B$5)+(K183&gt;$B183)*0,IF(ROUND(AVERAGE($C183,$E183,$G183,$I183,$K183,$M183,$O183,$Q183,$S183,$U183,$W183,$Y183,$AA183,$AC183,$AE183),2)-$B183/2&lt;=K183,IF(ROUND(AVERAGE($C183,$E183,$G183,$I183,$K183,$M183,$O183,$Q183,$S183,$U183,$W183,$Y183,$AA183,$AC183,$AE183),2)+$B183/2&gt;K183,($G$5/$B$5),0),0))))</f>
        <v/>
      </c>
      <c r="M183" s="141" t="str">
        <f>IF($M$8="Habilitado",IF($A183="","",ROUND(VLOOKUP($A183,'Presupuesto Consolidado'!#REF!,6,FALSE),2)),"")</f>
        <v/>
      </c>
      <c r="N183" s="142" t="str">
        <f t="shared" ref="N183" si="2340">IF($A183="","",IF(M183="","",IF($K$4="Media aritmética",(M183&lt;=$B183)*($G$5/$B$5)+(M183&gt;$B183)*0,IF(ROUND(AVERAGE($C183,$E183,$G183,$I183,$K183,$M183,$O183,$Q183,$S183,$U183,$W183,$Y183,$AA183,$AC183,$AE183),2)-$B183/2&lt;=M183,IF(ROUND(AVERAGE($C183,$E183,$G183,$I183,$K183,$M183,$O183,$Q183,$S183,$U183,$W183,$Y183,$AA183,$AC183,$AE183),2)+$B183/2&gt;M183,($G$5/$B$5),0),0))))</f>
        <v/>
      </c>
      <c r="O183" s="141" t="str">
        <f>IF($O$8="Habilitado",IF($A183="","",ROUND(VLOOKUP($A183,'Presupuesto Consolidado'!#REF!,6,FALSE),2)),"")</f>
        <v/>
      </c>
      <c r="P183" s="142" t="str">
        <f t="shared" ref="P183" si="2341">IF($A183="","",IF(O183="","",IF($K$4="Media aritmética",(O183&lt;=$B183)*($G$5/$B$5)+(O183&gt;$B183)*0,IF(ROUND(AVERAGE($C183,$E183,$G183,$I183,$K183,$M183,$O183,$Q183,$S183,$U183,$W183,$Y183,$AA183,$AC183,$AE183),2)-$B183/2&lt;=O183,IF(ROUND(AVERAGE($C183,$E183,$G183,$I183,$K183,$M183,$O183,$Q183,$S183,$U183,$W183,$Y183,$AA183,$AC183,$AE183),2)+$B183/2&gt;O183,($G$5/$B$5),0),0))))</f>
        <v/>
      </c>
      <c r="Q183" s="141" t="str">
        <f>IF($Q$8="Habilitado",IF($A183="","",ROUND(VLOOKUP($A183,'Presupuesto Consolidado'!#REF!,6,FALSE),2)),"")</f>
        <v/>
      </c>
      <c r="R183" s="142" t="str">
        <f t="shared" ref="R183" si="2342">IF($A183="","",IF(Q183="","",IF($K$4="Media aritmética",(Q183&lt;=$B183)*($G$5/$B$5)+(Q183&gt;$B183)*0,IF(ROUND(AVERAGE($C183,$E183,$G183,$I183,$K183,$M183,$O183,$Q183,$S183,$U183,$W183,$Y183,$AA183,$AC183,$AE183),2)-$B183/2&lt;=Q183,IF(ROUND(AVERAGE($C183,$E183,$G183,$I183,$K183,$M183,$O183,$Q183,$S183,$U183,$W183,$Y183,$AA183,$AC183,$AE183),2)+$B183/2&gt;Q183,($G$5/$B$5),0),0))))</f>
        <v/>
      </c>
      <c r="S183" s="141" t="str">
        <f>IF($S$8="Habilitado",IF($A183="","",ROUND(VLOOKUP($A183,'Presupuesto Consolidado'!#REF!,6,FALSE),2)),"")</f>
        <v/>
      </c>
      <c r="T183" s="142" t="str">
        <f t="shared" ref="T183" si="2343">IF($A183="","",IF(S183="","",IF($K$4="Media aritmética",(S183&lt;=$B183)*($G$5/$B$5)+(S183&gt;$B183)*0,IF(ROUND(AVERAGE($C183,$E183,$G183,$I183,$K183,$M183,$O183,$Q183,$S183,$U183,$W183,$Y183,$AA183,$AC183,$AE183),2)-$B183/2&lt;=S183,IF(ROUND(AVERAGE($C183,$E183,$G183,$I183,$K183,$M183,$O183,$Q183,$S183,$U183,$W183,$Y183,$AA183,$AC183,$AE183),2)+$B183/2&gt;S183,($G$5/$B$5),0),0))))</f>
        <v/>
      </c>
      <c r="U183" s="141" t="str">
        <f>IF($U$8="Habilitado",IF($A183="","",ROUND(VLOOKUP($A183,'Presupuesto Consolidado'!#REF!,6,FALSE),2)),"")</f>
        <v/>
      </c>
      <c r="V183" s="142" t="str">
        <f t="shared" ref="V183" si="2344">IF($A183="","",IF(U183="","",IF($K$4="Media aritmética",(U183&lt;=$B183)*($G$5/$B$5)+(U183&gt;$B183)*0,IF(ROUND(AVERAGE($C183,$E183,$G183,$I183,$K183,$M183,$O183,$Q183,$S183,$U183,$W183,$Y183,$AA183,$AC183,$AE183),2)-$B183/2&lt;=U183,IF(ROUND(AVERAGE($C183,$E183,$G183,$I183,$K183,$M183,$O183,$Q183,$S183,$U183,$W183,$Y183,$AA183,$AC183,$AE183),2)+$B183/2&gt;U183,($G$5/$B$5),0),0))))</f>
        <v/>
      </c>
      <c r="W183" s="141" t="str">
        <f>IF($W$8="Habilitado",IF($A183="","",ROUND(VLOOKUP($A183,'Presupuesto Consolidado'!#REF!,6,FALSE),2)),"")</f>
        <v/>
      </c>
      <c r="X183" s="142" t="str">
        <f t="shared" ref="X183" si="2345">IF($A183="","",IF(W183="","",IF($K$4="Media aritmética",(W183&lt;=$B183)*($G$5/$B$5)+(W183&gt;$B183)*0,IF(ROUND(AVERAGE($C183,$E183,$G183,$I183,$K183,$M183,$O183,$Q183,$S183,$U183,$W183,$Y183,$AA183,$AC183,$AE183),2)-$B183/2&lt;=W183,IF(ROUND(AVERAGE($C183,$E183,$G183,$I183,$K183,$M183,$O183,$Q183,$S183,$U183,$W183,$Y183,$AA183,$AC183,$AE183),2)+$B183/2&gt;W183,($G$5/$B$5),0),0))))</f>
        <v/>
      </c>
      <c r="Y183" s="141" t="str">
        <f>IF($Y$8="Habilitado",IF($A183="","",ROUND(VLOOKUP($A183,'Presupuesto Consolidado'!#REF!,6,FALSE),2)),"")</f>
        <v/>
      </c>
      <c r="Z183" s="142" t="str">
        <f t="shared" ref="Z183" si="2346">IF($A183="","",IF(Y183="","",IF($K$4="Media aritmética",(Y183&lt;=$B183)*($G$5/$B$5)+(Y183&gt;$B183)*0,IF(ROUND(AVERAGE($C183,$E183,$G183,$I183,$K183,$M183,$O183,$Q183,$S183,$U183,$W183,$Y183,$AA183,$AC183,$AE183),2)-$B183/2&lt;=Y183,IF(ROUND(AVERAGE($C183,$E183,$G183,$I183,$K183,$M183,$O183,$Q183,$S183,$U183,$W183,$Y183,$AA183,$AC183,$AE183),2)+$B183/2&gt;Y183,($G$5/$B$5),0),0))))</f>
        <v/>
      </c>
      <c r="AA183" s="141" t="str">
        <f>IF($AA$8="Habilitado",IF($A183="","",ROUND(VLOOKUP($A183,'Presupuesto Consolidado'!#REF!,6,FALSE),2)),"")</f>
        <v/>
      </c>
      <c r="AB183" s="142" t="str">
        <f t="shared" ref="AB183" si="2347">IF($A183="","",IF(AA183="","",IF($K$4="Media aritmética",(AA183&lt;=$B183)*($G$5/$B$5)+(AA183&gt;$B183)*0,IF(ROUND(AVERAGE($C183,$E183,$G183,$I183,$K183,$M183,$O183,$Q183,$S183,$U183,$W183,$Y183,$AA183,$AC183,$AE183),2)-$B183/2&lt;=AA183,IF(ROUND(AVERAGE($C183,$E183,$G183,$I183,$K183,$M183,$O183,$Q183,$S183,$U183,$W183,$Y183,$AA183,$AC183,$AE183),2)+$B183/2&gt;AA183,($G$5/$B$5),0),0))))</f>
        <v/>
      </c>
      <c r="AC183" s="141" t="str">
        <f>IF($AC$8="Habilitado",IF($A183="","",ROUND(VLOOKUP($A183,'Presupuesto Consolidado'!#REF!,6,FALSE),2)),"")</f>
        <v/>
      </c>
      <c r="AD183" s="142" t="str">
        <f t="shared" ref="AD183" si="2348">IF($A183="","",IF(AC183="","",IF($K$4="Media aritmética",(AC183&lt;=$B183)*($G$5/$B$5)+(AC183&gt;$B183)*0,IF(ROUND(AVERAGE($C183,$E183,$G183,$I183,$K183,$M183,$O183,$Q183,$S183,$U183,$W183,$Y183,$AA183,$AC183,$AE183),2)-$B183/2&lt;=AC183,IF(ROUND(AVERAGE($C183,$E183,$G183,$I183,$K183,$M183,$O183,$Q183,$S183,$U183,$W183,$Y183,$AA183,$AC183,$AE183),2)+$B183/2&gt;AC183,($G$5/$B$5),0),0))))</f>
        <v/>
      </c>
      <c r="AE183" s="141" t="str">
        <f>IF($AE$8="Habilitado",IF($A183="","",ROUND(VLOOKUP($A183,'Presupuesto Consolidado'!#REF!,6,FALSE),2)),"")</f>
        <v/>
      </c>
      <c r="AF183" s="142" t="str">
        <f t="shared" ref="AF183" si="2349">IF($A183="","",IF(AE183="","",IF($K$4="Media aritmética",(AE183&lt;=$B183)*($G$5/$B$5)+(AE183&gt;$B183)*0,IF(ROUND(AVERAGE($C183,$E183,$G183,$I183,$K183,$M183,$O183,$Q183,$S183,$U183,$W183,$Y183,$AA183,$AC183,$AE183),2)-$B183/2&lt;=AE183,IF(ROUND(AVERAGE($C183,$E183,$G183,$I183,$K183,$M183,$O183,$Q183,$S183,$U183,$W183,$Y183,$AA183,$AC183,$AE183),2)+$B183/2&gt;AE183,($G$5/$B$5),0),0))))</f>
        <v/>
      </c>
    </row>
    <row r="184" spans="1:32" s="135" customFormat="1" ht="21" customHeight="1">
      <c r="A184" s="132" t="str">
        <f>+'Presupuesto Consolidado'!A214</f>
        <v>13.2.1</v>
      </c>
      <c r="B184" s="140">
        <f t="shared" ref="B184" si="2350">IF(A184="","",IF($K$4="Media aritmética",ROUND(AVERAGE(C184,E184,G184,I184,K184,M184,O184,Q184,S184,U184,W184,Y184,AA184,AC184,AE184),2),ROUND(_xlfn.STDEV.P(C184,E184,G184,I184,K184,M184,O184,Q184,S184,U184,W184,Y184,AA184,AC184,AE184),2)))</f>
        <v>1750496</v>
      </c>
      <c r="C184" s="141">
        <f>IF($C$8="Habilitado",IF($A184="","",ROUND(VLOOKUP($A184,'Presupuesto Consolidado'!$A$9:$F$600,6,FALSE),2)),"")</f>
        <v>1750496</v>
      </c>
      <c r="D184" s="142">
        <f t="shared" ref="D184" si="2351">IF($A184="","",IF(C184="","",IF($K$4="Media aritmética",(C184&lt;=$B184)*($G$5/$B$5)+(C184&gt;$B184)*0,IF(ROUND(AVERAGE($C184,$E184,$G184,$I184,$K184,$M184,$O184,$Q184,$S184,$U184,$W184,$Y184,$AA184,$AC184,$AE184),2)-$B184/2&lt;=C184,IF(ROUND(AVERAGE($C184,$E184,$G184,$I184,$K184,$M184,$O184,$Q184,$S184,$U184,$W184,$Y184,$AA184,$AC184,$AE184),2)+$B184/2&gt;C184,($G$5/$B$5),0),0))))</f>
        <v>0.45714285714285713</v>
      </c>
      <c r="E184" s="141" t="str">
        <f>IF($E$8="Habilitado",IF($A184="","",ROUND(VLOOKUP($A184,'Presupuesto Consolidado'!$I$9:$N$600,6,FALSE),2)),"")</f>
        <v/>
      </c>
      <c r="F184" s="142" t="str">
        <f t="shared" ref="F184" si="2352">IF($A184="","",IF(E184="","",IF($K$4="Media aritmética",(E184&lt;=$B184)*($G$5/$B$5)+(E184&gt;$B184)*0,IF(ROUND(AVERAGE($C184,$E184,$G184,$I184,$K184,$M184,$O184,$Q184,$S184,$U184,$W184,$Y184,$AA184,$AC184,$AE184),2)-$B184/2&lt;=E184,IF(ROUND(AVERAGE($C184,$E184,$G184,$I184,$K184,$M184,$O184,$Q184,$S184,$U184,$W184,$Y184,$AA184,$AC184,$AE184),2)+$B184/2&gt;E184,($G$5/$B$5),0),0))))</f>
        <v/>
      </c>
      <c r="G184" s="141" t="str">
        <f>IF($G$8="Habilitado",IF($A184="","",ROUND(VLOOKUP($A184,'Presupuesto Consolidado'!$Q$9:$V$600,6,FALSE),2)),"")</f>
        <v/>
      </c>
      <c r="H184" s="142" t="str">
        <f t="shared" ref="H184" si="2353">IF($A184="","",IF(G184="","",IF($K$4="Media aritmética",(G184&lt;=$B184)*($G$5/$B$5)+(G184&gt;$B184)*0,IF(ROUND(AVERAGE($C184,$E184,$G184,$I184,$K184,$M184,$O184,$Q184,$S184,$U184,$W184,$Y184,$AA184,$AC184,$AE184),2)-$B184/2&lt;=G184,IF(ROUND(AVERAGE($C184,$E184,$G184,$I184,$K184,$M184,$O184,$Q184,$S184,$U184,$W184,$Y184,$AA184,$AC184,$AE184),2)+$B184/2&gt;G184,($G$5/$B$5),0),0))))</f>
        <v/>
      </c>
      <c r="I184" s="141" t="str">
        <f>IF($I$8="Habilitado",IF($A184="","",ROUND(VLOOKUP($A184,'Presupuesto Consolidado'!$Y$9:$AD$600,6,FALSE),2)),"")</f>
        <v/>
      </c>
      <c r="J184" s="142" t="str">
        <f t="shared" ref="J184" si="2354">IF($A184="","",IF(I184="","",IF($K$4="Media aritmética",(I184&lt;=$B184)*($G$5/$B$5)+(I184&gt;$B184)*0,IF(ROUND(AVERAGE($C184,$E184,$G184,$I184,$K184,$M184,$O184,$Q184,$S184,$U184,$W184,$Y184,$AA184,$AC184,$AE184),2)-$B184/2&lt;=I184,IF(ROUND(AVERAGE($C184,$E184,$G184,$I184,$K184,$M184,$O184,$Q184,$S184,$U184,$W184,$Y184,$AA184,$AC184,$AE184),2)+$B184/2&gt;I184,($G$5/$B$5),0),0))))</f>
        <v/>
      </c>
      <c r="K184" s="141" t="str">
        <f>IF($K$8="Habilitado",IF($A184="","",ROUND(VLOOKUP($A184,'Presupuesto Consolidado'!#REF!,6,FALSE),2)),"")</f>
        <v/>
      </c>
      <c r="L184" s="142" t="str">
        <f t="shared" ref="L184" si="2355">IF($A184="","",IF(K184="","",IF($K$4="Media aritmética",(K184&lt;=$B184)*($G$5/$B$5)+(K184&gt;$B184)*0,IF(ROUND(AVERAGE($C184,$E184,$G184,$I184,$K184,$M184,$O184,$Q184,$S184,$U184,$W184,$Y184,$AA184,$AC184,$AE184),2)-$B184/2&lt;=K184,IF(ROUND(AVERAGE($C184,$E184,$G184,$I184,$K184,$M184,$O184,$Q184,$S184,$U184,$W184,$Y184,$AA184,$AC184,$AE184),2)+$B184/2&gt;K184,($G$5/$B$5),0),0))))</f>
        <v/>
      </c>
      <c r="M184" s="141" t="str">
        <f>IF($M$8="Habilitado",IF($A184="","",ROUND(VLOOKUP($A184,'Presupuesto Consolidado'!#REF!,6,FALSE),2)),"")</f>
        <v/>
      </c>
      <c r="N184" s="142" t="str">
        <f t="shared" ref="N184" si="2356">IF($A184="","",IF(M184="","",IF($K$4="Media aritmética",(M184&lt;=$B184)*($G$5/$B$5)+(M184&gt;$B184)*0,IF(ROUND(AVERAGE($C184,$E184,$G184,$I184,$K184,$M184,$O184,$Q184,$S184,$U184,$W184,$Y184,$AA184,$AC184,$AE184),2)-$B184/2&lt;=M184,IF(ROUND(AVERAGE($C184,$E184,$G184,$I184,$K184,$M184,$O184,$Q184,$S184,$U184,$W184,$Y184,$AA184,$AC184,$AE184),2)+$B184/2&gt;M184,($G$5/$B$5),0),0))))</f>
        <v/>
      </c>
      <c r="O184" s="141" t="str">
        <f>IF($O$8="Habilitado",IF($A184="","",ROUND(VLOOKUP($A184,'Presupuesto Consolidado'!#REF!,6,FALSE),2)),"")</f>
        <v/>
      </c>
      <c r="P184" s="142" t="str">
        <f t="shared" ref="P184" si="2357">IF($A184="","",IF(O184="","",IF($K$4="Media aritmética",(O184&lt;=$B184)*($G$5/$B$5)+(O184&gt;$B184)*0,IF(ROUND(AVERAGE($C184,$E184,$G184,$I184,$K184,$M184,$O184,$Q184,$S184,$U184,$W184,$Y184,$AA184,$AC184,$AE184),2)-$B184/2&lt;=O184,IF(ROUND(AVERAGE($C184,$E184,$G184,$I184,$K184,$M184,$O184,$Q184,$S184,$U184,$W184,$Y184,$AA184,$AC184,$AE184),2)+$B184/2&gt;O184,($G$5/$B$5),0),0))))</f>
        <v/>
      </c>
      <c r="Q184" s="141" t="str">
        <f>IF($Q$8="Habilitado",IF($A184="","",ROUND(VLOOKUP($A184,'Presupuesto Consolidado'!#REF!,6,FALSE),2)),"")</f>
        <v/>
      </c>
      <c r="R184" s="142" t="str">
        <f t="shared" ref="R184" si="2358">IF($A184="","",IF(Q184="","",IF($K$4="Media aritmética",(Q184&lt;=$B184)*($G$5/$B$5)+(Q184&gt;$B184)*0,IF(ROUND(AVERAGE($C184,$E184,$G184,$I184,$K184,$M184,$O184,$Q184,$S184,$U184,$W184,$Y184,$AA184,$AC184,$AE184),2)-$B184/2&lt;=Q184,IF(ROUND(AVERAGE($C184,$E184,$G184,$I184,$K184,$M184,$O184,$Q184,$S184,$U184,$W184,$Y184,$AA184,$AC184,$AE184),2)+$B184/2&gt;Q184,($G$5/$B$5),0),0))))</f>
        <v/>
      </c>
      <c r="S184" s="141" t="str">
        <f>IF($S$8="Habilitado",IF($A184="","",ROUND(VLOOKUP($A184,'Presupuesto Consolidado'!#REF!,6,FALSE),2)),"")</f>
        <v/>
      </c>
      <c r="T184" s="142" t="str">
        <f t="shared" ref="T184" si="2359">IF($A184="","",IF(S184="","",IF($K$4="Media aritmética",(S184&lt;=$B184)*($G$5/$B$5)+(S184&gt;$B184)*0,IF(ROUND(AVERAGE($C184,$E184,$G184,$I184,$K184,$M184,$O184,$Q184,$S184,$U184,$W184,$Y184,$AA184,$AC184,$AE184),2)-$B184/2&lt;=S184,IF(ROUND(AVERAGE($C184,$E184,$G184,$I184,$K184,$M184,$O184,$Q184,$S184,$U184,$W184,$Y184,$AA184,$AC184,$AE184),2)+$B184/2&gt;S184,($G$5/$B$5),0),0))))</f>
        <v/>
      </c>
      <c r="U184" s="141" t="str">
        <f>IF($U$8="Habilitado",IF($A184="","",ROUND(VLOOKUP($A184,'Presupuesto Consolidado'!#REF!,6,FALSE),2)),"")</f>
        <v/>
      </c>
      <c r="V184" s="142" t="str">
        <f t="shared" ref="V184" si="2360">IF($A184="","",IF(U184="","",IF($K$4="Media aritmética",(U184&lt;=$B184)*($G$5/$B$5)+(U184&gt;$B184)*0,IF(ROUND(AVERAGE($C184,$E184,$G184,$I184,$K184,$M184,$O184,$Q184,$S184,$U184,$W184,$Y184,$AA184,$AC184,$AE184),2)-$B184/2&lt;=U184,IF(ROUND(AVERAGE($C184,$E184,$G184,$I184,$K184,$M184,$O184,$Q184,$S184,$U184,$W184,$Y184,$AA184,$AC184,$AE184),2)+$B184/2&gt;U184,($G$5/$B$5),0),0))))</f>
        <v/>
      </c>
      <c r="W184" s="141" t="str">
        <f>IF($W$8="Habilitado",IF($A184="","",ROUND(VLOOKUP($A184,'Presupuesto Consolidado'!#REF!,6,FALSE),2)),"")</f>
        <v/>
      </c>
      <c r="X184" s="142" t="str">
        <f t="shared" ref="X184" si="2361">IF($A184="","",IF(W184="","",IF($K$4="Media aritmética",(W184&lt;=$B184)*($G$5/$B$5)+(W184&gt;$B184)*0,IF(ROUND(AVERAGE($C184,$E184,$G184,$I184,$K184,$M184,$O184,$Q184,$S184,$U184,$W184,$Y184,$AA184,$AC184,$AE184),2)-$B184/2&lt;=W184,IF(ROUND(AVERAGE($C184,$E184,$G184,$I184,$K184,$M184,$O184,$Q184,$S184,$U184,$W184,$Y184,$AA184,$AC184,$AE184),2)+$B184/2&gt;W184,($G$5/$B$5),0),0))))</f>
        <v/>
      </c>
      <c r="Y184" s="141" t="str">
        <f>IF($Y$8="Habilitado",IF($A184="","",ROUND(VLOOKUP($A184,'Presupuesto Consolidado'!#REF!,6,FALSE),2)),"")</f>
        <v/>
      </c>
      <c r="Z184" s="142" t="str">
        <f t="shared" ref="Z184" si="2362">IF($A184="","",IF(Y184="","",IF($K$4="Media aritmética",(Y184&lt;=$B184)*($G$5/$B$5)+(Y184&gt;$B184)*0,IF(ROUND(AVERAGE($C184,$E184,$G184,$I184,$K184,$M184,$O184,$Q184,$S184,$U184,$W184,$Y184,$AA184,$AC184,$AE184),2)-$B184/2&lt;=Y184,IF(ROUND(AVERAGE($C184,$E184,$G184,$I184,$K184,$M184,$O184,$Q184,$S184,$U184,$W184,$Y184,$AA184,$AC184,$AE184),2)+$B184/2&gt;Y184,($G$5/$B$5),0),0))))</f>
        <v/>
      </c>
      <c r="AA184" s="141" t="str">
        <f>IF($AA$8="Habilitado",IF($A184="","",ROUND(VLOOKUP($A184,'Presupuesto Consolidado'!#REF!,6,FALSE),2)),"")</f>
        <v/>
      </c>
      <c r="AB184" s="142" t="str">
        <f t="shared" ref="AB184" si="2363">IF($A184="","",IF(AA184="","",IF($K$4="Media aritmética",(AA184&lt;=$B184)*($G$5/$B$5)+(AA184&gt;$B184)*0,IF(ROUND(AVERAGE($C184,$E184,$G184,$I184,$K184,$M184,$O184,$Q184,$S184,$U184,$W184,$Y184,$AA184,$AC184,$AE184),2)-$B184/2&lt;=AA184,IF(ROUND(AVERAGE($C184,$E184,$G184,$I184,$K184,$M184,$O184,$Q184,$S184,$U184,$W184,$Y184,$AA184,$AC184,$AE184),2)+$B184/2&gt;AA184,($G$5/$B$5),0),0))))</f>
        <v/>
      </c>
      <c r="AC184" s="141" t="str">
        <f>IF($AC$8="Habilitado",IF($A184="","",ROUND(VLOOKUP($A184,'Presupuesto Consolidado'!#REF!,6,FALSE),2)),"")</f>
        <v/>
      </c>
      <c r="AD184" s="142" t="str">
        <f t="shared" ref="AD184" si="2364">IF($A184="","",IF(AC184="","",IF($K$4="Media aritmética",(AC184&lt;=$B184)*($G$5/$B$5)+(AC184&gt;$B184)*0,IF(ROUND(AVERAGE($C184,$E184,$G184,$I184,$K184,$M184,$O184,$Q184,$S184,$U184,$W184,$Y184,$AA184,$AC184,$AE184),2)-$B184/2&lt;=AC184,IF(ROUND(AVERAGE($C184,$E184,$G184,$I184,$K184,$M184,$O184,$Q184,$S184,$U184,$W184,$Y184,$AA184,$AC184,$AE184),2)+$B184/2&gt;AC184,($G$5/$B$5),0),0))))</f>
        <v/>
      </c>
      <c r="AE184" s="141" t="str">
        <f>IF($AE$8="Habilitado",IF($A184="","",ROUND(VLOOKUP($A184,'Presupuesto Consolidado'!#REF!,6,FALSE),2)),"")</f>
        <v/>
      </c>
      <c r="AF184" s="142" t="str">
        <f t="shared" ref="AF184" si="2365">IF($A184="","",IF(AE184="","",IF($K$4="Media aritmética",(AE184&lt;=$B184)*($G$5/$B$5)+(AE184&gt;$B184)*0,IF(ROUND(AVERAGE($C184,$E184,$G184,$I184,$K184,$M184,$O184,$Q184,$S184,$U184,$W184,$Y184,$AA184,$AC184,$AE184),2)-$B184/2&lt;=AE184,IF(ROUND(AVERAGE($C184,$E184,$G184,$I184,$K184,$M184,$O184,$Q184,$S184,$U184,$W184,$Y184,$AA184,$AC184,$AE184),2)+$B184/2&gt;AE184,($G$5/$B$5),0),0))))</f>
        <v/>
      </c>
    </row>
    <row r="185" spans="1:32" s="135" customFormat="1" ht="21" customHeight="1">
      <c r="A185" s="132" t="str">
        <f>+'Presupuesto Consolidado'!A215</f>
        <v>13.2.2</v>
      </c>
      <c r="B185" s="140">
        <f t="shared" ref="B185" si="2366">IF(A185="","",IF($K$4="Media aritmética",ROUND(AVERAGE(C185,E185,G185,I185,K185,M185,O185,Q185,S185,U185,W185,Y185,AA185,AC185,AE185),2),ROUND(_xlfn.STDEV.P(C185,E185,G185,I185,K185,M185,O185,Q185,S185,U185,W185,Y185,AA185,AC185,AE185),2)))</f>
        <v>2295000</v>
      </c>
      <c r="C185" s="141">
        <f>IF($C$8="Habilitado",IF($A185="","",ROUND(VLOOKUP($A185,'Presupuesto Consolidado'!$A$9:$F$600,6,FALSE),2)),"")</f>
        <v>2295000</v>
      </c>
      <c r="D185" s="142">
        <f t="shared" ref="D185" si="2367">IF($A185="","",IF(C185="","",IF($K$4="Media aritmética",(C185&lt;=$B185)*($G$5/$B$5)+(C185&gt;$B185)*0,IF(ROUND(AVERAGE($C185,$E185,$G185,$I185,$K185,$M185,$O185,$Q185,$S185,$U185,$W185,$Y185,$AA185,$AC185,$AE185),2)-$B185/2&lt;=C185,IF(ROUND(AVERAGE($C185,$E185,$G185,$I185,$K185,$M185,$O185,$Q185,$S185,$U185,$W185,$Y185,$AA185,$AC185,$AE185),2)+$B185/2&gt;C185,($G$5/$B$5),0),0))))</f>
        <v>0.45714285714285713</v>
      </c>
      <c r="E185" s="141" t="str">
        <f>IF($E$8="Habilitado",IF($A185="","",ROUND(VLOOKUP($A185,'Presupuesto Consolidado'!$I$9:$N$600,6,FALSE),2)),"")</f>
        <v/>
      </c>
      <c r="F185" s="142" t="str">
        <f t="shared" ref="F185" si="2368">IF($A185="","",IF(E185="","",IF($K$4="Media aritmética",(E185&lt;=$B185)*($G$5/$B$5)+(E185&gt;$B185)*0,IF(ROUND(AVERAGE($C185,$E185,$G185,$I185,$K185,$M185,$O185,$Q185,$S185,$U185,$W185,$Y185,$AA185,$AC185,$AE185),2)-$B185/2&lt;=E185,IF(ROUND(AVERAGE($C185,$E185,$G185,$I185,$K185,$M185,$O185,$Q185,$S185,$U185,$W185,$Y185,$AA185,$AC185,$AE185),2)+$B185/2&gt;E185,($G$5/$B$5),0),0))))</f>
        <v/>
      </c>
      <c r="G185" s="141" t="str">
        <f>IF($G$8="Habilitado",IF($A185="","",ROUND(VLOOKUP($A185,'Presupuesto Consolidado'!$Q$9:$V$600,6,FALSE),2)),"")</f>
        <v/>
      </c>
      <c r="H185" s="142" t="str">
        <f t="shared" ref="H185" si="2369">IF($A185="","",IF(G185="","",IF($K$4="Media aritmética",(G185&lt;=$B185)*($G$5/$B$5)+(G185&gt;$B185)*0,IF(ROUND(AVERAGE($C185,$E185,$G185,$I185,$K185,$M185,$O185,$Q185,$S185,$U185,$W185,$Y185,$AA185,$AC185,$AE185),2)-$B185/2&lt;=G185,IF(ROUND(AVERAGE($C185,$E185,$G185,$I185,$K185,$M185,$O185,$Q185,$S185,$U185,$W185,$Y185,$AA185,$AC185,$AE185),2)+$B185/2&gt;G185,($G$5/$B$5),0),0))))</f>
        <v/>
      </c>
      <c r="I185" s="141" t="str">
        <f>IF($I$8="Habilitado",IF($A185="","",ROUND(VLOOKUP($A185,'Presupuesto Consolidado'!$Y$9:$AD$600,6,FALSE),2)),"")</f>
        <v/>
      </c>
      <c r="J185" s="142" t="str">
        <f t="shared" ref="J185" si="2370">IF($A185="","",IF(I185="","",IF($K$4="Media aritmética",(I185&lt;=$B185)*($G$5/$B$5)+(I185&gt;$B185)*0,IF(ROUND(AVERAGE($C185,$E185,$G185,$I185,$K185,$M185,$O185,$Q185,$S185,$U185,$W185,$Y185,$AA185,$AC185,$AE185),2)-$B185/2&lt;=I185,IF(ROUND(AVERAGE($C185,$E185,$G185,$I185,$K185,$M185,$O185,$Q185,$S185,$U185,$W185,$Y185,$AA185,$AC185,$AE185),2)+$B185/2&gt;I185,($G$5/$B$5),0),0))))</f>
        <v/>
      </c>
      <c r="K185" s="141" t="str">
        <f>IF($K$8="Habilitado",IF($A185="","",ROUND(VLOOKUP($A185,'Presupuesto Consolidado'!#REF!,6,FALSE),2)),"")</f>
        <v/>
      </c>
      <c r="L185" s="142" t="str">
        <f t="shared" ref="L185" si="2371">IF($A185="","",IF(K185="","",IF($K$4="Media aritmética",(K185&lt;=$B185)*($G$5/$B$5)+(K185&gt;$B185)*0,IF(ROUND(AVERAGE($C185,$E185,$G185,$I185,$K185,$M185,$O185,$Q185,$S185,$U185,$W185,$Y185,$AA185,$AC185,$AE185),2)-$B185/2&lt;=K185,IF(ROUND(AVERAGE($C185,$E185,$G185,$I185,$K185,$M185,$O185,$Q185,$S185,$U185,$W185,$Y185,$AA185,$AC185,$AE185),2)+$B185/2&gt;K185,($G$5/$B$5),0),0))))</f>
        <v/>
      </c>
      <c r="M185" s="141" t="str">
        <f>IF($M$8="Habilitado",IF($A185="","",ROUND(VLOOKUP($A185,'Presupuesto Consolidado'!#REF!,6,FALSE),2)),"")</f>
        <v/>
      </c>
      <c r="N185" s="142" t="str">
        <f t="shared" ref="N185" si="2372">IF($A185="","",IF(M185="","",IF($K$4="Media aritmética",(M185&lt;=$B185)*($G$5/$B$5)+(M185&gt;$B185)*0,IF(ROUND(AVERAGE($C185,$E185,$G185,$I185,$K185,$M185,$O185,$Q185,$S185,$U185,$W185,$Y185,$AA185,$AC185,$AE185),2)-$B185/2&lt;=M185,IF(ROUND(AVERAGE($C185,$E185,$G185,$I185,$K185,$M185,$O185,$Q185,$S185,$U185,$W185,$Y185,$AA185,$AC185,$AE185),2)+$B185/2&gt;M185,($G$5/$B$5),0),0))))</f>
        <v/>
      </c>
      <c r="O185" s="141" t="str">
        <f>IF($O$8="Habilitado",IF($A185="","",ROUND(VLOOKUP($A185,'Presupuesto Consolidado'!#REF!,6,FALSE),2)),"")</f>
        <v/>
      </c>
      <c r="P185" s="142" t="str">
        <f t="shared" ref="P185" si="2373">IF($A185="","",IF(O185="","",IF($K$4="Media aritmética",(O185&lt;=$B185)*($G$5/$B$5)+(O185&gt;$B185)*0,IF(ROUND(AVERAGE($C185,$E185,$G185,$I185,$K185,$M185,$O185,$Q185,$S185,$U185,$W185,$Y185,$AA185,$AC185,$AE185),2)-$B185/2&lt;=O185,IF(ROUND(AVERAGE($C185,$E185,$G185,$I185,$K185,$M185,$O185,$Q185,$S185,$U185,$W185,$Y185,$AA185,$AC185,$AE185),2)+$B185/2&gt;O185,($G$5/$B$5),0),0))))</f>
        <v/>
      </c>
      <c r="Q185" s="141" t="str">
        <f>IF($Q$8="Habilitado",IF($A185="","",ROUND(VLOOKUP($A185,'Presupuesto Consolidado'!#REF!,6,FALSE),2)),"")</f>
        <v/>
      </c>
      <c r="R185" s="142" t="str">
        <f t="shared" ref="R185" si="2374">IF($A185="","",IF(Q185="","",IF($K$4="Media aritmética",(Q185&lt;=$B185)*($G$5/$B$5)+(Q185&gt;$B185)*0,IF(ROUND(AVERAGE($C185,$E185,$G185,$I185,$K185,$M185,$O185,$Q185,$S185,$U185,$W185,$Y185,$AA185,$AC185,$AE185),2)-$B185/2&lt;=Q185,IF(ROUND(AVERAGE($C185,$E185,$G185,$I185,$K185,$M185,$O185,$Q185,$S185,$U185,$W185,$Y185,$AA185,$AC185,$AE185),2)+$B185/2&gt;Q185,($G$5/$B$5),0),0))))</f>
        <v/>
      </c>
      <c r="S185" s="141" t="str">
        <f>IF($S$8="Habilitado",IF($A185="","",ROUND(VLOOKUP($A185,'Presupuesto Consolidado'!#REF!,6,FALSE),2)),"")</f>
        <v/>
      </c>
      <c r="T185" s="142" t="str">
        <f t="shared" ref="T185" si="2375">IF($A185="","",IF(S185="","",IF($K$4="Media aritmética",(S185&lt;=$B185)*($G$5/$B$5)+(S185&gt;$B185)*0,IF(ROUND(AVERAGE($C185,$E185,$G185,$I185,$K185,$M185,$O185,$Q185,$S185,$U185,$W185,$Y185,$AA185,$AC185,$AE185),2)-$B185/2&lt;=S185,IF(ROUND(AVERAGE($C185,$E185,$G185,$I185,$K185,$M185,$O185,$Q185,$S185,$U185,$W185,$Y185,$AA185,$AC185,$AE185),2)+$B185/2&gt;S185,($G$5/$B$5),0),0))))</f>
        <v/>
      </c>
      <c r="U185" s="141" t="str">
        <f>IF($U$8="Habilitado",IF($A185="","",ROUND(VLOOKUP($A185,'Presupuesto Consolidado'!#REF!,6,FALSE),2)),"")</f>
        <v/>
      </c>
      <c r="V185" s="142" t="str">
        <f t="shared" ref="V185" si="2376">IF($A185="","",IF(U185="","",IF($K$4="Media aritmética",(U185&lt;=$B185)*($G$5/$B$5)+(U185&gt;$B185)*0,IF(ROUND(AVERAGE($C185,$E185,$G185,$I185,$K185,$M185,$O185,$Q185,$S185,$U185,$W185,$Y185,$AA185,$AC185,$AE185),2)-$B185/2&lt;=U185,IF(ROUND(AVERAGE($C185,$E185,$G185,$I185,$K185,$M185,$O185,$Q185,$S185,$U185,$W185,$Y185,$AA185,$AC185,$AE185),2)+$B185/2&gt;U185,($G$5/$B$5),0),0))))</f>
        <v/>
      </c>
      <c r="W185" s="141" t="str">
        <f>IF($W$8="Habilitado",IF($A185="","",ROUND(VLOOKUP($A185,'Presupuesto Consolidado'!#REF!,6,FALSE),2)),"")</f>
        <v/>
      </c>
      <c r="X185" s="142" t="str">
        <f t="shared" ref="X185" si="2377">IF($A185="","",IF(W185="","",IF($K$4="Media aritmética",(W185&lt;=$B185)*($G$5/$B$5)+(W185&gt;$B185)*0,IF(ROUND(AVERAGE($C185,$E185,$G185,$I185,$K185,$M185,$O185,$Q185,$S185,$U185,$W185,$Y185,$AA185,$AC185,$AE185),2)-$B185/2&lt;=W185,IF(ROUND(AVERAGE($C185,$E185,$G185,$I185,$K185,$M185,$O185,$Q185,$S185,$U185,$W185,$Y185,$AA185,$AC185,$AE185),2)+$B185/2&gt;W185,($G$5/$B$5),0),0))))</f>
        <v/>
      </c>
      <c r="Y185" s="141" t="str">
        <f>IF($Y$8="Habilitado",IF($A185="","",ROUND(VLOOKUP($A185,'Presupuesto Consolidado'!#REF!,6,FALSE),2)),"")</f>
        <v/>
      </c>
      <c r="Z185" s="142" t="str">
        <f t="shared" ref="Z185" si="2378">IF($A185="","",IF(Y185="","",IF($K$4="Media aritmética",(Y185&lt;=$B185)*($G$5/$B$5)+(Y185&gt;$B185)*0,IF(ROUND(AVERAGE($C185,$E185,$G185,$I185,$K185,$M185,$O185,$Q185,$S185,$U185,$W185,$Y185,$AA185,$AC185,$AE185),2)-$B185/2&lt;=Y185,IF(ROUND(AVERAGE($C185,$E185,$G185,$I185,$K185,$M185,$O185,$Q185,$S185,$U185,$W185,$Y185,$AA185,$AC185,$AE185),2)+$B185/2&gt;Y185,($G$5/$B$5),0),0))))</f>
        <v/>
      </c>
      <c r="AA185" s="141" t="str">
        <f>IF($AA$8="Habilitado",IF($A185="","",ROUND(VLOOKUP($A185,'Presupuesto Consolidado'!#REF!,6,FALSE),2)),"")</f>
        <v/>
      </c>
      <c r="AB185" s="142" t="str">
        <f t="shared" ref="AB185" si="2379">IF($A185="","",IF(AA185="","",IF($K$4="Media aritmética",(AA185&lt;=$B185)*($G$5/$B$5)+(AA185&gt;$B185)*0,IF(ROUND(AVERAGE($C185,$E185,$G185,$I185,$K185,$M185,$O185,$Q185,$S185,$U185,$W185,$Y185,$AA185,$AC185,$AE185),2)-$B185/2&lt;=AA185,IF(ROUND(AVERAGE($C185,$E185,$G185,$I185,$K185,$M185,$O185,$Q185,$S185,$U185,$W185,$Y185,$AA185,$AC185,$AE185),2)+$B185/2&gt;AA185,($G$5/$B$5),0),0))))</f>
        <v/>
      </c>
      <c r="AC185" s="141" t="str">
        <f>IF($AC$8="Habilitado",IF($A185="","",ROUND(VLOOKUP($A185,'Presupuesto Consolidado'!#REF!,6,FALSE),2)),"")</f>
        <v/>
      </c>
      <c r="AD185" s="142" t="str">
        <f t="shared" ref="AD185" si="2380">IF($A185="","",IF(AC185="","",IF($K$4="Media aritmética",(AC185&lt;=$B185)*($G$5/$B$5)+(AC185&gt;$B185)*0,IF(ROUND(AVERAGE($C185,$E185,$G185,$I185,$K185,$M185,$O185,$Q185,$S185,$U185,$W185,$Y185,$AA185,$AC185,$AE185),2)-$B185/2&lt;=AC185,IF(ROUND(AVERAGE($C185,$E185,$G185,$I185,$K185,$M185,$O185,$Q185,$S185,$U185,$W185,$Y185,$AA185,$AC185,$AE185),2)+$B185/2&gt;AC185,($G$5/$B$5),0),0))))</f>
        <v/>
      </c>
      <c r="AE185" s="141" t="str">
        <f>IF($AE$8="Habilitado",IF($A185="","",ROUND(VLOOKUP($A185,'Presupuesto Consolidado'!#REF!,6,FALSE),2)),"")</f>
        <v/>
      </c>
      <c r="AF185" s="142" t="str">
        <f t="shared" ref="AF185" si="2381">IF($A185="","",IF(AE185="","",IF($K$4="Media aritmética",(AE185&lt;=$B185)*($G$5/$B$5)+(AE185&gt;$B185)*0,IF(ROUND(AVERAGE($C185,$E185,$G185,$I185,$K185,$M185,$O185,$Q185,$S185,$U185,$W185,$Y185,$AA185,$AC185,$AE185),2)-$B185/2&lt;=AE185,IF(ROUND(AVERAGE($C185,$E185,$G185,$I185,$K185,$M185,$O185,$Q185,$S185,$U185,$W185,$Y185,$AA185,$AC185,$AE185),2)+$B185/2&gt;AE185,($G$5/$B$5),0),0))))</f>
        <v/>
      </c>
    </row>
    <row r="186" spans="1:32" s="135" customFormat="1" ht="21" customHeight="1">
      <c r="A186" s="132" t="str">
        <f>+'Presupuesto Consolidado'!A216</f>
        <v>13.2.3</v>
      </c>
      <c r="B186" s="140">
        <f t="shared" ref="B186" si="2382">IF(A186="","",IF($K$4="Media aritmética",ROUND(AVERAGE(C186,E186,G186,I186,K186,M186,O186,Q186,S186,U186,W186,Y186,AA186,AC186,AE186),2),ROUND(_xlfn.STDEV.P(C186,E186,G186,I186,K186,M186,O186,Q186,S186,U186,W186,Y186,AA186,AC186,AE186),2)))</f>
        <v>3073512</v>
      </c>
      <c r="C186" s="141">
        <f>IF($C$8="Habilitado",IF($A186="","",ROUND(VLOOKUP($A186,'Presupuesto Consolidado'!$A$9:$F$600,6,FALSE),2)),"")</f>
        <v>3073512</v>
      </c>
      <c r="D186" s="142">
        <f t="shared" ref="D186" si="2383">IF($A186="","",IF(C186="","",IF($K$4="Media aritmética",(C186&lt;=$B186)*($G$5/$B$5)+(C186&gt;$B186)*0,IF(ROUND(AVERAGE($C186,$E186,$G186,$I186,$K186,$M186,$O186,$Q186,$S186,$U186,$W186,$Y186,$AA186,$AC186,$AE186),2)-$B186/2&lt;=C186,IF(ROUND(AVERAGE($C186,$E186,$G186,$I186,$K186,$M186,$O186,$Q186,$S186,$U186,$W186,$Y186,$AA186,$AC186,$AE186),2)+$B186/2&gt;C186,($G$5/$B$5),0),0))))</f>
        <v>0.45714285714285713</v>
      </c>
      <c r="E186" s="141" t="str">
        <f>IF($E$8="Habilitado",IF($A186="","",ROUND(VLOOKUP($A186,'Presupuesto Consolidado'!$I$9:$N$600,6,FALSE),2)),"")</f>
        <v/>
      </c>
      <c r="F186" s="142" t="str">
        <f t="shared" ref="F186" si="2384">IF($A186="","",IF(E186="","",IF($K$4="Media aritmética",(E186&lt;=$B186)*($G$5/$B$5)+(E186&gt;$B186)*0,IF(ROUND(AVERAGE($C186,$E186,$G186,$I186,$K186,$M186,$O186,$Q186,$S186,$U186,$W186,$Y186,$AA186,$AC186,$AE186),2)-$B186/2&lt;=E186,IF(ROUND(AVERAGE($C186,$E186,$G186,$I186,$K186,$M186,$O186,$Q186,$S186,$U186,$W186,$Y186,$AA186,$AC186,$AE186),2)+$B186/2&gt;E186,($G$5/$B$5),0),0))))</f>
        <v/>
      </c>
      <c r="G186" s="141" t="str">
        <f>IF($G$8="Habilitado",IF($A186="","",ROUND(VLOOKUP($A186,'Presupuesto Consolidado'!$Q$9:$V$600,6,FALSE),2)),"")</f>
        <v/>
      </c>
      <c r="H186" s="142" t="str">
        <f t="shared" ref="H186" si="2385">IF($A186="","",IF(G186="","",IF($K$4="Media aritmética",(G186&lt;=$B186)*($G$5/$B$5)+(G186&gt;$B186)*0,IF(ROUND(AVERAGE($C186,$E186,$G186,$I186,$K186,$M186,$O186,$Q186,$S186,$U186,$W186,$Y186,$AA186,$AC186,$AE186),2)-$B186/2&lt;=G186,IF(ROUND(AVERAGE($C186,$E186,$G186,$I186,$K186,$M186,$O186,$Q186,$S186,$U186,$W186,$Y186,$AA186,$AC186,$AE186),2)+$B186/2&gt;G186,($G$5/$B$5),0),0))))</f>
        <v/>
      </c>
      <c r="I186" s="141" t="str">
        <f>IF($I$8="Habilitado",IF($A186="","",ROUND(VLOOKUP($A186,'Presupuesto Consolidado'!$Y$9:$AD$600,6,FALSE),2)),"")</f>
        <v/>
      </c>
      <c r="J186" s="142" t="str">
        <f t="shared" ref="J186" si="2386">IF($A186="","",IF(I186="","",IF($K$4="Media aritmética",(I186&lt;=$B186)*($G$5/$B$5)+(I186&gt;$B186)*0,IF(ROUND(AVERAGE($C186,$E186,$G186,$I186,$K186,$M186,$O186,$Q186,$S186,$U186,$W186,$Y186,$AA186,$AC186,$AE186),2)-$B186/2&lt;=I186,IF(ROUND(AVERAGE($C186,$E186,$G186,$I186,$K186,$M186,$O186,$Q186,$S186,$U186,$W186,$Y186,$AA186,$AC186,$AE186),2)+$B186/2&gt;I186,($G$5/$B$5),0),0))))</f>
        <v/>
      </c>
      <c r="K186" s="141" t="str">
        <f>IF($K$8="Habilitado",IF($A186="","",ROUND(VLOOKUP($A186,'Presupuesto Consolidado'!#REF!,6,FALSE),2)),"")</f>
        <v/>
      </c>
      <c r="L186" s="142" t="str">
        <f t="shared" ref="L186" si="2387">IF($A186="","",IF(K186="","",IF($K$4="Media aritmética",(K186&lt;=$B186)*($G$5/$B$5)+(K186&gt;$B186)*0,IF(ROUND(AVERAGE($C186,$E186,$G186,$I186,$K186,$M186,$O186,$Q186,$S186,$U186,$W186,$Y186,$AA186,$AC186,$AE186),2)-$B186/2&lt;=K186,IF(ROUND(AVERAGE($C186,$E186,$G186,$I186,$K186,$M186,$O186,$Q186,$S186,$U186,$W186,$Y186,$AA186,$AC186,$AE186),2)+$B186/2&gt;K186,($G$5/$B$5),0),0))))</f>
        <v/>
      </c>
      <c r="M186" s="141" t="str">
        <f>IF($M$8="Habilitado",IF($A186="","",ROUND(VLOOKUP($A186,'Presupuesto Consolidado'!#REF!,6,FALSE),2)),"")</f>
        <v/>
      </c>
      <c r="N186" s="142" t="str">
        <f t="shared" ref="N186" si="2388">IF($A186="","",IF(M186="","",IF($K$4="Media aritmética",(M186&lt;=$B186)*($G$5/$B$5)+(M186&gt;$B186)*0,IF(ROUND(AVERAGE($C186,$E186,$G186,$I186,$K186,$M186,$O186,$Q186,$S186,$U186,$W186,$Y186,$AA186,$AC186,$AE186),2)-$B186/2&lt;=M186,IF(ROUND(AVERAGE($C186,$E186,$G186,$I186,$K186,$M186,$O186,$Q186,$S186,$U186,$W186,$Y186,$AA186,$AC186,$AE186),2)+$B186/2&gt;M186,($G$5/$B$5),0),0))))</f>
        <v/>
      </c>
      <c r="O186" s="141" t="str">
        <f>IF($O$8="Habilitado",IF($A186="","",ROUND(VLOOKUP($A186,'Presupuesto Consolidado'!#REF!,6,FALSE),2)),"")</f>
        <v/>
      </c>
      <c r="P186" s="142" t="str">
        <f t="shared" ref="P186" si="2389">IF($A186="","",IF(O186="","",IF($K$4="Media aritmética",(O186&lt;=$B186)*($G$5/$B$5)+(O186&gt;$B186)*0,IF(ROUND(AVERAGE($C186,$E186,$G186,$I186,$K186,$M186,$O186,$Q186,$S186,$U186,$W186,$Y186,$AA186,$AC186,$AE186),2)-$B186/2&lt;=O186,IF(ROUND(AVERAGE($C186,$E186,$G186,$I186,$K186,$M186,$O186,$Q186,$S186,$U186,$W186,$Y186,$AA186,$AC186,$AE186),2)+$B186/2&gt;O186,($G$5/$B$5),0),0))))</f>
        <v/>
      </c>
      <c r="Q186" s="141" t="str">
        <f>IF($Q$8="Habilitado",IF($A186="","",ROUND(VLOOKUP($A186,'Presupuesto Consolidado'!#REF!,6,FALSE),2)),"")</f>
        <v/>
      </c>
      <c r="R186" s="142" t="str">
        <f t="shared" ref="R186" si="2390">IF($A186="","",IF(Q186="","",IF($K$4="Media aritmética",(Q186&lt;=$B186)*($G$5/$B$5)+(Q186&gt;$B186)*0,IF(ROUND(AVERAGE($C186,$E186,$G186,$I186,$K186,$M186,$O186,$Q186,$S186,$U186,$W186,$Y186,$AA186,$AC186,$AE186),2)-$B186/2&lt;=Q186,IF(ROUND(AVERAGE($C186,$E186,$G186,$I186,$K186,$M186,$O186,$Q186,$S186,$U186,$W186,$Y186,$AA186,$AC186,$AE186),2)+$B186/2&gt;Q186,($G$5/$B$5),0),0))))</f>
        <v/>
      </c>
      <c r="S186" s="141" t="str">
        <f>IF($S$8="Habilitado",IF($A186="","",ROUND(VLOOKUP($A186,'Presupuesto Consolidado'!#REF!,6,FALSE),2)),"")</f>
        <v/>
      </c>
      <c r="T186" s="142" t="str">
        <f t="shared" ref="T186" si="2391">IF($A186="","",IF(S186="","",IF($K$4="Media aritmética",(S186&lt;=$B186)*($G$5/$B$5)+(S186&gt;$B186)*0,IF(ROUND(AVERAGE($C186,$E186,$G186,$I186,$K186,$M186,$O186,$Q186,$S186,$U186,$W186,$Y186,$AA186,$AC186,$AE186),2)-$B186/2&lt;=S186,IF(ROUND(AVERAGE($C186,$E186,$G186,$I186,$K186,$M186,$O186,$Q186,$S186,$U186,$W186,$Y186,$AA186,$AC186,$AE186),2)+$B186/2&gt;S186,($G$5/$B$5),0),0))))</f>
        <v/>
      </c>
      <c r="U186" s="141" t="str">
        <f>IF($U$8="Habilitado",IF($A186="","",ROUND(VLOOKUP($A186,'Presupuesto Consolidado'!#REF!,6,FALSE),2)),"")</f>
        <v/>
      </c>
      <c r="V186" s="142" t="str">
        <f t="shared" ref="V186" si="2392">IF($A186="","",IF(U186="","",IF($K$4="Media aritmética",(U186&lt;=$B186)*($G$5/$B$5)+(U186&gt;$B186)*0,IF(ROUND(AVERAGE($C186,$E186,$G186,$I186,$K186,$M186,$O186,$Q186,$S186,$U186,$W186,$Y186,$AA186,$AC186,$AE186),2)-$B186/2&lt;=U186,IF(ROUND(AVERAGE($C186,$E186,$G186,$I186,$K186,$M186,$O186,$Q186,$S186,$U186,$W186,$Y186,$AA186,$AC186,$AE186),2)+$B186/2&gt;U186,($G$5/$B$5),0),0))))</f>
        <v/>
      </c>
      <c r="W186" s="141" t="str">
        <f>IF($W$8="Habilitado",IF($A186="","",ROUND(VLOOKUP($A186,'Presupuesto Consolidado'!#REF!,6,FALSE),2)),"")</f>
        <v/>
      </c>
      <c r="X186" s="142" t="str">
        <f t="shared" ref="X186" si="2393">IF($A186="","",IF(W186="","",IF($K$4="Media aritmética",(W186&lt;=$B186)*($G$5/$B$5)+(W186&gt;$B186)*0,IF(ROUND(AVERAGE($C186,$E186,$G186,$I186,$K186,$M186,$O186,$Q186,$S186,$U186,$W186,$Y186,$AA186,$AC186,$AE186),2)-$B186/2&lt;=W186,IF(ROUND(AVERAGE($C186,$E186,$G186,$I186,$K186,$M186,$O186,$Q186,$S186,$U186,$W186,$Y186,$AA186,$AC186,$AE186),2)+$B186/2&gt;W186,($G$5/$B$5),0),0))))</f>
        <v/>
      </c>
      <c r="Y186" s="141" t="str">
        <f>IF($Y$8="Habilitado",IF($A186="","",ROUND(VLOOKUP($A186,'Presupuesto Consolidado'!#REF!,6,FALSE),2)),"")</f>
        <v/>
      </c>
      <c r="Z186" s="142" t="str">
        <f t="shared" ref="Z186" si="2394">IF($A186="","",IF(Y186="","",IF($K$4="Media aritmética",(Y186&lt;=$B186)*($G$5/$B$5)+(Y186&gt;$B186)*0,IF(ROUND(AVERAGE($C186,$E186,$G186,$I186,$K186,$M186,$O186,$Q186,$S186,$U186,$W186,$Y186,$AA186,$AC186,$AE186),2)-$B186/2&lt;=Y186,IF(ROUND(AVERAGE($C186,$E186,$G186,$I186,$K186,$M186,$O186,$Q186,$S186,$U186,$W186,$Y186,$AA186,$AC186,$AE186),2)+$B186/2&gt;Y186,($G$5/$B$5),0),0))))</f>
        <v/>
      </c>
      <c r="AA186" s="141" t="str">
        <f>IF($AA$8="Habilitado",IF($A186="","",ROUND(VLOOKUP($A186,'Presupuesto Consolidado'!#REF!,6,FALSE),2)),"")</f>
        <v/>
      </c>
      <c r="AB186" s="142" t="str">
        <f t="shared" ref="AB186" si="2395">IF($A186="","",IF(AA186="","",IF($K$4="Media aritmética",(AA186&lt;=$B186)*($G$5/$B$5)+(AA186&gt;$B186)*0,IF(ROUND(AVERAGE($C186,$E186,$G186,$I186,$K186,$M186,$O186,$Q186,$S186,$U186,$W186,$Y186,$AA186,$AC186,$AE186),2)-$B186/2&lt;=AA186,IF(ROUND(AVERAGE($C186,$E186,$G186,$I186,$K186,$M186,$O186,$Q186,$S186,$U186,$W186,$Y186,$AA186,$AC186,$AE186),2)+$B186/2&gt;AA186,($G$5/$B$5),0),0))))</f>
        <v/>
      </c>
      <c r="AC186" s="141" t="str">
        <f>IF($AC$8="Habilitado",IF($A186="","",ROUND(VLOOKUP($A186,'Presupuesto Consolidado'!#REF!,6,FALSE),2)),"")</f>
        <v/>
      </c>
      <c r="AD186" s="142" t="str">
        <f t="shared" ref="AD186" si="2396">IF($A186="","",IF(AC186="","",IF($K$4="Media aritmética",(AC186&lt;=$B186)*($G$5/$B$5)+(AC186&gt;$B186)*0,IF(ROUND(AVERAGE($C186,$E186,$G186,$I186,$K186,$M186,$O186,$Q186,$S186,$U186,$W186,$Y186,$AA186,$AC186,$AE186),2)-$B186/2&lt;=AC186,IF(ROUND(AVERAGE($C186,$E186,$G186,$I186,$K186,$M186,$O186,$Q186,$S186,$U186,$W186,$Y186,$AA186,$AC186,$AE186),2)+$B186/2&gt;AC186,($G$5/$B$5),0),0))))</f>
        <v/>
      </c>
      <c r="AE186" s="141" t="str">
        <f>IF($AE$8="Habilitado",IF($A186="","",ROUND(VLOOKUP($A186,'Presupuesto Consolidado'!#REF!,6,FALSE),2)),"")</f>
        <v/>
      </c>
      <c r="AF186" s="142" t="str">
        <f t="shared" ref="AF186" si="2397">IF($A186="","",IF(AE186="","",IF($K$4="Media aritmética",(AE186&lt;=$B186)*($G$5/$B$5)+(AE186&gt;$B186)*0,IF(ROUND(AVERAGE($C186,$E186,$G186,$I186,$K186,$M186,$O186,$Q186,$S186,$U186,$W186,$Y186,$AA186,$AC186,$AE186),2)-$B186/2&lt;=AE186,IF(ROUND(AVERAGE($C186,$E186,$G186,$I186,$K186,$M186,$O186,$Q186,$S186,$U186,$W186,$Y186,$AA186,$AC186,$AE186),2)+$B186/2&gt;AE186,($G$5/$B$5),0),0))))</f>
        <v/>
      </c>
    </row>
    <row r="187" spans="1:32" s="135" customFormat="1" ht="21" customHeight="1">
      <c r="A187" s="132" t="str">
        <f>+'Presupuesto Consolidado'!A217</f>
        <v>13.2.4</v>
      </c>
      <c r="B187" s="140">
        <f t="shared" ref="B187" si="2398">IF(A187="","",IF($K$4="Media aritmética",ROUND(AVERAGE(C187,E187,G187,I187,K187,M187,O187,Q187,S187,U187,W187,Y187,AA187,AC187,AE187),2),ROUND(_xlfn.STDEV.P(C187,E187,G187,I187,K187,M187,O187,Q187,S187,U187,W187,Y187,AA187,AC187,AE187),2)))</f>
        <v>2412000</v>
      </c>
      <c r="C187" s="141">
        <f>IF($C$8="Habilitado",IF($A187="","",ROUND(VLOOKUP($A187,'Presupuesto Consolidado'!$A$9:$F$600,6,FALSE),2)),"")</f>
        <v>2412000</v>
      </c>
      <c r="D187" s="142">
        <f t="shared" ref="D187" si="2399">IF($A187="","",IF(C187="","",IF($K$4="Media aritmética",(C187&lt;=$B187)*($G$5/$B$5)+(C187&gt;$B187)*0,IF(ROUND(AVERAGE($C187,$E187,$G187,$I187,$K187,$M187,$O187,$Q187,$S187,$U187,$W187,$Y187,$AA187,$AC187,$AE187),2)-$B187/2&lt;=C187,IF(ROUND(AVERAGE($C187,$E187,$G187,$I187,$K187,$M187,$O187,$Q187,$S187,$U187,$W187,$Y187,$AA187,$AC187,$AE187),2)+$B187/2&gt;C187,($G$5/$B$5),0),0))))</f>
        <v>0.45714285714285713</v>
      </c>
      <c r="E187" s="141" t="str">
        <f>IF($E$8="Habilitado",IF($A187="","",ROUND(VLOOKUP($A187,'Presupuesto Consolidado'!$I$9:$N$600,6,FALSE),2)),"")</f>
        <v/>
      </c>
      <c r="F187" s="142" t="str">
        <f t="shared" ref="F187" si="2400">IF($A187="","",IF(E187="","",IF($K$4="Media aritmética",(E187&lt;=$B187)*($G$5/$B$5)+(E187&gt;$B187)*0,IF(ROUND(AVERAGE($C187,$E187,$G187,$I187,$K187,$M187,$O187,$Q187,$S187,$U187,$W187,$Y187,$AA187,$AC187,$AE187),2)-$B187/2&lt;=E187,IF(ROUND(AVERAGE($C187,$E187,$G187,$I187,$K187,$M187,$O187,$Q187,$S187,$U187,$W187,$Y187,$AA187,$AC187,$AE187),2)+$B187/2&gt;E187,($G$5/$B$5),0),0))))</f>
        <v/>
      </c>
      <c r="G187" s="141" t="str">
        <f>IF($G$8="Habilitado",IF($A187="","",ROUND(VLOOKUP($A187,'Presupuesto Consolidado'!$Q$9:$V$600,6,FALSE),2)),"")</f>
        <v/>
      </c>
      <c r="H187" s="142" t="str">
        <f t="shared" ref="H187" si="2401">IF($A187="","",IF(G187="","",IF($K$4="Media aritmética",(G187&lt;=$B187)*($G$5/$B$5)+(G187&gt;$B187)*0,IF(ROUND(AVERAGE($C187,$E187,$G187,$I187,$K187,$M187,$O187,$Q187,$S187,$U187,$W187,$Y187,$AA187,$AC187,$AE187),2)-$B187/2&lt;=G187,IF(ROUND(AVERAGE($C187,$E187,$G187,$I187,$K187,$M187,$O187,$Q187,$S187,$U187,$W187,$Y187,$AA187,$AC187,$AE187),2)+$B187/2&gt;G187,($G$5/$B$5),0),0))))</f>
        <v/>
      </c>
      <c r="I187" s="141" t="str">
        <f>IF($I$8="Habilitado",IF($A187="","",ROUND(VLOOKUP($A187,'Presupuesto Consolidado'!$Y$9:$AD$600,6,FALSE),2)),"")</f>
        <v/>
      </c>
      <c r="J187" s="142" t="str">
        <f t="shared" ref="J187" si="2402">IF($A187="","",IF(I187="","",IF($K$4="Media aritmética",(I187&lt;=$B187)*($G$5/$B$5)+(I187&gt;$B187)*0,IF(ROUND(AVERAGE($C187,$E187,$G187,$I187,$K187,$M187,$O187,$Q187,$S187,$U187,$W187,$Y187,$AA187,$AC187,$AE187),2)-$B187/2&lt;=I187,IF(ROUND(AVERAGE($C187,$E187,$G187,$I187,$K187,$M187,$O187,$Q187,$S187,$U187,$W187,$Y187,$AA187,$AC187,$AE187),2)+$B187/2&gt;I187,($G$5/$B$5),0),0))))</f>
        <v/>
      </c>
      <c r="K187" s="141" t="str">
        <f>IF($K$8="Habilitado",IF($A187="","",ROUND(VLOOKUP($A187,'Presupuesto Consolidado'!#REF!,6,FALSE),2)),"")</f>
        <v/>
      </c>
      <c r="L187" s="142" t="str">
        <f t="shared" ref="L187" si="2403">IF($A187="","",IF(K187="","",IF($K$4="Media aritmética",(K187&lt;=$B187)*($G$5/$B$5)+(K187&gt;$B187)*0,IF(ROUND(AVERAGE($C187,$E187,$G187,$I187,$K187,$M187,$O187,$Q187,$S187,$U187,$W187,$Y187,$AA187,$AC187,$AE187),2)-$B187/2&lt;=K187,IF(ROUND(AVERAGE($C187,$E187,$G187,$I187,$K187,$M187,$O187,$Q187,$S187,$U187,$W187,$Y187,$AA187,$AC187,$AE187),2)+$B187/2&gt;K187,($G$5/$B$5),0),0))))</f>
        <v/>
      </c>
      <c r="M187" s="141" t="str">
        <f>IF($M$8="Habilitado",IF($A187="","",ROUND(VLOOKUP($A187,'Presupuesto Consolidado'!#REF!,6,FALSE),2)),"")</f>
        <v/>
      </c>
      <c r="N187" s="142" t="str">
        <f t="shared" ref="N187" si="2404">IF($A187="","",IF(M187="","",IF($K$4="Media aritmética",(M187&lt;=$B187)*($G$5/$B$5)+(M187&gt;$B187)*0,IF(ROUND(AVERAGE($C187,$E187,$G187,$I187,$K187,$M187,$O187,$Q187,$S187,$U187,$W187,$Y187,$AA187,$AC187,$AE187),2)-$B187/2&lt;=M187,IF(ROUND(AVERAGE($C187,$E187,$G187,$I187,$K187,$M187,$O187,$Q187,$S187,$U187,$W187,$Y187,$AA187,$AC187,$AE187),2)+$B187/2&gt;M187,($G$5/$B$5),0),0))))</f>
        <v/>
      </c>
      <c r="O187" s="141" t="str">
        <f>IF($O$8="Habilitado",IF($A187="","",ROUND(VLOOKUP($A187,'Presupuesto Consolidado'!#REF!,6,FALSE),2)),"")</f>
        <v/>
      </c>
      <c r="P187" s="142" t="str">
        <f t="shared" ref="P187" si="2405">IF($A187="","",IF(O187="","",IF($K$4="Media aritmética",(O187&lt;=$B187)*($G$5/$B$5)+(O187&gt;$B187)*0,IF(ROUND(AVERAGE($C187,$E187,$G187,$I187,$K187,$M187,$O187,$Q187,$S187,$U187,$W187,$Y187,$AA187,$AC187,$AE187),2)-$B187/2&lt;=O187,IF(ROUND(AVERAGE($C187,$E187,$G187,$I187,$K187,$M187,$O187,$Q187,$S187,$U187,$W187,$Y187,$AA187,$AC187,$AE187),2)+$B187/2&gt;O187,($G$5/$B$5),0),0))))</f>
        <v/>
      </c>
      <c r="Q187" s="141" t="str">
        <f>IF($Q$8="Habilitado",IF($A187="","",ROUND(VLOOKUP($A187,'Presupuesto Consolidado'!#REF!,6,FALSE),2)),"")</f>
        <v/>
      </c>
      <c r="R187" s="142" t="str">
        <f t="shared" ref="R187" si="2406">IF($A187="","",IF(Q187="","",IF($K$4="Media aritmética",(Q187&lt;=$B187)*($G$5/$B$5)+(Q187&gt;$B187)*0,IF(ROUND(AVERAGE($C187,$E187,$G187,$I187,$K187,$M187,$O187,$Q187,$S187,$U187,$W187,$Y187,$AA187,$AC187,$AE187),2)-$B187/2&lt;=Q187,IF(ROUND(AVERAGE($C187,$E187,$G187,$I187,$K187,$M187,$O187,$Q187,$S187,$U187,$W187,$Y187,$AA187,$AC187,$AE187),2)+$B187/2&gt;Q187,($G$5/$B$5),0),0))))</f>
        <v/>
      </c>
      <c r="S187" s="141" t="str">
        <f>IF($S$8="Habilitado",IF($A187="","",ROUND(VLOOKUP($A187,'Presupuesto Consolidado'!#REF!,6,FALSE),2)),"")</f>
        <v/>
      </c>
      <c r="T187" s="142" t="str">
        <f t="shared" ref="T187" si="2407">IF($A187="","",IF(S187="","",IF($K$4="Media aritmética",(S187&lt;=$B187)*($G$5/$B$5)+(S187&gt;$B187)*0,IF(ROUND(AVERAGE($C187,$E187,$G187,$I187,$K187,$M187,$O187,$Q187,$S187,$U187,$W187,$Y187,$AA187,$AC187,$AE187),2)-$B187/2&lt;=S187,IF(ROUND(AVERAGE($C187,$E187,$G187,$I187,$K187,$M187,$O187,$Q187,$S187,$U187,$W187,$Y187,$AA187,$AC187,$AE187),2)+$B187/2&gt;S187,($G$5/$B$5),0),0))))</f>
        <v/>
      </c>
      <c r="U187" s="141" t="str">
        <f>IF($U$8="Habilitado",IF($A187="","",ROUND(VLOOKUP($A187,'Presupuesto Consolidado'!#REF!,6,FALSE),2)),"")</f>
        <v/>
      </c>
      <c r="V187" s="142" t="str">
        <f t="shared" ref="V187" si="2408">IF($A187="","",IF(U187="","",IF($K$4="Media aritmética",(U187&lt;=$B187)*($G$5/$B$5)+(U187&gt;$B187)*0,IF(ROUND(AVERAGE($C187,$E187,$G187,$I187,$K187,$M187,$O187,$Q187,$S187,$U187,$W187,$Y187,$AA187,$AC187,$AE187),2)-$B187/2&lt;=U187,IF(ROUND(AVERAGE($C187,$E187,$G187,$I187,$K187,$M187,$O187,$Q187,$S187,$U187,$W187,$Y187,$AA187,$AC187,$AE187),2)+$B187/2&gt;U187,($G$5/$B$5),0),0))))</f>
        <v/>
      </c>
      <c r="W187" s="141" t="str">
        <f>IF($W$8="Habilitado",IF($A187="","",ROUND(VLOOKUP($A187,'Presupuesto Consolidado'!#REF!,6,FALSE),2)),"")</f>
        <v/>
      </c>
      <c r="X187" s="142" t="str">
        <f t="shared" ref="X187" si="2409">IF($A187="","",IF(W187="","",IF($K$4="Media aritmética",(W187&lt;=$B187)*($G$5/$B$5)+(W187&gt;$B187)*0,IF(ROUND(AVERAGE($C187,$E187,$G187,$I187,$K187,$M187,$O187,$Q187,$S187,$U187,$W187,$Y187,$AA187,$AC187,$AE187),2)-$B187/2&lt;=W187,IF(ROUND(AVERAGE($C187,$E187,$G187,$I187,$K187,$M187,$O187,$Q187,$S187,$U187,$W187,$Y187,$AA187,$AC187,$AE187),2)+$B187/2&gt;W187,($G$5/$B$5),0),0))))</f>
        <v/>
      </c>
      <c r="Y187" s="141" t="str">
        <f>IF($Y$8="Habilitado",IF($A187="","",ROUND(VLOOKUP($A187,'Presupuesto Consolidado'!#REF!,6,FALSE),2)),"")</f>
        <v/>
      </c>
      <c r="Z187" s="142" t="str">
        <f t="shared" ref="Z187" si="2410">IF($A187="","",IF(Y187="","",IF($K$4="Media aritmética",(Y187&lt;=$B187)*($G$5/$B$5)+(Y187&gt;$B187)*0,IF(ROUND(AVERAGE($C187,$E187,$G187,$I187,$K187,$M187,$O187,$Q187,$S187,$U187,$W187,$Y187,$AA187,$AC187,$AE187),2)-$B187/2&lt;=Y187,IF(ROUND(AVERAGE($C187,$E187,$G187,$I187,$K187,$M187,$O187,$Q187,$S187,$U187,$W187,$Y187,$AA187,$AC187,$AE187),2)+$B187/2&gt;Y187,($G$5/$B$5),0),0))))</f>
        <v/>
      </c>
      <c r="AA187" s="141" t="str">
        <f>IF($AA$8="Habilitado",IF($A187="","",ROUND(VLOOKUP($A187,'Presupuesto Consolidado'!#REF!,6,FALSE),2)),"")</f>
        <v/>
      </c>
      <c r="AB187" s="142" t="str">
        <f t="shared" ref="AB187" si="2411">IF($A187="","",IF(AA187="","",IF($K$4="Media aritmética",(AA187&lt;=$B187)*($G$5/$B$5)+(AA187&gt;$B187)*0,IF(ROUND(AVERAGE($C187,$E187,$G187,$I187,$K187,$M187,$O187,$Q187,$S187,$U187,$W187,$Y187,$AA187,$AC187,$AE187),2)-$B187/2&lt;=AA187,IF(ROUND(AVERAGE($C187,$E187,$G187,$I187,$K187,$M187,$O187,$Q187,$S187,$U187,$W187,$Y187,$AA187,$AC187,$AE187),2)+$B187/2&gt;AA187,($G$5/$B$5),0),0))))</f>
        <v/>
      </c>
      <c r="AC187" s="141" t="str">
        <f>IF($AC$8="Habilitado",IF($A187="","",ROUND(VLOOKUP($A187,'Presupuesto Consolidado'!#REF!,6,FALSE),2)),"")</f>
        <v/>
      </c>
      <c r="AD187" s="142" t="str">
        <f t="shared" ref="AD187" si="2412">IF($A187="","",IF(AC187="","",IF($K$4="Media aritmética",(AC187&lt;=$B187)*($G$5/$B$5)+(AC187&gt;$B187)*0,IF(ROUND(AVERAGE($C187,$E187,$G187,$I187,$K187,$M187,$O187,$Q187,$S187,$U187,$W187,$Y187,$AA187,$AC187,$AE187),2)-$B187/2&lt;=AC187,IF(ROUND(AVERAGE($C187,$E187,$G187,$I187,$K187,$M187,$O187,$Q187,$S187,$U187,$W187,$Y187,$AA187,$AC187,$AE187),2)+$B187/2&gt;AC187,($G$5/$B$5),0),0))))</f>
        <v/>
      </c>
      <c r="AE187" s="141" t="str">
        <f>IF($AE$8="Habilitado",IF($A187="","",ROUND(VLOOKUP($A187,'Presupuesto Consolidado'!#REF!,6,FALSE),2)),"")</f>
        <v/>
      </c>
      <c r="AF187" s="142" t="str">
        <f t="shared" ref="AF187" si="2413">IF($A187="","",IF(AE187="","",IF($K$4="Media aritmética",(AE187&lt;=$B187)*($G$5/$B$5)+(AE187&gt;$B187)*0,IF(ROUND(AVERAGE($C187,$E187,$G187,$I187,$K187,$M187,$O187,$Q187,$S187,$U187,$W187,$Y187,$AA187,$AC187,$AE187),2)-$B187/2&lt;=AE187,IF(ROUND(AVERAGE($C187,$E187,$G187,$I187,$K187,$M187,$O187,$Q187,$S187,$U187,$W187,$Y187,$AA187,$AC187,$AE187),2)+$B187/2&gt;AE187,($G$5/$B$5),0),0))))</f>
        <v/>
      </c>
    </row>
    <row r="188" spans="1:32" s="135" customFormat="1" ht="21" customHeight="1">
      <c r="A188" s="132" t="str">
        <f>+'Presupuesto Consolidado'!A219</f>
        <v>13.3.1</v>
      </c>
      <c r="B188" s="140">
        <f t="shared" ref="B188" si="2414">IF(A188="","",IF($K$4="Media aritmética",ROUND(AVERAGE(C188,E188,G188,I188,K188,M188,O188,Q188,S188,U188,W188,Y188,AA188,AC188,AE188),2),ROUND(_xlfn.STDEV.P(C188,E188,G188,I188,K188,M188,O188,Q188,S188,U188,W188,Y188,AA188,AC188,AE188),2)))</f>
        <v>1010642</v>
      </c>
      <c r="C188" s="141">
        <f>IF($C$8="Habilitado",IF($A188="","",ROUND(VLOOKUP($A188,'Presupuesto Consolidado'!$A$9:$F$600,6,FALSE),2)),"")</f>
        <v>1010642</v>
      </c>
      <c r="D188" s="142">
        <f t="shared" ref="D188" si="2415">IF($A188="","",IF(C188="","",IF($K$4="Media aritmética",(C188&lt;=$B188)*($G$5/$B$5)+(C188&gt;$B188)*0,IF(ROUND(AVERAGE($C188,$E188,$G188,$I188,$K188,$M188,$O188,$Q188,$S188,$U188,$W188,$Y188,$AA188,$AC188,$AE188),2)-$B188/2&lt;=C188,IF(ROUND(AVERAGE($C188,$E188,$G188,$I188,$K188,$M188,$O188,$Q188,$S188,$U188,$W188,$Y188,$AA188,$AC188,$AE188),2)+$B188/2&gt;C188,($G$5/$B$5),0),0))))</f>
        <v>0.45714285714285713</v>
      </c>
      <c r="E188" s="141" t="str">
        <f>IF($E$8="Habilitado",IF($A188="","",ROUND(VLOOKUP($A188,'Presupuesto Consolidado'!$I$9:$N$600,6,FALSE),2)),"")</f>
        <v/>
      </c>
      <c r="F188" s="142" t="str">
        <f t="shared" ref="F188" si="2416">IF($A188="","",IF(E188="","",IF($K$4="Media aritmética",(E188&lt;=$B188)*($G$5/$B$5)+(E188&gt;$B188)*0,IF(ROUND(AVERAGE($C188,$E188,$G188,$I188,$K188,$M188,$O188,$Q188,$S188,$U188,$W188,$Y188,$AA188,$AC188,$AE188),2)-$B188/2&lt;=E188,IF(ROUND(AVERAGE($C188,$E188,$G188,$I188,$K188,$M188,$O188,$Q188,$S188,$U188,$W188,$Y188,$AA188,$AC188,$AE188),2)+$B188/2&gt;E188,($G$5/$B$5),0),0))))</f>
        <v/>
      </c>
      <c r="G188" s="141" t="str">
        <f>IF($G$8="Habilitado",IF($A188="","",ROUND(VLOOKUP($A188,'Presupuesto Consolidado'!$Q$9:$V$600,6,FALSE),2)),"")</f>
        <v/>
      </c>
      <c r="H188" s="142" t="str">
        <f t="shared" ref="H188" si="2417">IF($A188="","",IF(G188="","",IF($K$4="Media aritmética",(G188&lt;=$B188)*($G$5/$B$5)+(G188&gt;$B188)*0,IF(ROUND(AVERAGE($C188,$E188,$G188,$I188,$K188,$M188,$O188,$Q188,$S188,$U188,$W188,$Y188,$AA188,$AC188,$AE188),2)-$B188/2&lt;=G188,IF(ROUND(AVERAGE($C188,$E188,$G188,$I188,$K188,$M188,$O188,$Q188,$S188,$U188,$W188,$Y188,$AA188,$AC188,$AE188),2)+$B188/2&gt;G188,($G$5/$B$5),0),0))))</f>
        <v/>
      </c>
      <c r="I188" s="141" t="str">
        <f>IF($I$8="Habilitado",IF($A188="","",ROUND(VLOOKUP($A188,'Presupuesto Consolidado'!$Y$9:$AD$600,6,FALSE),2)),"")</f>
        <v/>
      </c>
      <c r="J188" s="142" t="str">
        <f t="shared" ref="J188" si="2418">IF($A188="","",IF(I188="","",IF($K$4="Media aritmética",(I188&lt;=$B188)*($G$5/$B$5)+(I188&gt;$B188)*0,IF(ROUND(AVERAGE($C188,$E188,$G188,$I188,$K188,$M188,$O188,$Q188,$S188,$U188,$W188,$Y188,$AA188,$AC188,$AE188),2)-$B188/2&lt;=I188,IF(ROUND(AVERAGE($C188,$E188,$G188,$I188,$K188,$M188,$O188,$Q188,$S188,$U188,$W188,$Y188,$AA188,$AC188,$AE188),2)+$B188/2&gt;I188,($G$5/$B$5),0),0))))</f>
        <v/>
      </c>
      <c r="K188" s="141" t="str">
        <f>IF($K$8="Habilitado",IF($A188="","",ROUND(VLOOKUP($A188,'Presupuesto Consolidado'!#REF!,6,FALSE),2)),"")</f>
        <v/>
      </c>
      <c r="L188" s="142" t="str">
        <f t="shared" ref="L188" si="2419">IF($A188="","",IF(K188="","",IF($K$4="Media aritmética",(K188&lt;=$B188)*($G$5/$B$5)+(K188&gt;$B188)*0,IF(ROUND(AVERAGE($C188,$E188,$G188,$I188,$K188,$M188,$O188,$Q188,$S188,$U188,$W188,$Y188,$AA188,$AC188,$AE188),2)-$B188/2&lt;=K188,IF(ROUND(AVERAGE($C188,$E188,$G188,$I188,$K188,$M188,$O188,$Q188,$S188,$U188,$W188,$Y188,$AA188,$AC188,$AE188),2)+$B188/2&gt;K188,($G$5/$B$5),0),0))))</f>
        <v/>
      </c>
      <c r="M188" s="141" t="str">
        <f>IF($M$8="Habilitado",IF($A188="","",ROUND(VLOOKUP($A188,'Presupuesto Consolidado'!#REF!,6,FALSE),2)),"")</f>
        <v/>
      </c>
      <c r="N188" s="142" t="str">
        <f t="shared" ref="N188" si="2420">IF($A188="","",IF(M188="","",IF($K$4="Media aritmética",(M188&lt;=$B188)*($G$5/$B$5)+(M188&gt;$B188)*0,IF(ROUND(AVERAGE($C188,$E188,$G188,$I188,$K188,$M188,$O188,$Q188,$S188,$U188,$W188,$Y188,$AA188,$AC188,$AE188),2)-$B188/2&lt;=M188,IF(ROUND(AVERAGE($C188,$E188,$G188,$I188,$K188,$M188,$O188,$Q188,$S188,$U188,$W188,$Y188,$AA188,$AC188,$AE188),2)+$B188/2&gt;M188,($G$5/$B$5),0),0))))</f>
        <v/>
      </c>
      <c r="O188" s="141" t="str">
        <f>IF($O$8="Habilitado",IF($A188="","",ROUND(VLOOKUP($A188,'Presupuesto Consolidado'!#REF!,6,FALSE),2)),"")</f>
        <v/>
      </c>
      <c r="P188" s="142" t="str">
        <f t="shared" ref="P188" si="2421">IF($A188="","",IF(O188="","",IF($K$4="Media aritmética",(O188&lt;=$B188)*($G$5/$B$5)+(O188&gt;$B188)*0,IF(ROUND(AVERAGE($C188,$E188,$G188,$I188,$K188,$M188,$O188,$Q188,$S188,$U188,$W188,$Y188,$AA188,$AC188,$AE188),2)-$B188/2&lt;=O188,IF(ROUND(AVERAGE($C188,$E188,$G188,$I188,$K188,$M188,$O188,$Q188,$S188,$U188,$W188,$Y188,$AA188,$AC188,$AE188),2)+$B188/2&gt;O188,($G$5/$B$5),0),0))))</f>
        <v/>
      </c>
      <c r="Q188" s="141" t="str">
        <f>IF($Q$8="Habilitado",IF($A188="","",ROUND(VLOOKUP($A188,'Presupuesto Consolidado'!#REF!,6,FALSE),2)),"")</f>
        <v/>
      </c>
      <c r="R188" s="142" t="str">
        <f t="shared" ref="R188" si="2422">IF($A188="","",IF(Q188="","",IF($K$4="Media aritmética",(Q188&lt;=$B188)*($G$5/$B$5)+(Q188&gt;$B188)*0,IF(ROUND(AVERAGE($C188,$E188,$G188,$I188,$K188,$M188,$O188,$Q188,$S188,$U188,$W188,$Y188,$AA188,$AC188,$AE188),2)-$B188/2&lt;=Q188,IF(ROUND(AVERAGE($C188,$E188,$G188,$I188,$K188,$M188,$O188,$Q188,$S188,$U188,$W188,$Y188,$AA188,$AC188,$AE188),2)+$B188/2&gt;Q188,($G$5/$B$5),0),0))))</f>
        <v/>
      </c>
      <c r="S188" s="141" t="str">
        <f>IF($S$8="Habilitado",IF($A188="","",ROUND(VLOOKUP($A188,'Presupuesto Consolidado'!#REF!,6,FALSE),2)),"")</f>
        <v/>
      </c>
      <c r="T188" s="142" t="str">
        <f t="shared" ref="T188" si="2423">IF($A188="","",IF(S188="","",IF($K$4="Media aritmética",(S188&lt;=$B188)*($G$5/$B$5)+(S188&gt;$B188)*0,IF(ROUND(AVERAGE($C188,$E188,$G188,$I188,$K188,$M188,$O188,$Q188,$S188,$U188,$W188,$Y188,$AA188,$AC188,$AE188),2)-$B188/2&lt;=S188,IF(ROUND(AVERAGE($C188,$E188,$G188,$I188,$K188,$M188,$O188,$Q188,$S188,$U188,$W188,$Y188,$AA188,$AC188,$AE188),2)+$B188/2&gt;S188,($G$5/$B$5),0),0))))</f>
        <v/>
      </c>
      <c r="U188" s="141" t="str">
        <f>IF($U$8="Habilitado",IF($A188="","",ROUND(VLOOKUP($A188,'Presupuesto Consolidado'!#REF!,6,FALSE),2)),"")</f>
        <v/>
      </c>
      <c r="V188" s="142" t="str">
        <f t="shared" ref="V188" si="2424">IF($A188="","",IF(U188="","",IF($K$4="Media aritmética",(U188&lt;=$B188)*($G$5/$B$5)+(U188&gt;$B188)*0,IF(ROUND(AVERAGE($C188,$E188,$G188,$I188,$K188,$M188,$O188,$Q188,$S188,$U188,$W188,$Y188,$AA188,$AC188,$AE188),2)-$B188/2&lt;=U188,IF(ROUND(AVERAGE($C188,$E188,$G188,$I188,$K188,$M188,$O188,$Q188,$S188,$U188,$W188,$Y188,$AA188,$AC188,$AE188),2)+$B188/2&gt;U188,($G$5/$B$5),0),0))))</f>
        <v/>
      </c>
      <c r="W188" s="141" t="str">
        <f>IF($W$8="Habilitado",IF($A188="","",ROUND(VLOOKUP($A188,'Presupuesto Consolidado'!#REF!,6,FALSE),2)),"")</f>
        <v/>
      </c>
      <c r="X188" s="142" t="str">
        <f t="shared" ref="X188" si="2425">IF($A188="","",IF(W188="","",IF($K$4="Media aritmética",(W188&lt;=$B188)*($G$5/$B$5)+(W188&gt;$B188)*0,IF(ROUND(AVERAGE($C188,$E188,$G188,$I188,$K188,$M188,$O188,$Q188,$S188,$U188,$W188,$Y188,$AA188,$AC188,$AE188),2)-$B188/2&lt;=W188,IF(ROUND(AVERAGE($C188,$E188,$G188,$I188,$K188,$M188,$O188,$Q188,$S188,$U188,$W188,$Y188,$AA188,$AC188,$AE188),2)+$B188/2&gt;W188,($G$5/$B$5),0),0))))</f>
        <v/>
      </c>
      <c r="Y188" s="141" t="str">
        <f>IF($Y$8="Habilitado",IF($A188="","",ROUND(VLOOKUP($A188,'Presupuesto Consolidado'!#REF!,6,FALSE),2)),"")</f>
        <v/>
      </c>
      <c r="Z188" s="142" t="str">
        <f t="shared" ref="Z188" si="2426">IF($A188="","",IF(Y188="","",IF($K$4="Media aritmética",(Y188&lt;=$B188)*($G$5/$B$5)+(Y188&gt;$B188)*0,IF(ROUND(AVERAGE($C188,$E188,$G188,$I188,$K188,$M188,$O188,$Q188,$S188,$U188,$W188,$Y188,$AA188,$AC188,$AE188),2)-$B188/2&lt;=Y188,IF(ROUND(AVERAGE($C188,$E188,$G188,$I188,$K188,$M188,$O188,$Q188,$S188,$U188,$W188,$Y188,$AA188,$AC188,$AE188),2)+$B188/2&gt;Y188,($G$5/$B$5),0),0))))</f>
        <v/>
      </c>
      <c r="AA188" s="141" t="str">
        <f>IF($AA$8="Habilitado",IF($A188="","",ROUND(VLOOKUP($A188,'Presupuesto Consolidado'!#REF!,6,FALSE),2)),"")</f>
        <v/>
      </c>
      <c r="AB188" s="142" t="str">
        <f t="shared" ref="AB188" si="2427">IF($A188="","",IF(AA188="","",IF($K$4="Media aritmética",(AA188&lt;=$B188)*($G$5/$B$5)+(AA188&gt;$B188)*0,IF(ROUND(AVERAGE($C188,$E188,$G188,$I188,$K188,$M188,$O188,$Q188,$S188,$U188,$W188,$Y188,$AA188,$AC188,$AE188),2)-$B188/2&lt;=AA188,IF(ROUND(AVERAGE($C188,$E188,$G188,$I188,$K188,$M188,$O188,$Q188,$S188,$U188,$W188,$Y188,$AA188,$AC188,$AE188),2)+$B188/2&gt;AA188,($G$5/$B$5),0),0))))</f>
        <v/>
      </c>
      <c r="AC188" s="141" t="str">
        <f>IF($AC$8="Habilitado",IF($A188="","",ROUND(VLOOKUP($A188,'Presupuesto Consolidado'!#REF!,6,FALSE),2)),"")</f>
        <v/>
      </c>
      <c r="AD188" s="142" t="str">
        <f t="shared" ref="AD188" si="2428">IF($A188="","",IF(AC188="","",IF($K$4="Media aritmética",(AC188&lt;=$B188)*($G$5/$B$5)+(AC188&gt;$B188)*0,IF(ROUND(AVERAGE($C188,$E188,$G188,$I188,$K188,$M188,$O188,$Q188,$S188,$U188,$W188,$Y188,$AA188,$AC188,$AE188),2)-$B188/2&lt;=AC188,IF(ROUND(AVERAGE($C188,$E188,$G188,$I188,$K188,$M188,$O188,$Q188,$S188,$U188,$W188,$Y188,$AA188,$AC188,$AE188),2)+$B188/2&gt;AC188,($G$5/$B$5),0),0))))</f>
        <v/>
      </c>
      <c r="AE188" s="141" t="str">
        <f>IF($AE$8="Habilitado",IF($A188="","",ROUND(VLOOKUP($A188,'Presupuesto Consolidado'!#REF!,6,FALSE),2)),"")</f>
        <v/>
      </c>
      <c r="AF188" s="142" t="str">
        <f t="shared" ref="AF188" si="2429">IF($A188="","",IF(AE188="","",IF($K$4="Media aritmética",(AE188&lt;=$B188)*($G$5/$B$5)+(AE188&gt;$B188)*0,IF(ROUND(AVERAGE($C188,$E188,$G188,$I188,$K188,$M188,$O188,$Q188,$S188,$U188,$W188,$Y188,$AA188,$AC188,$AE188),2)-$B188/2&lt;=AE188,IF(ROUND(AVERAGE($C188,$E188,$G188,$I188,$K188,$M188,$O188,$Q188,$S188,$U188,$W188,$Y188,$AA188,$AC188,$AE188),2)+$B188/2&gt;AE188,($G$5/$B$5),0),0))))</f>
        <v/>
      </c>
    </row>
    <row r="189" spans="1:32" s="135" customFormat="1" ht="21" customHeight="1">
      <c r="A189" s="132" t="str">
        <f>+'Presupuesto Consolidado'!A220</f>
        <v>13.3.2</v>
      </c>
      <c r="B189" s="140">
        <f t="shared" ref="B189" si="2430">IF(A189="","",IF($K$4="Media aritmética",ROUND(AVERAGE(C189,E189,G189,I189,K189,M189,O189,Q189,S189,U189,W189,Y189,AA189,AC189,AE189),2),ROUND(_xlfn.STDEV.P(C189,E189,G189,I189,K189,M189,O189,Q189,S189,U189,W189,Y189,AA189,AC189,AE189),2)))</f>
        <v>1976400</v>
      </c>
      <c r="C189" s="141">
        <f>IF($C$8="Habilitado",IF($A189="","",ROUND(VLOOKUP($A189,'Presupuesto Consolidado'!$A$9:$F$600,6,FALSE),2)),"")</f>
        <v>1976400</v>
      </c>
      <c r="D189" s="142">
        <f t="shared" ref="D189" si="2431">IF($A189="","",IF(C189="","",IF($K$4="Media aritmética",(C189&lt;=$B189)*($G$5/$B$5)+(C189&gt;$B189)*0,IF(ROUND(AVERAGE($C189,$E189,$G189,$I189,$K189,$M189,$O189,$Q189,$S189,$U189,$W189,$Y189,$AA189,$AC189,$AE189),2)-$B189/2&lt;=C189,IF(ROUND(AVERAGE($C189,$E189,$G189,$I189,$K189,$M189,$O189,$Q189,$S189,$U189,$W189,$Y189,$AA189,$AC189,$AE189),2)+$B189/2&gt;C189,($G$5/$B$5),0),0))))</f>
        <v>0.45714285714285713</v>
      </c>
      <c r="E189" s="141" t="str">
        <f>IF($E$8="Habilitado",IF($A189="","",ROUND(VLOOKUP($A189,'Presupuesto Consolidado'!$I$9:$N$600,6,FALSE),2)),"")</f>
        <v/>
      </c>
      <c r="F189" s="142" t="str">
        <f t="shared" ref="F189" si="2432">IF($A189="","",IF(E189="","",IF($K$4="Media aritmética",(E189&lt;=$B189)*($G$5/$B$5)+(E189&gt;$B189)*0,IF(ROUND(AVERAGE($C189,$E189,$G189,$I189,$K189,$M189,$O189,$Q189,$S189,$U189,$W189,$Y189,$AA189,$AC189,$AE189),2)-$B189/2&lt;=E189,IF(ROUND(AVERAGE($C189,$E189,$G189,$I189,$K189,$M189,$O189,$Q189,$S189,$U189,$W189,$Y189,$AA189,$AC189,$AE189),2)+$B189/2&gt;E189,($G$5/$B$5),0),0))))</f>
        <v/>
      </c>
      <c r="G189" s="141" t="str">
        <f>IF($G$8="Habilitado",IF($A189="","",ROUND(VLOOKUP($A189,'Presupuesto Consolidado'!$Q$9:$V$600,6,FALSE),2)),"")</f>
        <v/>
      </c>
      <c r="H189" s="142" t="str">
        <f t="shared" ref="H189" si="2433">IF($A189="","",IF(G189="","",IF($K$4="Media aritmética",(G189&lt;=$B189)*($G$5/$B$5)+(G189&gt;$B189)*0,IF(ROUND(AVERAGE($C189,$E189,$G189,$I189,$K189,$M189,$O189,$Q189,$S189,$U189,$W189,$Y189,$AA189,$AC189,$AE189),2)-$B189/2&lt;=G189,IF(ROUND(AVERAGE($C189,$E189,$G189,$I189,$K189,$M189,$O189,$Q189,$S189,$U189,$W189,$Y189,$AA189,$AC189,$AE189),2)+$B189/2&gt;G189,($G$5/$B$5),0),0))))</f>
        <v/>
      </c>
      <c r="I189" s="141" t="str">
        <f>IF($I$8="Habilitado",IF($A189="","",ROUND(VLOOKUP($A189,'Presupuesto Consolidado'!$Y$9:$AD$600,6,FALSE),2)),"")</f>
        <v/>
      </c>
      <c r="J189" s="142" t="str">
        <f t="shared" ref="J189" si="2434">IF($A189="","",IF(I189="","",IF($K$4="Media aritmética",(I189&lt;=$B189)*($G$5/$B$5)+(I189&gt;$B189)*0,IF(ROUND(AVERAGE($C189,$E189,$G189,$I189,$K189,$M189,$O189,$Q189,$S189,$U189,$W189,$Y189,$AA189,$AC189,$AE189),2)-$B189/2&lt;=I189,IF(ROUND(AVERAGE($C189,$E189,$G189,$I189,$K189,$M189,$O189,$Q189,$S189,$U189,$W189,$Y189,$AA189,$AC189,$AE189),2)+$B189/2&gt;I189,($G$5/$B$5),0),0))))</f>
        <v/>
      </c>
      <c r="K189" s="141" t="str">
        <f>IF($K$8="Habilitado",IF($A189="","",ROUND(VLOOKUP($A189,'Presupuesto Consolidado'!#REF!,6,FALSE),2)),"")</f>
        <v/>
      </c>
      <c r="L189" s="142" t="str">
        <f t="shared" ref="L189" si="2435">IF($A189="","",IF(K189="","",IF($K$4="Media aritmética",(K189&lt;=$B189)*($G$5/$B$5)+(K189&gt;$B189)*0,IF(ROUND(AVERAGE($C189,$E189,$G189,$I189,$K189,$M189,$O189,$Q189,$S189,$U189,$W189,$Y189,$AA189,$AC189,$AE189),2)-$B189/2&lt;=K189,IF(ROUND(AVERAGE($C189,$E189,$G189,$I189,$K189,$M189,$O189,$Q189,$S189,$U189,$W189,$Y189,$AA189,$AC189,$AE189),2)+$B189/2&gt;K189,($G$5/$B$5),0),0))))</f>
        <v/>
      </c>
      <c r="M189" s="141" t="str">
        <f>IF($M$8="Habilitado",IF($A189="","",ROUND(VLOOKUP($A189,'Presupuesto Consolidado'!#REF!,6,FALSE),2)),"")</f>
        <v/>
      </c>
      <c r="N189" s="142" t="str">
        <f t="shared" ref="N189" si="2436">IF($A189="","",IF(M189="","",IF($K$4="Media aritmética",(M189&lt;=$B189)*($G$5/$B$5)+(M189&gt;$B189)*0,IF(ROUND(AVERAGE($C189,$E189,$G189,$I189,$K189,$M189,$O189,$Q189,$S189,$U189,$W189,$Y189,$AA189,$AC189,$AE189),2)-$B189/2&lt;=M189,IF(ROUND(AVERAGE($C189,$E189,$G189,$I189,$K189,$M189,$O189,$Q189,$S189,$U189,$W189,$Y189,$AA189,$AC189,$AE189),2)+$B189/2&gt;M189,($G$5/$B$5),0),0))))</f>
        <v/>
      </c>
      <c r="O189" s="141" t="str">
        <f>IF($O$8="Habilitado",IF($A189="","",ROUND(VLOOKUP($A189,'Presupuesto Consolidado'!#REF!,6,FALSE),2)),"")</f>
        <v/>
      </c>
      <c r="P189" s="142" t="str">
        <f t="shared" ref="P189" si="2437">IF($A189="","",IF(O189="","",IF($K$4="Media aritmética",(O189&lt;=$B189)*($G$5/$B$5)+(O189&gt;$B189)*0,IF(ROUND(AVERAGE($C189,$E189,$G189,$I189,$K189,$M189,$O189,$Q189,$S189,$U189,$W189,$Y189,$AA189,$AC189,$AE189),2)-$B189/2&lt;=O189,IF(ROUND(AVERAGE($C189,$E189,$G189,$I189,$K189,$M189,$O189,$Q189,$S189,$U189,$W189,$Y189,$AA189,$AC189,$AE189),2)+$B189/2&gt;O189,($G$5/$B$5),0),0))))</f>
        <v/>
      </c>
      <c r="Q189" s="141" t="str">
        <f>IF($Q$8="Habilitado",IF($A189="","",ROUND(VLOOKUP($A189,'Presupuesto Consolidado'!#REF!,6,FALSE),2)),"")</f>
        <v/>
      </c>
      <c r="R189" s="142" t="str">
        <f t="shared" ref="R189" si="2438">IF($A189="","",IF(Q189="","",IF($K$4="Media aritmética",(Q189&lt;=$B189)*($G$5/$B$5)+(Q189&gt;$B189)*0,IF(ROUND(AVERAGE($C189,$E189,$G189,$I189,$K189,$M189,$O189,$Q189,$S189,$U189,$W189,$Y189,$AA189,$AC189,$AE189),2)-$B189/2&lt;=Q189,IF(ROUND(AVERAGE($C189,$E189,$G189,$I189,$K189,$M189,$O189,$Q189,$S189,$U189,$W189,$Y189,$AA189,$AC189,$AE189),2)+$B189/2&gt;Q189,($G$5/$B$5),0),0))))</f>
        <v/>
      </c>
      <c r="S189" s="141" t="str">
        <f>IF($S$8="Habilitado",IF($A189="","",ROUND(VLOOKUP($A189,'Presupuesto Consolidado'!#REF!,6,FALSE),2)),"")</f>
        <v/>
      </c>
      <c r="T189" s="142" t="str">
        <f t="shared" ref="T189" si="2439">IF($A189="","",IF(S189="","",IF($K$4="Media aritmética",(S189&lt;=$B189)*($G$5/$B$5)+(S189&gt;$B189)*0,IF(ROUND(AVERAGE($C189,$E189,$G189,$I189,$K189,$M189,$O189,$Q189,$S189,$U189,$W189,$Y189,$AA189,$AC189,$AE189),2)-$B189/2&lt;=S189,IF(ROUND(AVERAGE($C189,$E189,$G189,$I189,$K189,$M189,$O189,$Q189,$S189,$U189,$W189,$Y189,$AA189,$AC189,$AE189),2)+$B189/2&gt;S189,($G$5/$B$5),0),0))))</f>
        <v/>
      </c>
      <c r="U189" s="141" t="str">
        <f>IF($U$8="Habilitado",IF($A189="","",ROUND(VLOOKUP($A189,'Presupuesto Consolidado'!#REF!,6,FALSE),2)),"")</f>
        <v/>
      </c>
      <c r="V189" s="142" t="str">
        <f t="shared" ref="V189" si="2440">IF($A189="","",IF(U189="","",IF($K$4="Media aritmética",(U189&lt;=$B189)*($G$5/$B$5)+(U189&gt;$B189)*0,IF(ROUND(AVERAGE($C189,$E189,$G189,$I189,$K189,$M189,$O189,$Q189,$S189,$U189,$W189,$Y189,$AA189,$AC189,$AE189),2)-$B189/2&lt;=U189,IF(ROUND(AVERAGE($C189,$E189,$G189,$I189,$K189,$M189,$O189,$Q189,$S189,$U189,$W189,$Y189,$AA189,$AC189,$AE189),2)+$B189/2&gt;U189,($G$5/$B$5),0),0))))</f>
        <v/>
      </c>
      <c r="W189" s="141" t="str">
        <f>IF($W$8="Habilitado",IF($A189="","",ROUND(VLOOKUP($A189,'Presupuesto Consolidado'!#REF!,6,FALSE),2)),"")</f>
        <v/>
      </c>
      <c r="X189" s="142" t="str">
        <f t="shared" ref="X189" si="2441">IF($A189="","",IF(W189="","",IF($K$4="Media aritmética",(W189&lt;=$B189)*($G$5/$B$5)+(W189&gt;$B189)*0,IF(ROUND(AVERAGE($C189,$E189,$G189,$I189,$K189,$M189,$O189,$Q189,$S189,$U189,$W189,$Y189,$AA189,$AC189,$AE189),2)-$B189/2&lt;=W189,IF(ROUND(AVERAGE($C189,$E189,$G189,$I189,$K189,$M189,$O189,$Q189,$S189,$U189,$W189,$Y189,$AA189,$AC189,$AE189),2)+$B189/2&gt;W189,($G$5/$B$5),0),0))))</f>
        <v/>
      </c>
      <c r="Y189" s="141" t="str">
        <f>IF($Y$8="Habilitado",IF($A189="","",ROUND(VLOOKUP($A189,'Presupuesto Consolidado'!#REF!,6,FALSE),2)),"")</f>
        <v/>
      </c>
      <c r="Z189" s="142" t="str">
        <f t="shared" ref="Z189" si="2442">IF($A189="","",IF(Y189="","",IF($K$4="Media aritmética",(Y189&lt;=$B189)*($G$5/$B$5)+(Y189&gt;$B189)*0,IF(ROUND(AVERAGE($C189,$E189,$G189,$I189,$K189,$M189,$O189,$Q189,$S189,$U189,$W189,$Y189,$AA189,$AC189,$AE189),2)-$B189/2&lt;=Y189,IF(ROUND(AVERAGE($C189,$E189,$G189,$I189,$K189,$M189,$O189,$Q189,$S189,$U189,$W189,$Y189,$AA189,$AC189,$AE189),2)+$B189/2&gt;Y189,($G$5/$B$5),0),0))))</f>
        <v/>
      </c>
      <c r="AA189" s="141" t="str">
        <f>IF($AA$8="Habilitado",IF($A189="","",ROUND(VLOOKUP($A189,'Presupuesto Consolidado'!#REF!,6,FALSE),2)),"")</f>
        <v/>
      </c>
      <c r="AB189" s="142" t="str">
        <f t="shared" ref="AB189" si="2443">IF($A189="","",IF(AA189="","",IF($K$4="Media aritmética",(AA189&lt;=$B189)*($G$5/$B$5)+(AA189&gt;$B189)*0,IF(ROUND(AVERAGE($C189,$E189,$G189,$I189,$K189,$M189,$O189,$Q189,$S189,$U189,$W189,$Y189,$AA189,$AC189,$AE189),2)-$B189/2&lt;=AA189,IF(ROUND(AVERAGE($C189,$E189,$G189,$I189,$K189,$M189,$O189,$Q189,$S189,$U189,$W189,$Y189,$AA189,$AC189,$AE189),2)+$B189/2&gt;AA189,($G$5/$B$5),0),0))))</f>
        <v/>
      </c>
      <c r="AC189" s="141" t="str">
        <f>IF($AC$8="Habilitado",IF($A189="","",ROUND(VLOOKUP($A189,'Presupuesto Consolidado'!#REF!,6,FALSE),2)),"")</f>
        <v/>
      </c>
      <c r="AD189" s="142" t="str">
        <f t="shared" ref="AD189" si="2444">IF($A189="","",IF(AC189="","",IF($K$4="Media aritmética",(AC189&lt;=$B189)*($G$5/$B$5)+(AC189&gt;$B189)*0,IF(ROUND(AVERAGE($C189,$E189,$G189,$I189,$K189,$M189,$O189,$Q189,$S189,$U189,$W189,$Y189,$AA189,$AC189,$AE189),2)-$B189/2&lt;=AC189,IF(ROUND(AVERAGE($C189,$E189,$G189,$I189,$K189,$M189,$O189,$Q189,$S189,$U189,$W189,$Y189,$AA189,$AC189,$AE189),2)+$B189/2&gt;AC189,($G$5/$B$5),0),0))))</f>
        <v/>
      </c>
      <c r="AE189" s="141" t="str">
        <f>IF($AE$8="Habilitado",IF($A189="","",ROUND(VLOOKUP($A189,'Presupuesto Consolidado'!#REF!,6,FALSE),2)),"")</f>
        <v/>
      </c>
      <c r="AF189" s="142" t="str">
        <f t="shared" ref="AF189" si="2445">IF($A189="","",IF(AE189="","",IF($K$4="Media aritmética",(AE189&lt;=$B189)*($G$5/$B$5)+(AE189&gt;$B189)*0,IF(ROUND(AVERAGE($C189,$E189,$G189,$I189,$K189,$M189,$O189,$Q189,$S189,$U189,$W189,$Y189,$AA189,$AC189,$AE189),2)-$B189/2&lt;=AE189,IF(ROUND(AVERAGE($C189,$E189,$G189,$I189,$K189,$M189,$O189,$Q189,$S189,$U189,$W189,$Y189,$AA189,$AC189,$AE189),2)+$B189/2&gt;AE189,($G$5/$B$5),0),0))))</f>
        <v/>
      </c>
    </row>
    <row r="190" spans="1:32" s="135" customFormat="1" ht="21" customHeight="1">
      <c r="A190" s="132" t="str">
        <f>+'Presupuesto Consolidado'!A221</f>
        <v>13.3.3</v>
      </c>
      <c r="B190" s="140">
        <f t="shared" ref="B190" si="2446">IF(A190="","",IF($K$4="Media aritmética",ROUND(AVERAGE(C190,E190,G190,I190,K190,M190,O190,Q190,S190,U190,W190,Y190,AA190,AC190,AE190),2),ROUND(_xlfn.STDEV.P(C190,E190,G190,I190,K190,M190,O190,Q190,S190,U190,W190,Y190,AA190,AC190,AE190),2)))</f>
        <v>7644103</v>
      </c>
      <c r="C190" s="141">
        <f>IF($C$8="Habilitado",IF($A190="","",ROUND(VLOOKUP($A190,'Presupuesto Consolidado'!$A$9:$F$600,6,FALSE),2)),"")</f>
        <v>7644103</v>
      </c>
      <c r="D190" s="142">
        <f t="shared" ref="D190" si="2447">IF($A190="","",IF(C190="","",IF($K$4="Media aritmética",(C190&lt;=$B190)*($G$5/$B$5)+(C190&gt;$B190)*0,IF(ROUND(AVERAGE($C190,$E190,$G190,$I190,$K190,$M190,$O190,$Q190,$S190,$U190,$W190,$Y190,$AA190,$AC190,$AE190),2)-$B190/2&lt;=C190,IF(ROUND(AVERAGE($C190,$E190,$G190,$I190,$K190,$M190,$O190,$Q190,$S190,$U190,$W190,$Y190,$AA190,$AC190,$AE190),2)+$B190/2&gt;C190,($G$5/$B$5),0),0))))</f>
        <v>0.45714285714285713</v>
      </c>
      <c r="E190" s="141" t="str">
        <f>IF($E$8="Habilitado",IF($A190="","",ROUND(VLOOKUP($A190,'Presupuesto Consolidado'!$I$9:$N$600,6,FALSE),2)),"")</f>
        <v/>
      </c>
      <c r="F190" s="142" t="str">
        <f t="shared" ref="F190" si="2448">IF($A190="","",IF(E190="","",IF($K$4="Media aritmética",(E190&lt;=$B190)*($G$5/$B$5)+(E190&gt;$B190)*0,IF(ROUND(AVERAGE($C190,$E190,$G190,$I190,$K190,$M190,$O190,$Q190,$S190,$U190,$W190,$Y190,$AA190,$AC190,$AE190),2)-$B190/2&lt;=E190,IF(ROUND(AVERAGE($C190,$E190,$G190,$I190,$K190,$M190,$O190,$Q190,$S190,$U190,$W190,$Y190,$AA190,$AC190,$AE190),2)+$B190/2&gt;E190,($G$5/$B$5),0),0))))</f>
        <v/>
      </c>
      <c r="G190" s="141" t="str">
        <f>IF($G$8="Habilitado",IF($A190="","",ROUND(VLOOKUP($A190,'Presupuesto Consolidado'!$Q$9:$V$600,6,FALSE),2)),"")</f>
        <v/>
      </c>
      <c r="H190" s="142" t="str">
        <f t="shared" ref="H190" si="2449">IF($A190="","",IF(G190="","",IF($K$4="Media aritmética",(G190&lt;=$B190)*($G$5/$B$5)+(G190&gt;$B190)*0,IF(ROUND(AVERAGE($C190,$E190,$G190,$I190,$K190,$M190,$O190,$Q190,$S190,$U190,$W190,$Y190,$AA190,$AC190,$AE190),2)-$B190/2&lt;=G190,IF(ROUND(AVERAGE($C190,$E190,$G190,$I190,$K190,$M190,$O190,$Q190,$S190,$U190,$W190,$Y190,$AA190,$AC190,$AE190),2)+$B190/2&gt;G190,($G$5/$B$5),0),0))))</f>
        <v/>
      </c>
      <c r="I190" s="141" t="str">
        <f>IF($I$8="Habilitado",IF($A190="","",ROUND(VLOOKUP($A190,'Presupuesto Consolidado'!$Y$9:$AD$600,6,FALSE),2)),"")</f>
        <v/>
      </c>
      <c r="J190" s="142" t="str">
        <f t="shared" ref="J190" si="2450">IF($A190="","",IF(I190="","",IF($K$4="Media aritmética",(I190&lt;=$B190)*($G$5/$B$5)+(I190&gt;$B190)*0,IF(ROUND(AVERAGE($C190,$E190,$G190,$I190,$K190,$M190,$O190,$Q190,$S190,$U190,$W190,$Y190,$AA190,$AC190,$AE190),2)-$B190/2&lt;=I190,IF(ROUND(AVERAGE($C190,$E190,$G190,$I190,$K190,$M190,$O190,$Q190,$S190,$U190,$W190,$Y190,$AA190,$AC190,$AE190),2)+$B190/2&gt;I190,($G$5/$B$5),0),0))))</f>
        <v/>
      </c>
      <c r="K190" s="141" t="str">
        <f>IF($K$8="Habilitado",IF($A190="","",ROUND(VLOOKUP($A190,'Presupuesto Consolidado'!#REF!,6,FALSE),2)),"")</f>
        <v/>
      </c>
      <c r="L190" s="142" t="str">
        <f t="shared" ref="L190" si="2451">IF($A190="","",IF(K190="","",IF($K$4="Media aritmética",(K190&lt;=$B190)*($G$5/$B$5)+(K190&gt;$B190)*0,IF(ROUND(AVERAGE($C190,$E190,$G190,$I190,$K190,$M190,$O190,$Q190,$S190,$U190,$W190,$Y190,$AA190,$AC190,$AE190),2)-$B190/2&lt;=K190,IF(ROUND(AVERAGE($C190,$E190,$G190,$I190,$K190,$M190,$O190,$Q190,$S190,$U190,$W190,$Y190,$AA190,$AC190,$AE190),2)+$B190/2&gt;K190,($G$5/$B$5),0),0))))</f>
        <v/>
      </c>
      <c r="M190" s="141" t="str">
        <f>IF($M$8="Habilitado",IF($A190="","",ROUND(VLOOKUP($A190,'Presupuesto Consolidado'!#REF!,6,FALSE),2)),"")</f>
        <v/>
      </c>
      <c r="N190" s="142" t="str">
        <f t="shared" ref="N190" si="2452">IF($A190="","",IF(M190="","",IF($K$4="Media aritmética",(M190&lt;=$B190)*($G$5/$B$5)+(M190&gt;$B190)*0,IF(ROUND(AVERAGE($C190,$E190,$G190,$I190,$K190,$M190,$O190,$Q190,$S190,$U190,$W190,$Y190,$AA190,$AC190,$AE190),2)-$B190/2&lt;=M190,IF(ROUND(AVERAGE($C190,$E190,$G190,$I190,$K190,$M190,$O190,$Q190,$S190,$U190,$W190,$Y190,$AA190,$AC190,$AE190),2)+$B190/2&gt;M190,($G$5/$B$5),0),0))))</f>
        <v/>
      </c>
      <c r="O190" s="141" t="str">
        <f>IF($O$8="Habilitado",IF($A190="","",ROUND(VLOOKUP($A190,'Presupuesto Consolidado'!#REF!,6,FALSE),2)),"")</f>
        <v/>
      </c>
      <c r="P190" s="142" t="str">
        <f t="shared" ref="P190" si="2453">IF($A190="","",IF(O190="","",IF($K$4="Media aritmética",(O190&lt;=$B190)*($G$5/$B$5)+(O190&gt;$B190)*0,IF(ROUND(AVERAGE($C190,$E190,$G190,$I190,$K190,$M190,$O190,$Q190,$S190,$U190,$W190,$Y190,$AA190,$AC190,$AE190),2)-$B190/2&lt;=O190,IF(ROUND(AVERAGE($C190,$E190,$G190,$I190,$K190,$M190,$O190,$Q190,$S190,$U190,$W190,$Y190,$AA190,$AC190,$AE190),2)+$B190/2&gt;O190,($G$5/$B$5),0),0))))</f>
        <v/>
      </c>
      <c r="Q190" s="141" t="str">
        <f>IF($Q$8="Habilitado",IF($A190="","",ROUND(VLOOKUP($A190,'Presupuesto Consolidado'!#REF!,6,FALSE),2)),"")</f>
        <v/>
      </c>
      <c r="R190" s="142" t="str">
        <f t="shared" ref="R190" si="2454">IF($A190="","",IF(Q190="","",IF($K$4="Media aritmética",(Q190&lt;=$B190)*($G$5/$B$5)+(Q190&gt;$B190)*0,IF(ROUND(AVERAGE($C190,$E190,$G190,$I190,$K190,$M190,$O190,$Q190,$S190,$U190,$W190,$Y190,$AA190,$AC190,$AE190),2)-$B190/2&lt;=Q190,IF(ROUND(AVERAGE($C190,$E190,$G190,$I190,$K190,$M190,$O190,$Q190,$S190,$U190,$W190,$Y190,$AA190,$AC190,$AE190),2)+$B190/2&gt;Q190,($G$5/$B$5),0),0))))</f>
        <v/>
      </c>
      <c r="S190" s="141" t="str">
        <f>IF($S$8="Habilitado",IF($A190="","",ROUND(VLOOKUP($A190,'Presupuesto Consolidado'!#REF!,6,FALSE),2)),"")</f>
        <v/>
      </c>
      <c r="T190" s="142" t="str">
        <f t="shared" ref="T190" si="2455">IF($A190="","",IF(S190="","",IF($K$4="Media aritmética",(S190&lt;=$B190)*($G$5/$B$5)+(S190&gt;$B190)*0,IF(ROUND(AVERAGE($C190,$E190,$G190,$I190,$K190,$M190,$O190,$Q190,$S190,$U190,$W190,$Y190,$AA190,$AC190,$AE190),2)-$B190/2&lt;=S190,IF(ROUND(AVERAGE($C190,$E190,$G190,$I190,$K190,$M190,$O190,$Q190,$S190,$U190,$W190,$Y190,$AA190,$AC190,$AE190),2)+$B190/2&gt;S190,($G$5/$B$5),0),0))))</f>
        <v/>
      </c>
      <c r="U190" s="141" t="str">
        <f>IF($U$8="Habilitado",IF($A190="","",ROUND(VLOOKUP($A190,'Presupuesto Consolidado'!#REF!,6,FALSE),2)),"")</f>
        <v/>
      </c>
      <c r="V190" s="142" t="str">
        <f t="shared" ref="V190" si="2456">IF($A190="","",IF(U190="","",IF($K$4="Media aritmética",(U190&lt;=$B190)*($G$5/$B$5)+(U190&gt;$B190)*0,IF(ROUND(AVERAGE($C190,$E190,$G190,$I190,$K190,$M190,$O190,$Q190,$S190,$U190,$W190,$Y190,$AA190,$AC190,$AE190),2)-$B190/2&lt;=U190,IF(ROUND(AVERAGE($C190,$E190,$G190,$I190,$K190,$M190,$O190,$Q190,$S190,$U190,$W190,$Y190,$AA190,$AC190,$AE190),2)+$B190/2&gt;U190,($G$5/$B$5),0),0))))</f>
        <v/>
      </c>
      <c r="W190" s="141" t="str">
        <f>IF($W$8="Habilitado",IF($A190="","",ROUND(VLOOKUP($A190,'Presupuesto Consolidado'!#REF!,6,FALSE),2)),"")</f>
        <v/>
      </c>
      <c r="X190" s="142" t="str">
        <f t="shared" ref="X190" si="2457">IF($A190="","",IF(W190="","",IF($K$4="Media aritmética",(W190&lt;=$B190)*($G$5/$B$5)+(W190&gt;$B190)*0,IF(ROUND(AVERAGE($C190,$E190,$G190,$I190,$K190,$M190,$O190,$Q190,$S190,$U190,$W190,$Y190,$AA190,$AC190,$AE190),2)-$B190/2&lt;=W190,IF(ROUND(AVERAGE($C190,$E190,$G190,$I190,$K190,$M190,$O190,$Q190,$S190,$U190,$W190,$Y190,$AA190,$AC190,$AE190),2)+$B190/2&gt;W190,($G$5/$B$5),0),0))))</f>
        <v/>
      </c>
      <c r="Y190" s="141" t="str">
        <f>IF($Y$8="Habilitado",IF($A190="","",ROUND(VLOOKUP($A190,'Presupuesto Consolidado'!#REF!,6,FALSE),2)),"")</f>
        <v/>
      </c>
      <c r="Z190" s="142" t="str">
        <f t="shared" ref="Z190" si="2458">IF($A190="","",IF(Y190="","",IF($K$4="Media aritmética",(Y190&lt;=$B190)*($G$5/$B$5)+(Y190&gt;$B190)*0,IF(ROUND(AVERAGE($C190,$E190,$G190,$I190,$K190,$M190,$O190,$Q190,$S190,$U190,$W190,$Y190,$AA190,$AC190,$AE190),2)-$B190/2&lt;=Y190,IF(ROUND(AVERAGE($C190,$E190,$G190,$I190,$K190,$M190,$O190,$Q190,$S190,$U190,$W190,$Y190,$AA190,$AC190,$AE190),2)+$B190/2&gt;Y190,($G$5/$B$5),0),0))))</f>
        <v/>
      </c>
      <c r="AA190" s="141" t="str">
        <f>IF($AA$8="Habilitado",IF($A190="","",ROUND(VLOOKUP($A190,'Presupuesto Consolidado'!#REF!,6,FALSE),2)),"")</f>
        <v/>
      </c>
      <c r="AB190" s="142" t="str">
        <f t="shared" ref="AB190" si="2459">IF($A190="","",IF(AA190="","",IF($K$4="Media aritmética",(AA190&lt;=$B190)*($G$5/$B$5)+(AA190&gt;$B190)*0,IF(ROUND(AVERAGE($C190,$E190,$G190,$I190,$K190,$M190,$O190,$Q190,$S190,$U190,$W190,$Y190,$AA190,$AC190,$AE190),2)-$B190/2&lt;=AA190,IF(ROUND(AVERAGE($C190,$E190,$G190,$I190,$K190,$M190,$O190,$Q190,$S190,$U190,$W190,$Y190,$AA190,$AC190,$AE190),2)+$B190/2&gt;AA190,($G$5/$B$5),0),0))))</f>
        <v/>
      </c>
      <c r="AC190" s="141" t="str">
        <f>IF($AC$8="Habilitado",IF($A190="","",ROUND(VLOOKUP($A190,'Presupuesto Consolidado'!#REF!,6,FALSE),2)),"")</f>
        <v/>
      </c>
      <c r="AD190" s="142" t="str">
        <f t="shared" ref="AD190" si="2460">IF($A190="","",IF(AC190="","",IF($K$4="Media aritmética",(AC190&lt;=$B190)*($G$5/$B$5)+(AC190&gt;$B190)*0,IF(ROUND(AVERAGE($C190,$E190,$G190,$I190,$K190,$M190,$O190,$Q190,$S190,$U190,$W190,$Y190,$AA190,$AC190,$AE190),2)-$B190/2&lt;=AC190,IF(ROUND(AVERAGE($C190,$E190,$G190,$I190,$K190,$M190,$O190,$Q190,$S190,$U190,$W190,$Y190,$AA190,$AC190,$AE190),2)+$B190/2&gt;AC190,($G$5/$B$5),0),0))))</f>
        <v/>
      </c>
      <c r="AE190" s="141" t="str">
        <f>IF($AE$8="Habilitado",IF($A190="","",ROUND(VLOOKUP($A190,'Presupuesto Consolidado'!#REF!,6,FALSE),2)),"")</f>
        <v/>
      </c>
      <c r="AF190" s="142" t="str">
        <f t="shared" ref="AF190" si="2461">IF($A190="","",IF(AE190="","",IF($K$4="Media aritmética",(AE190&lt;=$B190)*($G$5/$B$5)+(AE190&gt;$B190)*0,IF(ROUND(AVERAGE($C190,$E190,$G190,$I190,$K190,$M190,$O190,$Q190,$S190,$U190,$W190,$Y190,$AA190,$AC190,$AE190),2)-$B190/2&lt;=AE190,IF(ROUND(AVERAGE($C190,$E190,$G190,$I190,$K190,$M190,$O190,$Q190,$S190,$U190,$W190,$Y190,$AA190,$AC190,$AE190),2)+$B190/2&gt;AE190,($G$5/$B$5),0),0))))</f>
        <v/>
      </c>
    </row>
    <row r="191" spans="1:32" s="135" customFormat="1" ht="21" customHeight="1">
      <c r="A191" s="132" t="str">
        <f>+'Presupuesto Consolidado'!A222</f>
        <v>13.3.4</v>
      </c>
      <c r="B191" s="140">
        <f t="shared" ref="B191" si="2462">IF(A191="","",IF($K$4="Media aritmética",ROUND(AVERAGE(C191,E191,G191,I191,K191,M191,O191,Q191,S191,U191,W191,Y191,AA191,AC191,AE191),2),ROUND(_xlfn.STDEV.P(C191,E191,G191,I191,K191,M191,O191,Q191,S191,U191,W191,Y191,AA191,AC191,AE191),2)))</f>
        <v>6420960</v>
      </c>
      <c r="C191" s="141">
        <f>IF($C$8="Habilitado",IF($A191="","",ROUND(VLOOKUP($A191,'Presupuesto Consolidado'!$A$9:$F$600,6,FALSE),2)),"")</f>
        <v>6420960</v>
      </c>
      <c r="D191" s="142">
        <f t="shared" ref="D191" si="2463">IF($A191="","",IF(C191="","",IF($K$4="Media aritmética",(C191&lt;=$B191)*($G$5/$B$5)+(C191&gt;$B191)*0,IF(ROUND(AVERAGE($C191,$E191,$G191,$I191,$K191,$M191,$O191,$Q191,$S191,$U191,$W191,$Y191,$AA191,$AC191,$AE191),2)-$B191/2&lt;=C191,IF(ROUND(AVERAGE($C191,$E191,$G191,$I191,$K191,$M191,$O191,$Q191,$S191,$U191,$W191,$Y191,$AA191,$AC191,$AE191),2)+$B191/2&gt;C191,($G$5/$B$5),0),0))))</f>
        <v>0.45714285714285713</v>
      </c>
      <c r="E191" s="141" t="str">
        <f>IF($E$8="Habilitado",IF($A191="","",ROUND(VLOOKUP($A191,'Presupuesto Consolidado'!$I$9:$N$600,6,FALSE),2)),"")</f>
        <v/>
      </c>
      <c r="F191" s="142" t="str">
        <f t="shared" ref="F191" si="2464">IF($A191="","",IF(E191="","",IF($K$4="Media aritmética",(E191&lt;=$B191)*($G$5/$B$5)+(E191&gt;$B191)*0,IF(ROUND(AVERAGE($C191,$E191,$G191,$I191,$K191,$M191,$O191,$Q191,$S191,$U191,$W191,$Y191,$AA191,$AC191,$AE191),2)-$B191/2&lt;=E191,IF(ROUND(AVERAGE($C191,$E191,$G191,$I191,$K191,$M191,$O191,$Q191,$S191,$U191,$W191,$Y191,$AA191,$AC191,$AE191),2)+$B191/2&gt;E191,($G$5/$B$5),0),0))))</f>
        <v/>
      </c>
      <c r="G191" s="141" t="str">
        <f>IF($G$8="Habilitado",IF($A191="","",ROUND(VLOOKUP($A191,'Presupuesto Consolidado'!$Q$9:$V$600,6,FALSE),2)),"")</f>
        <v/>
      </c>
      <c r="H191" s="142" t="str">
        <f t="shared" ref="H191" si="2465">IF($A191="","",IF(G191="","",IF($K$4="Media aritmética",(G191&lt;=$B191)*($G$5/$B$5)+(G191&gt;$B191)*0,IF(ROUND(AVERAGE($C191,$E191,$G191,$I191,$K191,$M191,$O191,$Q191,$S191,$U191,$W191,$Y191,$AA191,$AC191,$AE191),2)-$B191/2&lt;=G191,IF(ROUND(AVERAGE($C191,$E191,$G191,$I191,$K191,$M191,$O191,$Q191,$S191,$U191,$W191,$Y191,$AA191,$AC191,$AE191),2)+$B191/2&gt;G191,($G$5/$B$5),0),0))))</f>
        <v/>
      </c>
      <c r="I191" s="141" t="str">
        <f>IF($I$8="Habilitado",IF($A191="","",ROUND(VLOOKUP($A191,'Presupuesto Consolidado'!$Y$9:$AD$600,6,FALSE),2)),"")</f>
        <v/>
      </c>
      <c r="J191" s="142" t="str">
        <f t="shared" ref="J191" si="2466">IF($A191="","",IF(I191="","",IF($K$4="Media aritmética",(I191&lt;=$B191)*($G$5/$B$5)+(I191&gt;$B191)*0,IF(ROUND(AVERAGE($C191,$E191,$G191,$I191,$K191,$M191,$O191,$Q191,$S191,$U191,$W191,$Y191,$AA191,$AC191,$AE191),2)-$B191/2&lt;=I191,IF(ROUND(AVERAGE($C191,$E191,$G191,$I191,$K191,$M191,$O191,$Q191,$S191,$U191,$W191,$Y191,$AA191,$AC191,$AE191),2)+$B191/2&gt;I191,($G$5/$B$5),0),0))))</f>
        <v/>
      </c>
      <c r="K191" s="141" t="str">
        <f>IF($K$8="Habilitado",IF($A191="","",ROUND(VLOOKUP($A191,'Presupuesto Consolidado'!#REF!,6,FALSE),2)),"")</f>
        <v/>
      </c>
      <c r="L191" s="142" t="str">
        <f t="shared" ref="L191" si="2467">IF($A191="","",IF(K191="","",IF($K$4="Media aritmética",(K191&lt;=$B191)*($G$5/$B$5)+(K191&gt;$B191)*0,IF(ROUND(AVERAGE($C191,$E191,$G191,$I191,$K191,$M191,$O191,$Q191,$S191,$U191,$W191,$Y191,$AA191,$AC191,$AE191),2)-$B191/2&lt;=K191,IF(ROUND(AVERAGE($C191,$E191,$G191,$I191,$K191,$M191,$O191,$Q191,$S191,$U191,$W191,$Y191,$AA191,$AC191,$AE191),2)+$B191/2&gt;K191,($G$5/$B$5),0),0))))</f>
        <v/>
      </c>
      <c r="M191" s="141" t="str">
        <f>IF($M$8="Habilitado",IF($A191="","",ROUND(VLOOKUP($A191,'Presupuesto Consolidado'!#REF!,6,FALSE),2)),"")</f>
        <v/>
      </c>
      <c r="N191" s="142" t="str">
        <f t="shared" ref="N191" si="2468">IF($A191="","",IF(M191="","",IF($K$4="Media aritmética",(M191&lt;=$B191)*($G$5/$B$5)+(M191&gt;$B191)*0,IF(ROUND(AVERAGE($C191,$E191,$G191,$I191,$K191,$M191,$O191,$Q191,$S191,$U191,$W191,$Y191,$AA191,$AC191,$AE191),2)-$B191/2&lt;=M191,IF(ROUND(AVERAGE($C191,$E191,$G191,$I191,$K191,$M191,$O191,$Q191,$S191,$U191,$W191,$Y191,$AA191,$AC191,$AE191),2)+$B191/2&gt;M191,($G$5/$B$5),0),0))))</f>
        <v/>
      </c>
      <c r="O191" s="141" t="str">
        <f>IF($O$8="Habilitado",IF($A191="","",ROUND(VLOOKUP($A191,'Presupuesto Consolidado'!#REF!,6,FALSE),2)),"")</f>
        <v/>
      </c>
      <c r="P191" s="142" t="str">
        <f t="shared" ref="P191" si="2469">IF($A191="","",IF(O191="","",IF($K$4="Media aritmética",(O191&lt;=$B191)*($G$5/$B$5)+(O191&gt;$B191)*0,IF(ROUND(AVERAGE($C191,$E191,$G191,$I191,$K191,$M191,$O191,$Q191,$S191,$U191,$W191,$Y191,$AA191,$AC191,$AE191),2)-$B191/2&lt;=O191,IF(ROUND(AVERAGE($C191,$E191,$G191,$I191,$K191,$M191,$O191,$Q191,$S191,$U191,$W191,$Y191,$AA191,$AC191,$AE191),2)+$B191/2&gt;O191,($G$5/$B$5),0),0))))</f>
        <v/>
      </c>
      <c r="Q191" s="141" t="str">
        <f>IF($Q$8="Habilitado",IF($A191="","",ROUND(VLOOKUP($A191,'Presupuesto Consolidado'!#REF!,6,FALSE),2)),"")</f>
        <v/>
      </c>
      <c r="R191" s="142" t="str">
        <f t="shared" ref="R191" si="2470">IF($A191="","",IF(Q191="","",IF($K$4="Media aritmética",(Q191&lt;=$B191)*($G$5/$B$5)+(Q191&gt;$B191)*0,IF(ROUND(AVERAGE($C191,$E191,$G191,$I191,$K191,$M191,$O191,$Q191,$S191,$U191,$W191,$Y191,$AA191,$AC191,$AE191),2)-$B191/2&lt;=Q191,IF(ROUND(AVERAGE($C191,$E191,$G191,$I191,$K191,$M191,$O191,$Q191,$S191,$U191,$W191,$Y191,$AA191,$AC191,$AE191),2)+$B191/2&gt;Q191,($G$5/$B$5),0),0))))</f>
        <v/>
      </c>
      <c r="S191" s="141" t="str">
        <f>IF($S$8="Habilitado",IF($A191="","",ROUND(VLOOKUP($A191,'Presupuesto Consolidado'!#REF!,6,FALSE),2)),"")</f>
        <v/>
      </c>
      <c r="T191" s="142" t="str">
        <f t="shared" ref="T191" si="2471">IF($A191="","",IF(S191="","",IF($K$4="Media aritmética",(S191&lt;=$B191)*($G$5/$B$5)+(S191&gt;$B191)*0,IF(ROUND(AVERAGE($C191,$E191,$G191,$I191,$K191,$M191,$O191,$Q191,$S191,$U191,$W191,$Y191,$AA191,$AC191,$AE191),2)-$B191/2&lt;=S191,IF(ROUND(AVERAGE($C191,$E191,$G191,$I191,$K191,$M191,$O191,$Q191,$S191,$U191,$W191,$Y191,$AA191,$AC191,$AE191),2)+$B191/2&gt;S191,($G$5/$B$5),0),0))))</f>
        <v/>
      </c>
      <c r="U191" s="141" t="str">
        <f>IF($U$8="Habilitado",IF($A191="","",ROUND(VLOOKUP($A191,'Presupuesto Consolidado'!#REF!,6,FALSE),2)),"")</f>
        <v/>
      </c>
      <c r="V191" s="142" t="str">
        <f t="shared" ref="V191" si="2472">IF($A191="","",IF(U191="","",IF($K$4="Media aritmética",(U191&lt;=$B191)*($G$5/$B$5)+(U191&gt;$B191)*0,IF(ROUND(AVERAGE($C191,$E191,$G191,$I191,$K191,$M191,$O191,$Q191,$S191,$U191,$W191,$Y191,$AA191,$AC191,$AE191),2)-$B191/2&lt;=U191,IF(ROUND(AVERAGE($C191,$E191,$G191,$I191,$K191,$M191,$O191,$Q191,$S191,$U191,$W191,$Y191,$AA191,$AC191,$AE191),2)+$B191/2&gt;U191,($G$5/$B$5),0),0))))</f>
        <v/>
      </c>
      <c r="W191" s="141" t="str">
        <f>IF($W$8="Habilitado",IF($A191="","",ROUND(VLOOKUP($A191,'Presupuesto Consolidado'!#REF!,6,FALSE),2)),"")</f>
        <v/>
      </c>
      <c r="X191" s="142" t="str">
        <f t="shared" ref="X191" si="2473">IF($A191="","",IF(W191="","",IF($K$4="Media aritmética",(W191&lt;=$B191)*($G$5/$B$5)+(W191&gt;$B191)*0,IF(ROUND(AVERAGE($C191,$E191,$G191,$I191,$K191,$M191,$O191,$Q191,$S191,$U191,$W191,$Y191,$AA191,$AC191,$AE191),2)-$B191/2&lt;=W191,IF(ROUND(AVERAGE($C191,$E191,$G191,$I191,$K191,$M191,$O191,$Q191,$S191,$U191,$W191,$Y191,$AA191,$AC191,$AE191),2)+$B191/2&gt;W191,($G$5/$B$5),0),0))))</f>
        <v/>
      </c>
      <c r="Y191" s="141" t="str">
        <f>IF($Y$8="Habilitado",IF($A191="","",ROUND(VLOOKUP($A191,'Presupuesto Consolidado'!#REF!,6,FALSE),2)),"")</f>
        <v/>
      </c>
      <c r="Z191" s="142" t="str">
        <f t="shared" ref="Z191" si="2474">IF($A191="","",IF(Y191="","",IF($K$4="Media aritmética",(Y191&lt;=$B191)*($G$5/$B$5)+(Y191&gt;$B191)*0,IF(ROUND(AVERAGE($C191,$E191,$G191,$I191,$K191,$M191,$O191,$Q191,$S191,$U191,$W191,$Y191,$AA191,$AC191,$AE191),2)-$B191/2&lt;=Y191,IF(ROUND(AVERAGE($C191,$E191,$G191,$I191,$K191,$M191,$O191,$Q191,$S191,$U191,$W191,$Y191,$AA191,$AC191,$AE191),2)+$B191/2&gt;Y191,($G$5/$B$5),0),0))))</f>
        <v/>
      </c>
      <c r="AA191" s="141" t="str">
        <f>IF($AA$8="Habilitado",IF($A191="","",ROUND(VLOOKUP($A191,'Presupuesto Consolidado'!#REF!,6,FALSE),2)),"")</f>
        <v/>
      </c>
      <c r="AB191" s="142" t="str">
        <f t="shared" ref="AB191" si="2475">IF($A191="","",IF(AA191="","",IF($K$4="Media aritmética",(AA191&lt;=$B191)*($G$5/$B$5)+(AA191&gt;$B191)*0,IF(ROUND(AVERAGE($C191,$E191,$G191,$I191,$K191,$M191,$O191,$Q191,$S191,$U191,$W191,$Y191,$AA191,$AC191,$AE191),2)-$B191/2&lt;=AA191,IF(ROUND(AVERAGE($C191,$E191,$G191,$I191,$K191,$M191,$O191,$Q191,$S191,$U191,$W191,$Y191,$AA191,$AC191,$AE191),2)+$B191/2&gt;AA191,($G$5/$B$5),0),0))))</f>
        <v/>
      </c>
      <c r="AC191" s="141" t="str">
        <f>IF($AC$8="Habilitado",IF($A191="","",ROUND(VLOOKUP($A191,'Presupuesto Consolidado'!#REF!,6,FALSE),2)),"")</f>
        <v/>
      </c>
      <c r="AD191" s="142" t="str">
        <f t="shared" ref="AD191" si="2476">IF($A191="","",IF(AC191="","",IF($K$4="Media aritmética",(AC191&lt;=$B191)*($G$5/$B$5)+(AC191&gt;$B191)*0,IF(ROUND(AVERAGE($C191,$E191,$G191,$I191,$K191,$M191,$O191,$Q191,$S191,$U191,$W191,$Y191,$AA191,$AC191,$AE191),2)-$B191/2&lt;=AC191,IF(ROUND(AVERAGE($C191,$E191,$G191,$I191,$K191,$M191,$O191,$Q191,$S191,$U191,$W191,$Y191,$AA191,$AC191,$AE191),2)+$B191/2&gt;AC191,($G$5/$B$5),0),0))))</f>
        <v/>
      </c>
      <c r="AE191" s="141" t="str">
        <f>IF($AE$8="Habilitado",IF($A191="","",ROUND(VLOOKUP($A191,'Presupuesto Consolidado'!#REF!,6,FALSE),2)),"")</f>
        <v/>
      </c>
      <c r="AF191" s="142" t="str">
        <f t="shared" ref="AF191" si="2477">IF($A191="","",IF(AE191="","",IF($K$4="Media aritmética",(AE191&lt;=$B191)*($G$5/$B$5)+(AE191&gt;$B191)*0,IF(ROUND(AVERAGE($C191,$E191,$G191,$I191,$K191,$M191,$O191,$Q191,$S191,$U191,$W191,$Y191,$AA191,$AC191,$AE191),2)-$B191/2&lt;=AE191,IF(ROUND(AVERAGE($C191,$E191,$G191,$I191,$K191,$M191,$O191,$Q191,$S191,$U191,$W191,$Y191,$AA191,$AC191,$AE191),2)+$B191/2&gt;AE191,($G$5/$B$5),0),0))))</f>
        <v/>
      </c>
    </row>
    <row r="192" spans="1:32" s="135" customFormat="1" ht="21" customHeight="1">
      <c r="A192" s="132" t="str">
        <f>+'Presupuesto Consolidado'!A226</f>
        <v>13.5.1</v>
      </c>
      <c r="B192" s="140">
        <f t="shared" ref="B192" si="2478">IF(A192="","",IF($K$4="Media aritmética",ROUND(AVERAGE(C192,E192,G192,I192,K192,M192,O192,Q192,S192,U192,W192,Y192,AA192,AC192,AE192),2),ROUND(_xlfn.STDEV.P(C192,E192,G192,I192,K192,M192,O192,Q192,S192,U192,W192,Y192,AA192,AC192,AE192),2)))</f>
        <v>4336598</v>
      </c>
      <c r="C192" s="141">
        <f>IF($C$8="Habilitado",IF($A192="","",ROUND(VLOOKUP($A192,'Presupuesto Consolidado'!$A$9:$F$600,6,FALSE),2)),"")</f>
        <v>4336598</v>
      </c>
      <c r="D192" s="142">
        <f t="shared" ref="D192" si="2479">IF($A192="","",IF(C192="","",IF($K$4="Media aritmética",(C192&lt;=$B192)*($G$5/$B$5)+(C192&gt;$B192)*0,IF(ROUND(AVERAGE($C192,$E192,$G192,$I192,$K192,$M192,$O192,$Q192,$S192,$U192,$W192,$Y192,$AA192,$AC192,$AE192),2)-$B192/2&lt;=C192,IF(ROUND(AVERAGE($C192,$E192,$G192,$I192,$K192,$M192,$O192,$Q192,$S192,$U192,$W192,$Y192,$AA192,$AC192,$AE192),2)+$B192/2&gt;C192,($G$5/$B$5),0),0))))</f>
        <v>0.45714285714285713</v>
      </c>
      <c r="E192" s="141" t="str">
        <f>IF($E$8="Habilitado",IF($A192="","",ROUND(VLOOKUP($A192,'Presupuesto Consolidado'!$I$9:$N$600,6,FALSE),2)),"")</f>
        <v/>
      </c>
      <c r="F192" s="142" t="str">
        <f t="shared" ref="F192" si="2480">IF($A192="","",IF(E192="","",IF($K$4="Media aritmética",(E192&lt;=$B192)*($G$5/$B$5)+(E192&gt;$B192)*0,IF(ROUND(AVERAGE($C192,$E192,$G192,$I192,$K192,$M192,$O192,$Q192,$S192,$U192,$W192,$Y192,$AA192,$AC192,$AE192),2)-$B192/2&lt;=E192,IF(ROUND(AVERAGE($C192,$E192,$G192,$I192,$K192,$M192,$O192,$Q192,$S192,$U192,$W192,$Y192,$AA192,$AC192,$AE192),2)+$B192/2&gt;E192,($G$5/$B$5),0),0))))</f>
        <v/>
      </c>
      <c r="G192" s="141" t="str">
        <f>IF($G$8="Habilitado",IF($A192="","",ROUND(VLOOKUP($A192,'Presupuesto Consolidado'!$Q$9:$V$600,6,FALSE),2)),"")</f>
        <v/>
      </c>
      <c r="H192" s="142" t="str">
        <f t="shared" ref="H192" si="2481">IF($A192="","",IF(G192="","",IF($K$4="Media aritmética",(G192&lt;=$B192)*($G$5/$B$5)+(G192&gt;$B192)*0,IF(ROUND(AVERAGE($C192,$E192,$G192,$I192,$K192,$M192,$O192,$Q192,$S192,$U192,$W192,$Y192,$AA192,$AC192,$AE192),2)-$B192/2&lt;=G192,IF(ROUND(AVERAGE($C192,$E192,$G192,$I192,$K192,$M192,$O192,$Q192,$S192,$U192,$W192,$Y192,$AA192,$AC192,$AE192),2)+$B192/2&gt;G192,($G$5/$B$5),0),0))))</f>
        <v/>
      </c>
      <c r="I192" s="141" t="str">
        <f>IF($I$8="Habilitado",IF($A192="","",ROUND(VLOOKUP($A192,'Presupuesto Consolidado'!$Y$9:$AD$600,6,FALSE),2)),"")</f>
        <v/>
      </c>
      <c r="J192" s="142" t="str">
        <f t="shared" ref="J192" si="2482">IF($A192="","",IF(I192="","",IF($K$4="Media aritmética",(I192&lt;=$B192)*($G$5/$B$5)+(I192&gt;$B192)*0,IF(ROUND(AVERAGE($C192,$E192,$G192,$I192,$K192,$M192,$O192,$Q192,$S192,$U192,$W192,$Y192,$AA192,$AC192,$AE192),2)-$B192/2&lt;=I192,IF(ROUND(AVERAGE($C192,$E192,$G192,$I192,$K192,$M192,$O192,$Q192,$S192,$U192,$W192,$Y192,$AA192,$AC192,$AE192),2)+$B192/2&gt;I192,($G$5/$B$5),0),0))))</f>
        <v/>
      </c>
      <c r="K192" s="141" t="str">
        <f>IF($K$8="Habilitado",IF($A192="","",ROUND(VLOOKUP($A192,'Presupuesto Consolidado'!#REF!,6,FALSE),2)),"")</f>
        <v/>
      </c>
      <c r="L192" s="142" t="str">
        <f t="shared" ref="L192" si="2483">IF($A192="","",IF(K192="","",IF($K$4="Media aritmética",(K192&lt;=$B192)*($G$5/$B$5)+(K192&gt;$B192)*0,IF(ROUND(AVERAGE($C192,$E192,$G192,$I192,$K192,$M192,$O192,$Q192,$S192,$U192,$W192,$Y192,$AA192,$AC192,$AE192),2)-$B192/2&lt;=K192,IF(ROUND(AVERAGE($C192,$E192,$G192,$I192,$K192,$M192,$O192,$Q192,$S192,$U192,$W192,$Y192,$AA192,$AC192,$AE192),2)+$B192/2&gt;K192,($G$5/$B$5),0),0))))</f>
        <v/>
      </c>
      <c r="M192" s="141" t="str">
        <f>IF($M$8="Habilitado",IF($A192="","",ROUND(VLOOKUP($A192,'Presupuesto Consolidado'!#REF!,6,FALSE),2)),"")</f>
        <v/>
      </c>
      <c r="N192" s="142" t="str">
        <f t="shared" ref="N192" si="2484">IF($A192="","",IF(M192="","",IF($K$4="Media aritmética",(M192&lt;=$B192)*($G$5/$B$5)+(M192&gt;$B192)*0,IF(ROUND(AVERAGE($C192,$E192,$G192,$I192,$K192,$M192,$O192,$Q192,$S192,$U192,$W192,$Y192,$AA192,$AC192,$AE192),2)-$B192/2&lt;=M192,IF(ROUND(AVERAGE($C192,$E192,$G192,$I192,$K192,$M192,$O192,$Q192,$S192,$U192,$W192,$Y192,$AA192,$AC192,$AE192),2)+$B192/2&gt;M192,($G$5/$B$5),0),0))))</f>
        <v/>
      </c>
      <c r="O192" s="141" t="str">
        <f>IF($O$8="Habilitado",IF($A192="","",ROUND(VLOOKUP($A192,'Presupuesto Consolidado'!#REF!,6,FALSE),2)),"")</f>
        <v/>
      </c>
      <c r="P192" s="142" t="str">
        <f t="shared" ref="P192" si="2485">IF($A192="","",IF(O192="","",IF($K$4="Media aritmética",(O192&lt;=$B192)*($G$5/$B$5)+(O192&gt;$B192)*0,IF(ROUND(AVERAGE($C192,$E192,$G192,$I192,$K192,$M192,$O192,$Q192,$S192,$U192,$W192,$Y192,$AA192,$AC192,$AE192),2)-$B192/2&lt;=O192,IF(ROUND(AVERAGE($C192,$E192,$G192,$I192,$K192,$M192,$O192,$Q192,$S192,$U192,$W192,$Y192,$AA192,$AC192,$AE192),2)+$B192/2&gt;O192,($G$5/$B$5),0),0))))</f>
        <v/>
      </c>
      <c r="Q192" s="141" t="str">
        <f>IF($Q$8="Habilitado",IF($A192="","",ROUND(VLOOKUP($A192,'Presupuesto Consolidado'!#REF!,6,FALSE),2)),"")</f>
        <v/>
      </c>
      <c r="R192" s="142" t="str">
        <f t="shared" ref="R192" si="2486">IF($A192="","",IF(Q192="","",IF($K$4="Media aritmética",(Q192&lt;=$B192)*($G$5/$B$5)+(Q192&gt;$B192)*0,IF(ROUND(AVERAGE($C192,$E192,$G192,$I192,$K192,$M192,$O192,$Q192,$S192,$U192,$W192,$Y192,$AA192,$AC192,$AE192),2)-$B192/2&lt;=Q192,IF(ROUND(AVERAGE($C192,$E192,$G192,$I192,$K192,$M192,$O192,$Q192,$S192,$U192,$W192,$Y192,$AA192,$AC192,$AE192),2)+$B192/2&gt;Q192,($G$5/$B$5),0),0))))</f>
        <v/>
      </c>
      <c r="S192" s="141" t="str">
        <f>IF($S$8="Habilitado",IF($A192="","",ROUND(VLOOKUP($A192,'Presupuesto Consolidado'!#REF!,6,FALSE),2)),"")</f>
        <v/>
      </c>
      <c r="T192" s="142" t="str">
        <f t="shared" ref="T192" si="2487">IF($A192="","",IF(S192="","",IF($K$4="Media aritmética",(S192&lt;=$B192)*($G$5/$B$5)+(S192&gt;$B192)*0,IF(ROUND(AVERAGE($C192,$E192,$G192,$I192,$K192,$M192,$O192,$Q192,$S192,$U192,$W192,$Y192,$AA192,$AC192,$AE192),2)-$B192/2&lt;=S192,IF(ROUND(AVERAGE($C192,$E192,$G192,$I192,$K192,$M192,$O192,$Q192,$S192,$U192,$W192,$Y192,$AA192,$AC192,$AE192),2)+$B192/2&gt;S192,($G$5/$B$5),0),0))))</f>
        <v/>
      </c>
      <c r="U192" s="141" t="str">
        <f>IF($U$8="Habilitado",IF($A192="","",ROUND(VLOOKUP($A192,'Presupuesto Consolidado'!#REF!,6,FALSE),2)),"")</f>
        <v/>
      </c>
      <c r="V192" s="142" t="str">
        <f t="shared" ref="V192" si="2488">IF($A192="","",IF(U192="","",IF($K$4="Media aritmética",(U192&lt;=$B192)*($G$5/$B$5)+(U192&gt;$B192)*0,IF(ROUND(AVERAGE($C192,$E192,$G192,$I192,$K192,$M192,$O192,$Q192,$S192,$U192,$W192,$Y192,$AA192,$AC192,$AE192),2)-$B192/2&lt;=U192,IF(ROUND(AVERAGE($C192,$E192,$G192,$I192,$K192,$M192,$O192,$Q192,$S192,$U192,$W192,$Y192,$AA192,$AC192,$AE192),2)+$B192/2&gt;U192,($G$5/$B$5),0),0))))</f>
        <v/>
      </c>
      <c r="W192" s="141" t="str">
        <f>IF($W$8="Habilitado",IF($A192="","",ROUND(VLOOKUP($A192,'Presupuesto Consolidado'!#REF!,6,FALSE),2)),"")</f>
        <v/>
      </c>
      <c r="X192" s="142" t="str">
        <f t="shared" ref="X192" si="2489">IF($A192="","",IF(W192="","",IF($K$4="Media aritmética",(W192&lt;=$B192)*($G$5/$B$5)+(W192&gt;$B192)*0,IF(ROUND(AVERAGE($C192,$E192,$G192,$I192,$K192,$M192,$O192,$Q192,$S192,$U192,$W192,$Y192,$AA192,$AC192,$AE192),2)-$B192/2&lt;=W192,IF(ROUND(AVERAGE($C192,$E192,$G192,$I192,$K192,$M192,$O192,$Q192,$S192,$U192,$W192,$Y192,$AA192,$AC192,$AE192),2)+$B192/2&gt;W192,($G$5/$B$5),0),0))))</f>
        <v/>
      </c>
      <c r="Y192" s="141" t="str">
        <f>IF($Y$8="Habilitado",IF($A192="","",ROUND(VLOOKUP($A192,'Presupuesto Consolidado'!#REF!,6,FALSE),2)),"")</f>
        <v/>
      </c>
      <c r="Z192" s="142" t="str">
        <f t="shared" ref="Z192" si="2490">IF($A192="","",IF(Y192="","",IF($K$4="Media aritmética",(Y192&lt;=$B192)*($G$5/$B$5)+(Y192&gt;$B192)*0,IF(ROUND(AVERAGE($C192,$E192,$G192,$I192,$K192,$M192,$O192,$Q192,$S192,$U192,$W192,$Y192,$AA192,$AC192,$AE192),2)-$B192/2&lt;=Y192,IF(ROUND(AVERAGE($C192,$E192,$G192,$I192,$K192,$M192,$O192,$Q192,$S192,$U192,$W192,$Y192,$AA192,$AC192,$AE192),2)+$B192/2&gt;Y192,($G$5/$B$5),0),0))))</f>
        <v/>
      </c>
      <c r="AA192" s="141" t="str">
        <f>IF($AA$8="Habilitado",IF($A192="","",ROUND(VLOOKUP($A192,'Presupuesto Consolidado'!#REF!,6,FALSE),2)),"")</f>
        <v/>
      </c>
      <c r="AB192" s="142" t="str">
        <f t="shared" ref="AB192" si="2491">IF($A192="","",IF(AA192="","",IF($K$4="Media aritmética",(AA192&lt;=$B192)*($G$5/$B$5)+(AA192&gt;$B192)*0,IF(ROUND(AVERAGE($C192,$E192,$G192,$I192,$K192,$M192,$O192,$Q192,$S192,$U192,$W192,$Y192,$AA192,$AC192,$AE192),2)-$B192/2&lt;=AA192,IF(ROUND(AVERAGE($C192,$E192,$G192,$I192,$K192,$M192,$O192,$Q192,$S192,$U192,$W192,$Y192,$AA192,$AC192,$AE192),2)+$B192/2&gt;AA192,($G$5/$B$5),0),0))))</f>
        <v/>
      </c>
      <c r="AC192" s="141" t="str">
        <f>IF($AC$8="Habilitado",IF($A192="","",ROUND(VLOOKUP($A192,'Presupuesto Consolidado'!#REF!,6,FALSE),2)),"")</f>
        <v/>
      </c>
      <c r="AD192" s="142" t="str">
        <f t="shared" ref="AD192" si="2492">IF($A192="","",IF(AC192="","",IF($K$4="Media aritmética",(AC192&lt;=$B192)*($G$5/$B$5)+(AC192&gt;$B192)*0,IF(ROUND(AVERAGE($C192,$E192,$G192,$I192,$K192,$M192,$O192,$Q192,$S192,$U192,$W192,$Y192,$AA192,$AC192,$AE192),2)-$B192/2&lt;=AC192,IF(ROUND(AVERAGE($C192,$E192,$G192,$I192,$K192,$M192,$O192,$Q192,$S192,$U192,$W192,$Y192,$AA192,$AC192,$AE192),2)+$B192/2&gt;AC192,($G$5/$B$5),0),0))))</f>
        <v/>
      </c>
      <c r="AE192" s="141" t="str">
        <f>IF($AE$8="Habilitado",IF($A192="","",ROUND(VLOOKUP($A192,'Presupuesto Consolidado'!#REF!,6,FALSE),2)),"")</f>
        <v/>
      </c>
      <c r="AF192" s="142" t="str">
        <f t="shared" ref="AF192" si="2493">IF($A192="","",IF(AE192="","",IF($K$4="Media aritmética",(AE192&lt;=$B192)*($G$5/$B$5)+(AE192&gt;$B192)*0,IF(ROUND(AVERAGE($C192,$E192,$G192,$I192,$K192,$M192,$O192,$Q192,$S192,$U192,$W192,$Y192,$AA192,$AC192,$AE192),2)-$B192/2&lt;=AE192,IF(ROUND(AVERAGE($C192,$E192,$G192,$I192,$K192,$M192,$O192,$Q192,$S192,$U192,$W192,$Y192,$AA192,$AC192,$AE192),2)+$B192/2&gt;AE192,($G$5/$B$5),0),0))))</f>
        <v/>
      </c>
    </row>
    <row r="193" spans="1:32" s="135" customFormat="1" ht="21" customHeight="1">
      <c r="A193" s="132" t="str">
        <f>+'Presupuesto Consolidado'!A227</f>
        <v>13.5.2</v>
      </c>
      <c r="B193" s="140">
        <f t="shared" ref="B193" si="2494">IF(A193="","",IF($K$4="Media aritmética",ROUND(AVERAGE(C193,E193,G193,I193,K193,M193,O193,Q193,S193,U193,W193,Y193,AA193,AC193,AE193),2),ROUND(_xlfn.STDEV.P(C193,E193,G193,I193,K193,M193,O193,Q193,S193,U193,W193,Y193,AA193,AC193,AE193),2)))</f>
        <v>3483000</v>
      </c>
      <c r="C193" s="141">
        <f>IF($C$8="Habilitado",IF($A193="","",ROUND(VLOOKUP($A193,'Presupuesto Consolidado'!$A$9:$F$600,6,FALSE),2)),"")</f>
        <v>3483000</v>
      </c>
      <c r="D193" s="142">
        <f t="shared" ref="D193" si="2495">IF($A193="","",IF(C193="","",IF($K$4="Media aritmética",(C193&lt;=$B193)*($G$5/$B$5)+(C193&gt;$B193)*0,IF(ROUND(AVERAGE($C193,$E193,$G193,$I193,$K193,$M193,$O193,$Q193,$S193,$U193,$W193,$Y193,$AA193,$AC193,$AE193),2)-$B193/2&lt;=C193,IF(ROUND(AVERAGE($C193,$E193,$G193,$I193,$K193,$M193,$O193,$Q193,$S193,$U193,$W193,$Y193,$AA193,$AC193,$AE193),2)+$B193/2&gt;C193,($G$5/$B$5),0),0))))</f>
        <v>0.45714285714285713</v>
      </c>
      <c r="E193" s="141" t="str">
        <f>IF($E$8="Habilitado",IF($A193="","",ROUND(VLOOKUP($A193,'Presupuesto Consolidado'!$I$9:$N$600,6,FALSE),2)),"")</f>
        <v/>
      </c>
      <c r="F193" s="142" t="str">
        <f t="shared" ref="F193" si="2496">IF($A193="","",IF(E193="","",IF($K$4="Media aritmética",(E193&lt;=$B193)*($G$5/$B$5)+(E193&gt;$B193)*0,IF(ROUND(AVERAGE($C193,$E193,$G193,$I193,$K193,$M193,$O193,$Q193,$S193,$U193,$W193,$Y193,$AA193,$AC193,$AE193),2)-$B193/2&lt;=E193,IF(ROUND(AVERAGE($C193,$E193,$G193,$I193,$K193,$M193,$O193,$Q193,$S193,$U193,$W193,$Y193,$AA193,$AC193,$AE193),2)+$B193/2&gt;E193,($G$5/$B$5),0),0))))</f>
        <v/>
      </c>
      <c r="G193" s="141" t="str">
        <f>IF($G$8="Habilitado",IF($A193="","",ROUND(VLOOKUP($A193,'Presupuesto Consolidado'!$Q$9:$V$600,6,FALSE),2)),"")</f>
        <v/>
      </c>
      <c r="H193" s="142" t="str">
        <f t="shared" ref="H193" si="2497">IF($A193="","",IF(G193="","",IF($K$4="Media aritmética",(G193&lt;=$B193)*($G$5/$B$5)+(G193&gt;$B193)*0,IF(ROUND(AVERAGE($C193,$E193,$G193,$I193,$K193,$M193,$O193,$Q193,$S193,$U193,$W193,$Y193,$AA193,$AC193,$AE193),2)-$B193/2&lt;=G193,IF(ROUND(AVERAGE($C193,$E193,$G193,$I193,$K193,$M193,$O193,$Q193,$S193,$U193,$W193,$Y193,$AA193,$AC193,$AE193),2)+$B193/2&gt;G193,($G$5/$B$5),0),0))))</f>
        <v/>
      </c>
      <c r="I193" s="141" t="str">
        <f>IF($I$8="Habilitado",IF($A193="","",ROUND(VLOOKUP($A193,'Presupuesto Consolidado'!$Y$9:$AD$600,6,FALSE),2)),"")</f>
        <v/>
      </c>
      <c r="J193" s="142" t="str">
        <f t="shared" ref="J193" si="2498">IF($A193="","",IF(I193="","",IF($K$4="Media aritmética",(I193&lt;=$B193)*($G$5/$B$5)+(I193&gt;$B193)*0,IF(ROUND(AVERAGE($C193,$E193,$G193,$I193,$K193,$M193,$O193,$Q193,$S193,$U193,$W193,$Y193,$AA193,$AC193,$AE193),2)-$B193/2&lt;=I193,IF(ROUND(AVERAGE($C193,$E193,$G193,$I193,$K193,$M193,$O193,$Q193,$S193,$U193,$W193,$Y193,$AA193,$AC193,$AE193),2)+$B193/2&gt;I193,($G$5/$B$5),0),0))))</f>
        <v/>
      </c>
      <c r="K193" s="141" t="str">
        <f>IF($K$8="Habilitado",IF($A193="","",ROUND(VLOOKUP($A193,'Presupuesto Consolidado'!#REF!,6,FALSE),2)),"")</f>
        <v/>
      </c>
      <c r="L193" s="142" t="str">
        <f t="shared" ref="L193" si="2499">IF($A193="","",IF(K193="","",IF($K$4="Media aritmética",(K193&lt;=$B193)*($G$5/$B$5)+(K193&gt;$B193)*0,IF(ROUND(AVERAGE($C193,$E193,$G193,$I193,$K193,$M193,$O193,$Q193,$S193,$U193,$W193,$Y193,$AA193,$AC193,$AE193),2)-$B193/2&lt;=K193,IF(ROUND(AVERAGE($C193,$E193,$G193,$I193,$K193,$M193,$O193,$Q193,$S193,$U193,$W193,$Y193,$AA193,$AC193,$AE193),2)+$B193/2&gt;K193,($G$5/$B$5),0),0))))</f>
        <v/>
      </c>
      <c r="M193" s="141" t="str">
        <f>IF($M$8="Habilitado",IF($A193="","",ROUND(VLOOKUP($A193,'Presupuesto Consolidado'!#REF!,6,FALSE),2)),"")</f>
        <v/>
      </c>
      <c r="N193" s="142" t="str">
        <f t="shared" ref="N193" si="2500">IF($A193="","",IF(M193="","",IF($K$4="Media aritmética",(M193&lt;=$B193)*($G$5/$B$5)+(M193&gt;$B193)*0,IF(ROUND(AVERAGE($C193,$E193,$G193,$I193,$K193,$M193,$O193,$Q193,$S193,$U193,$W193,$Y193,$AA193,$AC193,$AE193),2)-$B193/2&lt;=M193,IF(ROUND(AVERAGE($C193,$E193,$G193,$I193,$K193,$M193,$O193,$Q193,$S193,$U193,$W193,$Y193,$AA193,$AC193,$AE193),2)+$B193/2&gt;M193,($G$5/$B$5),0),0))))</f>
        <v/>
      </c>
      <c r="O193" s="141" t="str">
        <f>IF($O$8="Habilitado",IF($A193="","",ROUND(VLOOKUP($A193,'Presupuesto Consolidado'!#REF!,6,FALSE),2)),"")</f>
        <v/>
      </c>
      <c r="P193" s="142" t="str">
        <f t="shared" ref="P193" si="2501">IF($A193="","",IF(O193="","",IF($K$4="Media aritmética",(O193&lt;=$B193)*($G$5/$B$5)+(O193&gt;$B193)*0,IF(ROUND(AVERAGE($C193,$E193,$G193,$I193,$K193,$M193,$O193,$Q193,$S193,$U193,$W193,$Y193,$AA193,$AC193,$AE193),2)-$B193/2&lt;=O193,IF(ROUND(AVERAGE($C193,$E193,$G193,$I193,$K193,$M193,$O193,$Q193,$S193,$U193,$W193,$Y193,$AA193,$AC193,$AE193),2)+$B193/2&gt;O193,($G$5/$B$5),0),0))))</f>
        <v/>
      </c>
      <c r="Q193" s="141" t="str">
        <f>IF($Q$8="Habilitado",IF($A193="","",ROUND(VLOOKUP($A193,'Presupuesto Consolidado'!#REF!,6,FALSE),2)),"")</f>
        <v/>
      </c>
      <c r="R193" s="142" t="str">
        <f t="shared" ref="R193" si="2502">IF($A193="","",IF(Q193="","",IF($K$4="Media aritmética",(Q193&lt;=$B193)*($G$5/$B$5)+(Q193&gt;$B193)*0,IF(ROUND(AVERAGE($C193,$E193,$G193,$I193,$K193,$M193,$O193,$Q193,$S193,$U193,$W193,$Y193,$AA193,$AC193,$AE193),2)-$B193/2&lt;=Q193,IF(ROUND(AVERAGE($C193,$E193,$G193,$I193,$K193,$M193,$O193,$Q193,$S193,$U193,$W193,$Y193,$AA193,$AC193,$AE193),2)+$B193/2&gt;Q193,($G$5/$B$5),0),0))))</f>
        <v/>
      </c>
      <c r="S193" s="141" t="str">
        <f>IF($S$8="Habilitado",IF($A193="","",ROUND(VLOOKUP($A193,'Presupuesto Consolidado'!#REF!,6,FALSE),2)),"")</f>
        <v/>
      </c>
      <c r="T193" s="142" t="str">
        <f t="shared" ref="T193" si="2503">IF($A193="","",IF(S193="","",IF($K$4="Media aritmética",(S193&lt;=$B193)*($G$5/$B$5)+(S193&gt;$B193)*0,IF(ROUND(AVERAGE($C193,$E193,$G193,$I193,$K193,$M193,$O193,$Q193,$S193,$U193,$W193,$Y193,$AA193,$AC193,$AE193),2)-$B193/2&lt;=S193,IF(ROUND(AVERAGE($C193,$E193,$G193,$I193,$K193,$M193,$O193,$Q193,$S193,$U193,$W193,$Y193,$AA193,$AC193,$AE193),2)+$B193/2&gt;S193,($G$5/$B$5),0),0))))</f>
        <v/>
      </c>
      <c r="U193" s="141" t="str">
        <f>IF($U$8="Habilitado",IF($A193="","",ROUND(VLOOKUP($A193,'Presupuesto Consolidado'!#REF!,6,FALSE),2)),"")</f>
        <v/>
      </c>
      <c r="V193" s="142" t="str">
        <f t="shared" ref="V193" si="2504">IF($A193="","",IF(U193="","",IF($K$4="Media aritmética",(U193&lt;=$B193)*($G$5/$B$5)+(U193&gt;$B193)*0,IF(ROUND(AVERAGE($C193,$E193,$G193,$I193,$K193,$M193,$O193,$Q193,$S193,$U193,$W193,$Y193,$AA193,$AC193,$AE193),2)-$B193/2&lt;=U193,IF(ROUND(AVERAGE($C193,$E193,$G193,$I193,$K193,$M193,$O193,$Q193,$S193,$U193,$W193,$Y193,$AA193,$AC193,$AE193),2)+$B193/2&gt;U193,($G$5/$B$5),0),0))))</f>
        <v/>
      </c>
      <c r="W193" s="141" t="str">
        <f>IF($W$8="Habilitado",IF($A193="","",ROUND(VLOOKUP($A193,'Presupuesto Consolidado'!#REF!,6,FALSE),2)),"")</f>
        <v/>
      </c>
      <c r="X193" s="142" t="str">
        <f t="shared" ref="X193" si="2505">IF($A193="","",IF(W193="","",IF($K$4="Media aritmética",(W193&lt;=$B193)*($G$5/$B$5)+(W193&gt;$B193)*0,IF(ROUND(AVERAGE($C193,$E193,$G193,$I193,$K193,$M193,$O193,$Q193,$S193,$U193,$W193,$Y193,$AA193,$AC193,$AE193),2)-$B193/2&lt;=W193,IF(ROUND(AVERAGE($C193,$E193,$G193,$I193,$K193,$M193,$O193,$Q193,$S193,$U193,$W193,$Y193,$AA193,$AC193,$AE193),2)+$B193/2&gt;W193,($G$5/$B$5),0),0))))</f>
        <v/>
      </c>
      <c r="Y193" s="141" t="str">
        <f>IF($Y$8="Habilitado",IF($A193="","",ROUND(VLOOKUP($A193,'Presupuesto Consolidado'!#REF!,6,FALSE),2)),"")</f>
        <v/>
      </c>
      <c r="Z193" s="142" t="str">
        <f t="shared" ref="Z193" si="2506">IF($A193="","",IF(Y193="","",IF($K$4="Media aritmética",(Y193&lt;=$B193)*($G$5/$B$5)+(Y193&gt;$B193)*0,IF(ROUND(AVERAGE($C193,$E193,$G193,$I193,$K193,$M193,$O193,$Q193,$S193,$U193,$W193,$Y193,$AA193,$AC193,$AE193),2)-$B193/2&lt;=Y193,IF(ROUND(AVERAGE($C193,$E193,$G193,$I193,$K193,$M193,$O193,$Q193,$S193,$U193,$W193,$Y193,$AA193,$AC193,$AE193),2)+$B193/2&gt;Y193,($G$5/$B$5),0),0))))</f>
        <v/>
      </c>
      <c r="AA193" s="141" t="str">
        <f>IF($AA$8="Habilitado",IF($A193="","",ROUND(VLOOKUP($A193,'Presupuesto Consolidado'!#REF!,6,FALSE),2)),"")</f>
        <v/>
      </c>
      <c r="AB193" s="142" t="str">
        <f t="shared" ref="AB193" si="2507">IF($A193="","",IF(AA193="","",IF($K$4="Media aritmética",(AA193&lt;=$B193)*($G$5/$B$5)+(AA193&gt;$B193)*0,IF(ROUND(AVERAGE($C193,$E193,$G193,$I193,$K193,$M193,$O193,$Q193,$S193,$U193,$W193,$Y193,$AA193,$AC193,$AE193),2)-$B193/2&lt;=AA193,IF(ROUND(AVERAGE($C193,$E193,$G193,$I193,$K193,$M193,$O193,$Q193,$S193,$U193,$W193,$Y193,$AA193,$AC193,$AE193),2)+$B193/2&gt;AA193,($G$5/$B$5),0),0))))</f>
        <v/>
      </c>
      <c r="AC193" s="141" t="str">
        <f>IF($AC$8="Habilitado",IF($A193="","",ROUND(VLOOKUP($A193,'Presupuesto Consolidado'!#REF!,6,FALSE),2)),"")</f>
        <v/>
      </c>
      <c r="AD193" s="142" t="str">
        <f t="shared" ref="AD193" si="2508">IF($A193="","",IF(AC193="","",IF($K$4="Media aritmética",(AC193&lt;=$B193)*($G$5/$B$5)+(AC193&gt;$B193)*0,IF(ROUND(AVERAGE($C193,$E193,$G193,$I193,$K193,$M193,$O193,$Q193,$S193,$U193,$W193,$Y193,$AA193,$AC193,$AE193),2)-$B193/2&lt;=AC193,IF(ROUND(AVERAGE($C193,$E193,$G193,$I193,$K193,$M193,$O193,$Q193,$S193,$U193,$W193,$Y193,$AA193,$AC193,$AE193),2)+$B193/2&gt;AC193,($G$5/$B$5),0),0))))</f>
        <v/>
      </c>
      <c r="AE193" s="141" t="str">
        <f>IF($AE$8="Habilitado",IF($A193="","",ROUND(VLOOKUP($A193,'Presupuesto Consolidado'!#REF!,6,FALSE),2)),"")</f>
        <v/>
      </c>
      <c r="AF193" s="142" t="str">
        <f t="shared" ref="AF193" si="2509">IF($A193="","",IF(AE193="","",IF($K$4="Media aritmética",(AE193&lt;=$B193)*($G$5/$B$5)+(AE193&gt;$B193)*0,IF(ROUND(AVERAGE($C193,$E193,$G193,$I193,$K193,$M193,$O193,$Q193,$S193,$U193,$W193,$Y193,$AA193,$AC193,$AE193),2)-$B193/2&lt;=AE193,IF(ROUND(AVERAGE($C193,$E193,$G193,$I193,$K193,$M193,$O193,$Q193,$S193,$U193,$W193,$Y193,$AA193,$AC193,$AE193),2)+$B193/2&gt;AE193,($G$5/$B$5),0),0))))</f>
        <v/>
      </c>
    </row>
    <row r="194" spans="1:32" s="135" customFormat="1" ht="21" customHeight="1">
      <c r="A194" s="132" t="str">
        <f>+'Presupuesto Consolidado'!A228</f>
        <v>13.5.3</v>
      </c>
      <c r="B194" s="140">
        <f t="shared" ref="B194" si="2510">IF(A194="","",IF($K$4="Media aritmética",ROUND(AVERAGE(C194,E194,G194,I194,K194,M194,O194,Q194,S194,U194,W194,Y194,AA194,AC194,AE194),2),ROUND(_xlfn.STDEV.P(C194,E194,G194,I194,K194,M194,O194,Q194,S194,U194,W194,Y194,AA194,AC194,AE194),2)))</f>
        <v>4542300</v>
      </c>
      <c r="C194" s="141">
        <f>IF($C$8="Habilitado",IF($A194="","",ROUND(VLOOKUP($A194,'Presupuesto Consolidado'!$A$9:$F$600,6,FALSE),2)),"")</f>
        <v>4542300</v>
      </c>
      <c r="D194" s="142">
        <f t="shared" ref="D194" si="2511">IF($A194="","",IF(C194="","",IF($K$4="Media aritmética",(C194&lt;=$B194)*($G$5/$B$5)+(C194&gt;$B194)*0,IF(ROUND(AVERAGE($C194,$E194,$G194,$I194,$K194,$M194,$O194,$Q194,$S194,$U194,$W194,$Y194,$AA194,$AC194,$AE194),2)-$B194/2&lt;=C194,IF(ROUND(AVERAGE($C194,$E194,$G194,$I194,$K194,$M194,$O194,$Q194,$S194,$U194,$W194,$Y194,$AA194,$AC194,$AE194),2)+$B194/2&gt;C194,($G$5/$B$5),0),0))))</f>
        <v>0.45714285714285713</v>
      </c>
      <c r="E194" s="141" t="str">
        <f>IF($E$8="Habilitado",IF($A194="","",ROUND(VLOOKUP($A194,'Presupuesto Consolidado'!$I$9:$N$600,6,FALSE),2)),"")</f>
        <v/>
      </c>
      <c r="F194" s="142" t="str">
        <f t="shared" ref="F194" si="2512">IF($A194="","",IF(E194="","",IF($K$4="Media aritmética",(E194&lt;=$B194)*($G$5/$B$5)+(E194&gt;$B194)*0,IF(ROUND(AVERAGE($C194,$E194,$G194,$I194,$K194,$M194,$O194,$Q194,$S194,$U194,$W194,$Y194,$AA194,$AC194,$AE194),2)-$B194/2&lt;=E194,IF(ROUND(AVERAGE($C194,$E194,$G194,$I194,$K194,$M194,$O194,$Q194,$S194,$U194,$W194,$Y194,$AA194,$AC194,$AE194),2)+$B194/2&gt;E194,($G$5/$B$5),0),0))))</f>
        <v/>
      </c>
      <c r="G194" s="141" t="str">
        <f>IF($G$8="Habilitado",IF($A194="","",ROUND(VLOOKUP($A194,'Presupuesto Consolidado'!$Q$9:$V$600,6,FALSE),2)),"")</f>
        <v/>
      </c>
      <c r="H194" s="142" t="str">
        <f t="shared" ref="H194" si="2513">IF($A194="","",IF(G194="","",IF($K$4="Media aritmética",(G194&lt;=$B194)*($G$5/$B$5)+(G194&gt;$B194)*0,IF(ROUND(AVERAGE($C194,$E194,$G194,$I194,$K194,$M194,$O194,$Q194,$S194,$U194,$W194,$Y194,$AA194,$AC194,$AE194),2)-$B194/2&lt;=G194,IF(ROUND(AVERAGE($C194,$E194,$G194,$I194,$K194,$M194,$O194,$Q194,$S194,$U194,$W194,$Y194,$AA194,$AC194,$AE194),2)+$B194/2&gt;G194,($G$5/$B$5),0),0))))</f>
        <v/>
      </c>
      <c r="I194" s="141" t="str">
        <f>IF($I$8="Habilitado",IF($A194="","",ROUND(VLOOKUP($A194,'Presupuesto Consolidado'!$Y$9:$AD$600,6,FALSE),2)),"")</f>
        <v/>
      </c>
      <c r="J194" s="142" t="str">
        <f t="shared" ref="J194" si="2514">IF($A194="","",IF(I194="","",IF($K$4="Media aritmética",(I194&lt;=$B194)*($G$5/$B$5)+(I194&gt;$B194)*0,IF(ROUND(AVERAGE($C194,$E194,$G194,$I194,$K194,$M194,$O194,$Q194,$S194,$U194,$W194,$Y194,$AA194,$AC194,$AE194),2)-$B194/2&lt;=I194,IF(ROUND(AVERAGE($C194,$E194,$G194,$I194,$K194,$M194,$O194,$Q194,$S194,$U194,$W194,$Y194,$AA194,$AC194,$AE194),2)+$B194/2&gt;I194,($G$5/$B$5),0),0))))</f>
        <v/>
      </c>
      <c r="K194" s="141" t="str">
        <f>IF($K$8="Habilitado",IF($A194="","",ROUND(VLOOKUP($A194,'Presupuesto Consolidado'!#REF!,6,FALSE),2)),"")</f>
        <v/>
      </c>
      <c r="L194" s="142" t="str">
        <f t="shared" ref="L194" si="2515">IF($A194="","",IF(K194="","",IF($K$4="Media aritmética",(K194&lt;=$B194)*($G$5/$B$5)+(K194&gt;$B194)*0,IF(ROUND(AVERAGE($C194,$E194,$G194,$I194,$K194,$M194,$O194,$Q194,$S194,$U194,$W194,$Y194,$AA194,$AC194,$AE194),2)-$B194/2&lt;=K194,IF(ROUND(AVERAGE($C194,$E194,$G194,$I194,$K194,$M194,$O194,$Q194,$S194,$U194,$W194,$Y194,$AA194,$AC194,$AE194),2)+$B194/2&gt;K194,($G$5/$B$5),0),0))))</f>
        <v/>
      </c>
      <c r="M194" s="141" t="str">
        <f>IF($M$8="Habilitado",IF($A194="","",ROUND(VLOOKUP($A194,'Presupuesto Consolidado'!#REF!,6,FALSE),2)),"")</f>
        <v/>
      </c>
      <c r="N194" s="142" t="str">
        <f t="shared" ref="N194" si="2516">IF($A194="","",IF(M194="","",IF($K$4="Media aritmética",(M194&lt;=$B194)*($G$5/$B$5)+(M194&gt;$B194)*0,IF(ROUND(AVERAGE($C194,$E194,$G194,$I194,$K194,$M194,$O194,$Q194,$S194,$U194,$W194,$Y194,$AA194,$AC194,$AE194),2)-$B194/2&lt;=M194,IF(ROUND(AVERAGE($C194,$E194,$G194,$I194,$K194,$M194,$O194,$Q194,$S194,$U194,$W194,$Y194,$AA194,$AC194,$AE194),2)+$B194/2&gt;M194,($G$5/$B$5),0),0))))</f>
        <v/>
      </c>
      <c r="O194" s="141" t="str">
        <f>IF($O$8="Habilitado",IF($A194="","",ROUND(VLOOKUP($A194,'Presupuesto Consolidado'!#REF!,6,FALSE),2)),"")</f>
        <v/>
      </c>
      <c r="P194" s="142" t="str">
        <f t="shared" ref="P194" si="2517">IF($A194="","",IF(O194="","",IF($K$4="Media aritmética",(O194&lt;=$B194)*($G$5/$B$5)+(O194&gt;$B194)*0,IF(ROUND(AVERAGE($C194,$E194,$G194,$I194,$K194,$M194,$O194,$Q194,$S194,$U194,$W194,$Y194,$AA194,$AC194,$AE194),2)-$B194/2&lt;=O194,IF(ROUND(AVERAGE($C194,$E194,$G194,$I194,$K194,$M194,$O194,$Q194,$S194,$U194,$W194,$Y194,$AA194,$AC194,$AE194),2)+$B194/2&gt;O194,($G$5/$B$5),0),0))))</f>
        <v/>
      </c>
      <c r="Q194" s="141" t="str">
        <f>IF($Q$8="Habilitado",IF($A194="","",ROUND(VLOOKUP($A194,'Presupuesto Consolidado'!#REF!,6,FALSE),2)),"")</f>
        <v/>
      </c>
      <c r="R194" s="142" t="str">
        <f t="shared" ref="R194" si="2518">IF($A194="","",IF(Q194="","",IF($K$4="Media aritmética",(Q194&lt;=$B194)*($G$5/$B$5)+(Q194&gt;$B194)*0,IF(ROUND(AVERAGE($C194,$E194,$G194,$I194,$K194,$M194,$O194,$Q194,$S194,$U194,$W194,$Y194,$AA194,$AC194,$AE194),2)-$B194/2&lt;=Q194,IF(ROUND(AVERAGE($C194,$E194,$G194,$I194,$K194,$M194,$O194,$Q194,$S194,$U194,$W194,$Y194,$AA194,$AC194,$AE194),2)+$B194/2&gt;Q194,($G$5/$B$5),0),0))))</f>
        <v/>
      </c>
      <c r="S194" s="141" t="str">
        <f>IF($S$8="Habilitado",IF($A194="","",ROUND(VLOOKUP($A194,'Presupuesto Consolidado'!#REF!,6,FALSE),2)),"")</f>
        <v/>
      </c>
      <c r="T194" s="142" t="str">
        <f t="shared" ref="T194" si="2519">IF($A194="","",IF(S194="","",IF($K$4="Media aritmética",(S194&lt;=$B194)*($G$5/$B$5)+(S194&gt;$B194)*0,IF(ROUND(AVERAGE($C194,$E194,$G194,$I194,$K194,$M194,$O194,$Q194,$S194,$U194,$W194,$Y194,$AA194,$AC194,$AE194),2)-$B194/2&lt;=S194,IF(ROUND(AVERAGE($C194,$E194,$G194,$I194,$K194,$M194,$O194,$Q194,$S194,$U194,$W194,$Y194,$AA194,$AC194,$AE194),2)+$B194/2&gt;S194,($G$5/$B$5),0),0))))</f>
        <v/>
      </c>
      <c r="U194" s="141" t="str">
        <f>IF($U$8="Habilitado",IF($A194="","",ROUND(VLOOKUP($A194,'Presupuesto Consolidado'!#REF!,6,FALSE),2)),"")</f>
        <v/>
      </c>
      <c r="V194" s="142" t="str">
        <f t="shared" ref="V194" si="2520">IF($A194="","",IF(U194="","",IF($K$4="Media aritmética",(U194&lt;=$B194)*($G$5/$B$5)+(U194&gt;$B194)*0,IF(ROUND(AVERAGE($C194,$E194,$G194,$I194,$K194,$M194,$O194,$Q194,$S194,$U194,$W194,$Y194,$AA194,$AC194,$AE194),2)-$B194/2&lt;=U194,IF(ROUND(AVERAGE($C194,$E194,$G194,$I194,$K194,$M194,$O194,$Q194,$S194,$U194,$W194,$Y194,$AA194,$AC194,$AE194),2)+$B194/2&gt;U194,($G$5/$B$5),0),0))))</f>
        <v/>
      </c>
      <c r="W194" s="141" t="str">
        <f>IF($W$8="Habilitado",IF($A194="","",ROUND(VLOOKUP($A194,'Presupuesto Consolidado'!#REF!,6,FALSE),2)),"")</f>
        <v/>
      </c>
      <c r="X194" s="142" t="str">
        <f t="shared" ref="X194" si="2521">IF($A194="","",IF(W194="","",IF($K$4="Media aritmética",(W194&lt;=$B194)*($G$5/$B$5)+(W194&gt;$B194)*0,IF(ROUND(AVERAGE($C194,$E194,$G194,$I194,$K194,$M194,$O194,$Q194,$S194,$U194,$W194,$Y194,$AA194,$AC194,$AE194),2)-$B194/2&lt;=W194,IF(ROUND(AVERAGE($C194,$E194,$G194,$I194,$K194,$M194,$O194,$Q194,$S194,$U194,$W194,$Y194,$AA194,$AC194,$AE194),2)+$B194/2&gt;W194,($G$5/$B$5),0),0))))</f>
        <v/>
      </c>
      <c r="Y194" s="141" t="str">
        <f>IF($Y$8="Habilitado",IF($A194="","",ROUND(VLOOKUP($A194,'Presupuesto Consolidado'!#REF!,6,FALSE),2)),"")</f>
        <v/>
      </c>
      <c r="Z194" s="142" t="str">
        <f t="shared" ref="Z194" si="2522">IF($A194="","",IF(Y194="","",IF($K$4="Media aritmética",(Y194&lt;=$B194)*($G$5/$B$5)+(Y194&gt;$B194)*0,IF(ROUND(AVERAGE($C194,$E194,$G194,$I194,$K194,$M194,$O194,$Q194,$S194,$U194,$W194,$Y194,$AA194,$AC194,$AE194),2)-$B194/2&lt;=Y194,IF(ROUND(AVERAGE($C194,$E194,$G194,$I194,$K194,$M194,$O194,$Q194,$S194,$U194,$W194,$Y194,$AA194,$AC194,$AE194),2)+$B194/2&gt;Y194,($G$5/$B$5),0),0))))</f>
        <v/>
      </c>
      <c r="AA194" s="141" t="str">
        <f>IF($AA$8="Habilitado",IF($A194="","",ROUND(VLOOKUP($A194,'Presupuesto Consolidado'!#REF!,6,FALSE),2)),"")</f>
        <v/>
      </c>
      <c r="AB194" s="142" t="str">
        <f t="shared" ref="AB194" si="2523">IF($A194="","",IF(AA194="","",IF($K$4="Media aritmética",(AA194&lt;=$B194)*($G$5/$B$5)+(AA194&gt;$B194)*0,IF(ROUND(AVERAGE($C194,$E194,$G194,$I194,$K194,$M194,$O194,$Q194,$S194,$U194,$W194,$Y194,$AA194,$AC194,$AE194),2)-$B194/2&lt;=AA194,IF(ROUND(AVERAGE($C194,$E194,$G194,$I194,$K194,$M194,$O194,$Q194,$S194,$U194,$W194,$Y194,$AA194,$AC194,$AE194),2)+$B194/2&gt;AA194,($G$5/$B$5),0),0))))</f>
        <v/>
      </c>
      <c r="AC194" s="141" t="str">
        <f>IF($AC$8="Habilitado",IF($A194="","",ROUND(VLOOKUP($A194,'Presupuesto Consolidado'!#REF!,6,FALSE),2)),"")</f>
        <v/>
      </c>
      <c r="AD194" s="142" t="str">
        <f t="shared" ref="AD194" si="2524">IF($A194="","",IF(AC194="","",IF($K$4="Media aritmética",(AC194&lt;=$B194)*($G$5/$B$5)+(AC194&gt;$B194)*0,IF(ROUND(AVERAGE($C194,$E194,$G194,$I194,$K194,$M194,$O194,$Q194,$S194,$U194,$W194,$Y194,$AA194,$AC194,$AE194),2)-$B194/2&lt;=AC194,IF(ROUND(AVERAGE($C194,$E194,$G194,$I194,$K194,$M194,$O194,$Q194,$S194,$U194,$W194,$Y194,$AA194,$AC194,$AE194),2)+$B194/2&gt;AC194,($G$5/$B$5),0),0))))</f>
        <v/>
      </c>
      <c r="AE194" s="141" t="str">
        <f>IF($AE$8="Habilitado",IF($A194="","",ROUND(VLOOKUP($A194,'Presupuesto Consolidado'!#REF!,6,FALSE),2)),"")</f>
        <v/>
      </c>
      <c r="AF194" s="142" t="str">
        <f t="shared" ref="AF194" si="2525">IF($A194="","",IF(AE194="","",IF($K$4="Media aritmética",(AE194&lt;=$B194)*($G$5/$B$5)+(AE194&gt;$B194)*0,IF(ROUND(AVERAGE($C194,$E194,$G194,$I194,$K194,$M194,$O194,$Q194,$S194,$U194,$W194,$Y194,$AA194,$AC194,$AE194),2)-$B194/2&lt;=AE194,IF(ROUND(AVERAGE($C194,$E194,$G194,$I194,$K194,$M194,$O194,$Q194,$S194,$U194,$W194,$Y194,$AA194,$AC194,$AE194),2)+$B194/2&gt;AE194,($G$5/$B$5),0),0))))</f>
        <v/>
      </c>
    </row>
    <row r="195" spans="1:32" s="135" customFormat="1" ht="21" customHeight="1">
      <c r="A195" s="132" t="str">
        <f>+'Presupuesto Consolidado'!A230</f>
        <v>13.6.1</v>
      </c>
      <c r="B195" s="140">
        <f t="shared" ref="B195" si="2526">IF(A195="","",IF($K$4="Media aritmética",ROUND(AVERAGE(C195,E195,G195,I195,K195,M195,O195,Q195,S195,U195,W195,Y195,AA195,AC195,AE195),2),ROUND(_xlfn.STDEV.P(C195,E195,G195,I195,K195,M195,O195,Q195,S195,U195,W195,Y195,AA195,AC195,AE195),2)))</f>
        <v>4249190</v>
      </c>
      <c r="C195" s="141">
        <f>IF($C$8="Habilitado",IF($A195="","",ROUND(VLOOKUP($A195,'Presupuesto Consolidado'!$A$9:$F$600,6,FALSE),2)),"")</f>
        <v>4249190</v>
      </c>
      <c r="D195" s="142">
        <f t="shared" ref="D195" si="2527">IF($A195="","",IF(C195="","",IF($K$4="Media aritmética",(C195&lt;=$B195)*($G$5/$B$5)+(C195&gt;$B195)*0,IF(ROUND(AVERAGE($C195,$E195,$G195,$I195,$K195,$M195,$O195,$Q195,$S195,$U195,$W195,$Y195,$AA195,$AC195,$AE195),2)-$B195/2&lt;=C195,IF(ROUND(AVERAGE($C195,$E195,$G195,$I195,$K195,$M195,$O195,$Q195,$S195,$U195,$W195,$Y195,$AA195,$AC195,$AE195),2)+$B195/2&gt;C195,($G$5/$B$5),0),0))))</f>
        <v>0.45714285714285713</v>
      </c>
      <c r="E195" s="141" t="str">
        <f>IF($E$8="Habilitado",IF($A195="","",ROUND(VLOOKUP($A195,'Presupuesto Consolidado'!$I$9:$N$600,6,FALSE),2)),"")</f>
        <v/>
      </c>
      <c r="F195" s="142" t="str">
        <f t="shared" ref="F195" si="2528">IF($A195="","",IF(E195="","",IF($K$4="Media aritmética",(E195&lt;=$B195)*($G$5/$B$5)+(E195&gt;$B195)*0,IF(ROUND(AVERAGE($C195,$E195,$G195,$I195,$K195,$M195,$O195,$Q195,$S195,$U195,$W195,$Y195,$AA195,$AC195,$AE195),2)-$B195/2&lt;=E195,IF(ROUND(AVERAGE($C195,$E195,$G195,$I195,$K195,$M195,$O195,$Q195,$S195,$U195,$W195,$Y195,$AA195,$AC195,$AE195),2)+$B195/2&gt;E195,($G$5/$B$5),0),0))))</f>
        <v/>
      </c>
      <c r="G195" s="141" t="str">
        <f>IF($G$8="Habilitado",IF($A195="","",ROUND(VLOOKUP($A195,'Presupuesto Consolidado'!$Q$9:$V$600,6,FALSE),2)),"")</f>
        <v/>
      </c>
      <c r="H195" s="142" t="str">
        <f t="shared" ref="H195" si="2529">IF($A195="","",IF(G195="","",IF($K$4="Media aritmética",(G195&lt;=$B195)*($G$5/$B$5)+(G195&gt;$B195)*0,IF(ROUND(AVERAGE($C195,$E195,$G195,$I195,$K195,$M195,$O195,$Q195,$S195,$U195,$W195,$Y195,$AA195,$AC195,$AE195),2)-$B195/2&lt;=G195,IF(ROUND(AVERAGE($C195,$E195,$G195,$I195,$K195,$M195,$O195,$Q195,$S195,$U195,$W195,$Y195,$AA195,$AC195,$AE195),2)+$B195/2&gt;G195,($G$5/$B$5),0),0))))</f>
        <v/>
      </c>
      <c r="I195" s="141" t="str">
        <f>IF($I$8="Habilitado",IF($A195="","",ROUND(VLOOKUP($A195,'Presupuesto Consolidado'!$Y$9:$AD$600,6,FALSE),2)),"")</f>
        <v/>
      </c>
      <c r="J195" s="142" t="str">
        <f t="shared" ref="J195" si="2530">IF($A195="","",IF(I195="","",IF($K$4="Media aritmética",(I195&lt;=$B195)*($G$5/$B$5)+(I195&gt;$B195)*0,IF(ROUND(AVERAGE($C195,$E195,$G195,$I195,$K195,$M195,$O195,$Q195,$S195,$U195,$W195,$Y195,$AA195,$AC195,$AE195),2)-$B195/2&lt;=I195,IF(ROUND(AVERAGE($C195,$E195,$G195,$I195,$K195,$M195,$O195,$Q195,$S195,$U195,$W195,$Y195,$AA195,$AC195,$AE195),2)+$B195/2&gt;I195,($G$5/$B$5),0),0))))</f>
        <v/>
      </c>
      <c r="K195" s="141" t="str">
        <f>IF($K$8="Habilitado",IF($A195="","",ROUND(VLOOKUP($A195,'Presupuesto Consolidado'!#REF!,6,FALSE),2)),"")</f>
        <v/>
      </c>
      <c r="L195" s="142" t="str">
        <f t="shared" ref="L195" si="2531">IF($A195="","",IF(K195="","",IF($K$4="Media aritmética",(K195&lt;=$B195)*($G$5/$B$5)+(K195&gt;$B195)*0,IF(ROUND(AVERAGE($C195,$E195,$G195,$I195,$K195,$M195,$O195,$Q195,$S195,$U195,$W195,$Y195,$AA195,$AC195,$AE195),2)-$B195/2&lt;=K195,IF(ROUND(AVERAGE($C195,$E195,$G195,$I195,$K195,$M195,$O195,$Q195,$S195,$U195,$W195,$Y195,$AA195,$AC195,$AE195),2)+$B195/2&gt;K195,($G$5/$B$5),0),0))))</f>
        <v/>
      </c>
      <c r="M195" s="141" t="str">
        <f>IF($M$8="Habilitado",IF($A195="","",ROUND(VLOOKUP($A195,'Presupuesto Consolidado'!#REF!,6,FALSE),2)),"")</f>
        <v/>
      </c>
      <c r="N195" s="142" t="str">
        <f t="shared" ref="N195" si="2532">IF($A195="","",IF(M195="","",IF($K$4="Media aritmética",(M195&lt;=$B195)*($G$5/$B$5)+(M195&gt;$B195)*0,IF(ROUND(AVERAGE($C195,$E195,$G195,$I195,$K195,$M195,$O195,$Q195,$S195,$U195,$W195,$Y195,$AA195,$AC195,$AE195),2)-$B195/2&lt;=M195,IF(ROUND(AVERAGE($C195,$E195,$G195,$I195,$K195,$M195,$O195,$Q195,$S195,$U195,$W195,$Y195,$AA195,$AC195,$AE195),2)+$B195/2&gt;M195,($G$5/$B$5),0),0))))</f>
        <v/>
      </c>
      <c r="O195" s="141" t="str">
        <f>IF($O$8="Habilitado",IF($A195="","",ROUND(VLOOKUP($A195,'Presupuesto Consolidado'!#REF!,6,FALSE),2)),"")</f>
        <v/>
      </c>
      <c r="P195" s="142" t="str">
        <f t="shared" ref="P195" si="2533">IF($A195="","",IF(O195="","",IF($K$4="Media aritmética",(O195&lt;=$B195)*($G$5/$B$5)+(O195&gt;$B195)*0,IF(ROUND(AVERAGE($C195,$E195,$G195,$I195,$K195,$M195,$O195,$Q195,$S195,$U195,$W195,$Y195,$AA195,$AC195,$AE195),2)-$B195/2&lt;=O195,IF(ROUND(AVERAGE($C195,$E195,$G195,$I195,$K195,$M195,$O195,$Q195,$S195,$U195,$W195,$Y195,$AA195,$AC195,$AE195),2)+$B195/2&gt;O195,($G$5/$B$5),0),0))))</f>
        <v/>
      </c>
      <c r="Q195" s="141" t="str">
        <f>IF($Q$8="Habilitado",IF($A195="","",ROUND(VLOOKUP($A195,'Presupuesto Consolidado'!#REF!,6,FALSE),2)),"")</f>
        <v/>
      </c>
      <c r="R195" s="142" t="str">
        <f t="shared" ref="R195" si="2534">IF($A195="","",IF(Q195="","",IF($K$4="Media aritmética",(Q195&lt;=$B195)*($G$5/$B$5)+(Q195&gt;$B195)*0,IF(ROUND(AVERAGE($C195,$E195,$G195,$I195,$K195,$M195,$O195,$Q195,$S195,$U195,$W195,$Y195,$AA195,$AC195,$AE195),2)-$B195/2&lt;=Q195,IF(ROUND(AVERAGE($C195,$E195,$G195,$I195,$K195,$M195,$O195,$Q195,$S195,$U195,$W195,$Y195,$AA195,$AC195,$AE195),2)+$B195/2&gt;Q195,($G$5/$B$5),0),0))))</f>
        <v/>
      </c>
      <c r="S195" s="141" t="str">
        <f>IF($S$8="Habilitado",IF($A195="","",ROUND(VLOOKUP($A195,'Presupuesto Consolidado'!#REF!,6,FALSE),2)),"")</f>
        <v/>
      </c>
      <c r="T195" s="142" t="str">
        <f t="shared" ref="T195" si="2535">IF($A195="","",IF(S195="","",IF($K$4="Media aritmética",(S195&lt;=$B195)*($G$5/$B$5)+(S195&gt;$B195)*0,IF(ROUND(AVERAGE($C195,$E195,$G195,$I195,$K195,$M195,$O195,$Q195,$S195,$U195,$W195,$Y195,$AA195,$AC195,$AE195),2)-$B195/2&lt;=S195,IF(ROUND(AVERAGE($C195,$E195,$G195,$I195,$K195,$M195,$O195,$Q195,$S195,$U195,$W195,$Y195,$AA195,$AC195,$AE195),2)+$B195/2&gt;S195,($G$5/$B$5),0),0))))</f>
        <v/>
      </c>
      <c r="U195" s="141" t="str">
        <f>IF($U$8="Habilitado",IF($A195="","",ROUND(VLOOKUP($A195,'Presupuesto Consolidado'!#REF!,6,FALSE),2)),"")</f>
        <v/>
      </c>
      <c r="V195" s="142" t="str">
        <f t="shared" ref="V195" si="2536">IF($A195="","",IF(U195="","",IF($K$4="Media aritmética",(U195&lt;=$B195)*($G$5/$B$5)+(U195&gt;$B195)*0,IF(ROUND(AVERAGE($C195,$E195,$G195,$I195,$K195,$M195,$O195,$Q195,$S195,$U195,$W195,$Y195,$AA195,$AC195,$AE195),2)-$B195/2&lt;=U195,IF(ROUND(AVERAGE($C195,$E195,$G195,$I195,$K195,$M195,$O195,$Q195,$S195,$U195,$W195,$Y195,$AA195,$AC195,$AE195),2)+$B195/2&gt;U195,($G$5/$B$5),0),0))))</f>
        <v/>
      </c>
      <c r="W195" s="141" t="str">
        <f>IF($W$8="Habilitado",IF($A195="","",ROUND(VLOOKUP($A195,'Presupuesto Consolidado'!#REF!,6,FALSE),2)),"")</f>
        <v/>
      </c>
      <c r="X195" s="142" t="str">
        <f t="shared" ref="X195" si="2537">IF($A195="","",IF(W195="","",IF($K$4="Media aritmética",(W195&lt;=$B195)*($G$5/$B$5)+(W195&gt;$B195)*0,IF(ROUND(AVERAGE($C195,$E195,$G195,$I195,$K195,$M195,$O195,$Q195,$S195,$U195,$W195,$Y195,$AA195,$AC195,$AE195),2)-$B195/2&lt;=W195,IF(ROUND(AVERAGE($C195,$E195,$G195,$I195,$K195,$M195,$O195,$Q195,$S195,$U195,$W195,$Y195,$AA195,$AC195,$AE195),2)+$B195/2&gt;W195,($G$5/$B$5),0),0))))</f>
        <v/>
      </c>
      <c r="Y195" s="141" t="str">
        <f>IF($Y$8="Habilitado",IF($A195="","",ROUND(VLOOKUP($A195,'Presupuesto Consolidado'!#REF!,6,FALSE),2)),"")</f>
        <v/>
      </c>
      <c r="Z195" s="142" t="str">
        <f t="shared" ref="Z195" si="2538">IF($A195="","",IF(Y195="","",IF($K$4="Media aritmética",(Y195&lt;=$B195)*($G$5/$B$5)+(Y195&gt;$B195)*0,IF(ROUND(AVERAGE($C195,$E195,$G195,$I195,$K195,$M195,$O195,$Q195,$S195,$U195,$W195,$Y195,$AA195,$AC195,$AE195),2)-$B195/2&lt;=Y195,IF(ROUND(AVERAGE($C195,$E195,$G195,$I195,$K195,$M195,$O195,$Q195,$S195,$U195,$W195,$Y195,$AA195,$AC195,$AE195),2)+$B195/2&gt;Y195,($G$5/$B$5),0),0))))</f>
        <v/>
      </c>
      <c r="AA195" s="141" t="str">
        <f>IF($AA$8="Habilitado",IF($A195="","",ROUND(VLOOKUP($A195,'Presupuesto Consolidado'!#REF!,6,FALSE),2)),"")</f>
        <v/>
      </c>
      <c r="AB195" s="142" t="str">
        <f t="shared" ref="AB195" si="2539">IF($A195="","",IF(AA195="","",IF($K$4="Media aritmética",(AA195&lt;=$B195)*($G$5/$B$5)+(AA195&gt;$B195)*0,IF(ROUND(AVERAGE($C195,$E195,$G195,$I195,$K195,$M195,$O195,$Q195,$S195,$U195,$W195,$Y195,$AA195,$AC195,$AE195),2)-$B195/2&lt;=AA195,IF(ROUND(AVERAGE($C195,$E195,$G195,$I195,$K195,$M195,$O195,$Q195,$S195,$U195,$W195,$Y195,$AA195,$AC195,$AE195),2)+$B195/2&gt;AA195,($G$5/$B$5),0),0))))</f>
        <v/>
      </c>
      <c r="AC195" s="141" t="str">
        <f>IF($AC$8="Habilitado",IF($A195="","",ROUND(VLOOKUP($A195,'Presupuesto Consolidado'!#REF!,6,FALSE),2)),"")</f>
        <v/>
      </c>
      <c r="AD195" s="142" t="str">
        <f t="shared" ref="AD195" si="2540">IF($A195="","",IF(AC195="","",IF($K$4="Media aritmética",(AC195&lt;=$B195)*($G$5/$B$5)+(AC195&gt;$B195)*0,IF(ROUND(AVERAGE($C195,$E195,$G195,$I195,$K195,$M195,$O195,$Q195,$S195,$U195,$W195,$Y195,$AA195,$AC195,$AE195),2)-$B195/2&lt;=AC195,IF(ROUND(AVERAGE($C195,$E195,$G195,$I195,$K195,$M195,$O195,$Q195,$S195,$U195,$W195,$Y195,$AA195,$AC195,$AE195),2)+$B195/2&gt;AC195,($G$5/$B$5),0),0))))</f>
        <v/>
      </c>
      <c r="AE195" s="141" t="str">
        <f>IF($AE$8="Habilitado",IF($A195="","",ROUND(VLOOKUP($A195,'Presupuesto Consolidado'!#REF!,6,FALSE),2)),"")</f>
        <v/>
      </c>
      <c r="AF195" s="142" t="str">
        <f t="shared" ref="AF195" si="2541">IF($A195="","",IF(AE195="","",IF($K$4="Media aritmética",(AE195&lt;=$B195)*($G$5/$B$5)+(AE195&gt;$B195)*0,IF(ROUND(AVERAGE($C195,$E195,$G195,$I195,$K195,$M195,$O195,$Q195,$S195,$U195,$W195,$Y195,$AA195,$AC195,$AE195),2)-$B195/2&lt;=AE195,IF(ROUND(AVERAGE($C195,$E195,$G195,$I195,$K195,$M195,$O195,$Q195,$S195,$U195,$W195,$Y195,$AA195,$AC195,$AE195),2)+$B195/2&gt;AE195,($G$5/$B$5),0),0))))</f>
        <v/>
      </c>
    </row>
    <row r="196" spans="1:32" s="135" customFormat="1" ht="21" customHeight="1">
      <c r="A196" s="132" t="str">
        <f>+'Presupuesto Consolidado'!A231</f>
        <v>13.6.2</v>
      </c>
      <c r="B196" s="140">
        <f t="shared" ref="B196" si="2542">IF(A196="","",IF($K$4="Media aritmética",ROUND(AVERAGE(C196,E196,G196,I196,K196,M196,O196,Q196,S196,U196,W196,Y196,AA196,AC196,AE196),2),ROUND(_xlfn.STDEV.P(C196,E196,G196,I196,K196,M196,O196,Q196,S196,U196,W196,Y196,AA196,AC196,AE196),2)))</f>
        <v>2528186</v>
      </c>
      <c r="C196" s="141">
        <f>IF($C$8="Habilitado",IF($A196="","",ROUND(VLOOKUP($A196,'Presupuesto Consolidado'!$A$9:$F$600,6,FALSE),2)),"")</f>
        <v>2528186</v>
      </c>
      <c r="D196" s="142">
        <f t="shared" ref="D196" si="2543">IF($A196="","",IF(C196="","",IF($K$4="Media aritmética",(C196&lt;=$B196)*($G$5/$B$5)+(C196&gt;$B196)*0,IF(ROUND(AVERAGE($C196,$E196,$G196,$I196,$K196,$M196,$O196,$Q196,$S196,$U196,$W196,$Y196,$AA196,$AC196,$AE196),2)-$B196/2&lt;=C196,IF(ROUND(AVERAGE($C196,$E196,$G196,$I196,$K196,$M196,$O196,$Q196,$S196,$U196,$W196,$Y196,$AA196,$AC196,$AE196),2)+$B196/2&gt;C196,($G$5/$B$5),0),0))))</f>
        <v>0.45714285714285713</v>
      </c>
      <c r="E196" s="141" t="str">
        <f>IF($E$8="Habilitado",IF($A196="","",ROUND(VLOOKUP($A196,'Presupuesto Consolidado'!$I$9:$N$600,6,FALSE),2)),"")</f>
        <v/>
      </c>
      <c r="F196" s="142" t="str">
        <f t="shared" ref="F196" si="2544">IF($A196="","",IF(E196="","",IF($K$4="Media aritmética",(E196&lt;=$B196)*($G$5/$B$5)+(E196&gt;$B196)*0,IF(ROUND(AVERAGE($C196,$E196,$G196,$I196,$K196,$M196,$O196,$Q196,$S196,$U196,$W196,$Y196,$AA196,$AC196,$AE196),2)-$B196/2&lt;=E196,IF(ROUND(AVERAGE($C196,$E196,$G196,$I196,$K196,$M196,$O196,$Q196,$S196,$U196,$W196,$Y196,$AA196,$AC196,$AE196),2)+$B196/2&gt;E196,($G$5/$B$5),0),0))))</f>
        <v/>
      </c>
      <c r="G196" s="141" t="str">
        <f>IF($G$8="Habilitado",IF($A196="","",ROUND(VLOOKUP($A196,'Presupuesto Consolidado'!$Q$9:$V$600,6,FALSE),2)),"")</f>
        <v/>
      </c>
      <c r="H196" s="142" t="str">
        <f t="shared" ref="H196" si="2545">IF($A196="","",IF(G196="","",IF($K$4="Media aritmética",(G196&lt;=$B196)*($G$5/$B$5)+(G196&gt;$B196)*0,IF(ROUND(AVERAGE($C196,$E196,$G196,$I196,$K196,$M196,$O196,$Q196,$S196,$U196,$W196,$Y196,$AA196,$AC196,$AE196),2)-$B196/2&lt;=G196,IF(ROUND(AVERAGE($C196,$E196,$G196,$I196,$K196,$M196,$O196,$Q196,$S196,$U196,$W196,$Y196,$AA196,$AC196,$AE196),2)+$B196/2&gt;G196,($G$5/$B$5),0),0))))</f>
        <v/>
      </c>
      <c r="I196" s="141" t="str">
        <f>IF($I$8="Habilitado",IF($A196="","",ROUND(VLOOKUP($A196,'Presupuesto Consolidado'!$Y$9:$AD$600,6,FALSE),2)),"")</f>
        <v/>
      </c>
      <c r="J196" s="142" t="str">
        <f t="shared" ref="J196" si="2546">IF($A196="","",IF(I196="","",IF($K$4="Media aritmética",(I196&lt;=$B196)*($G$5/$B$5)+(I196&gt;$B196)*0,IF(ROUND(AVERAGE($C196,$E196,$G196,$I196,$K196,$M196,$O196,$Q196,$S196,$U196,$W196,$Y196,$AA196,$AC196,$AE196),2)-$B196/2&lt;=I196,IF(ROUND(AVERAGE($C196,$E196,$G196,$I196,$K196,$M196,$O196,$Q196,$S196,$U196,$W196,$Y196,$AA196,$AC196,$AE196),2)+$B196/2&gt;I196,($G$5/$B$5),0),0))))</f>
        <v/>
      </c>
      <c r="K196" s="141" t="str">
        <f>IF($K$8="Habilitado",IF($A196="","",ROUND(VLOOKUP($A196,'Presupuesto Consolidado'!#REF!,6,FALSE),2)),"")</f>
        <v/>
      </c>
      <c r="L196" s="142" t="str">
        <f t="shared" ref="L196" si="2547">IF($A196="","",IF(K196="","",IF($K$4="Media aritmética",(K196&lt;=$B196)*($G$5/$B$5)+(K196&gt;$B196)*0,IF(ROUND(AVERAGE($C196,$E196,$G196,$I196,$K196,$M196,$O196,$Q196,$S196,$U196,$W196,$Y196,$AA196,$AC196,$AE196),2)-$B196/2&lt;=K196,IF(ROUND(AVERAGE($C196,$E196,$G196,$I196,$K196,$M196,$O196,$Q196,$S196,$U196,$W196,$Y196,$AA196,$AC196,$AE196),2)+$B196/2&gt;K196,($G$5/$B$5),0),0))))</f>
        <v/>
      </c>
      <c r="M196" s="141" t="str">
        <f>IF($M$8="Habilitado",IF($A196="","",ROUND(VLOOKUP($A196,'Presupuesto Consolidado'!#REF!,6,FALSE),2)),"")</f>
        <v/>
      </c>
      <c r="N196" s="142" t="str">
        <f t="shared" ref="N196" si="2548">IF($A196="","",IF(M196="","",IF($K$4="Media aritmética",(M196&lt;=$B196)*($G$5/$B$5)+(M196&gt;$B196)*0,IF(ROUND(AVERAGE($C196,$E196,$G196,$I196,$K196,$M196,$O196,$Q196,$S196,$U196,$W196,$Y196,$AA196,$AC196,$AE196),2)-$B196/2&lt;=M196,IF(ROUND(AVERAGE($C196,$E196,$G196,$I196,$K196,$M196,$O196,$Q196,$S196,$U196,$W196,$Y196,$AA196,$AC196,$AE196),2)+$B196/2&gt;M196,($G$5/$B$5),0),0))))</f>
        <v/>
      </c>
      <c r="O196" s="141" t="str">
        <f>IF($O$8="Habilitado",IF($A196="","",ROUND(VLOOKUP($A196,'Presupuesto Consolidado'!#REF!,6,FALSE),2)),"")</f>
        <v/>
      </c>
      <c r="P196" s="142" t="str">
        <f t="shared" ref="P196" si="2549">IF($A196="","",IF(O196="","",IF($K$4="Media aritmética",(O196&lt;=$B196)*($G$5/$B$5)+(O196&gt;$B196)*0,IF(ROUND(AVERAGE($C196,$E196,$G196,$I196,$K196,$M196,$O196,$Q196,$S196,$U196,$W196,$Y196,$AA196,$AC196,$AE196),2)-$B196/2&lt;=O196,IF(ROUND(AVERAGE($C196,$E196,$G196,$I196,$K196,$M196,$O196,$Q196,$S196,$U196,$W196,$Y196,$AA196,$AC196,$AE196),2)+$B196/2&gt;O196,($G$5/$B$5),0),0))))</f>
        <v/>
      </c>
      <c r="Q196" s="141" t="str">
        <f>IF($Q$8="Habilitado",IF($A196="","",ROUND(VLOOKUP($A196,'Presupuesto Consolidado'!#REF!,6,FALSE),2)),"")</f>
        <v/>
      </c>
      <c r="R196" s="142" t="str">
        <f t="shared" ref="R196" si="2550">IF($A196="","",IF(Q196="","",IF($K$4="Media aritmética",(Q196&lt;=$B196)*($G$5/$B$5)+(Q196&gt;$B196)*0,IF(ROUND(AVERAGE($C196,$E196,$G196,$I196,$K196,$M196,$O196,$Q196,$S196,$U196,$W196,$Y196,$AA196,$AC196,$AE196),2)-$B196/2&lt;=Q196,IF(ROUND(AVERAGE($C196,$E196,$G196,$I196,$K196,$M196,$O196,$Q196,$S196,$U196,$W196,$Y196,$AA196,$AC196,$AE196),2)+$B196/2&gt;Q196,($G$5/$B$5),0),0))))</f>
        <v/>
      </c>
      <c r="S196" s="141" t="str">
        <f>IF($S$8="Habilitado",IF($A196="","",ROUND(VLOOKUP($A196,'Presupuesto Consolidado'!#REF!,6,FALSE),2)),"")</f>
        <v/>
      </c>
      <c r="T196" s="142" t="str">
        <f t="shared" ref="T196" si="2551">IF($A196="","",IF(S196="","",IF($K$4="Media aritmética",(S196&lt;=$B196)*($G$5/$B$5)+(S196&gt;$B196)*0,IF(ROUND(AVERAGE($C196,$E196,$G196,$I196,$K196,$M196,$O196,$Q196,$S196,$U196,$W196,$Y196,$AA196,$AC196,$AE196),2)-$B196/2&lt;=S196,IF(ROUND(AVERAGE($C196,$E196,$G196,$I196,$K196,$M196,$O196,$Q196,$S196,$U196,$W196,$Y196,$AA196,$AC196,$AE196),2)+$B196/2&gt;S196,($G$5/$B$5),0),0))))</f>
        <v/>
      </c>
      <c r="U196" s="141" t="str">
        <f>IF($U$8="Habilitado",IF($A196="","",ROUND(VLOOKUP($A196,'Presupuesto Consolidado'!#REF!,6,FALSE),2)),"")</f>
        <v/>
      </c>
      <c r="V196" s="142" t="str">
        <f t="shared" ref="V196" si="2552">IF($A196="","",IF(U196="","",IF($K$4="Media aritmética",(U196&lt;=$B196)*($G$5/$B$5)+(U196&gt;$B196)*0,IF(ROUND(AVERAGE($C196,$E196,$G196,$I196,$K196,$M196,$O196,$Q196,$S196,$U196,$W196,$Y196,$AA196,$AC196,$AE196),2)-$B196/2&lt;=U196,IF(ROUND(AVERAGE($C196,$E196,$G196,$I196,$K196,$M196,$O196,$Q196,$S196,$U196,$W196,$Y196,$AA196,$AC196,$AE196),2)+$B196/2&gt;U196,($G$5/$B$5),0),0))))</f>
        <v/>
      </c>
      <c r="W196" s="141" t="str">
        <f>IF($W$8="Habilitado",IF($A196="","",ROUND(VLOOKUP($A196,'Presupuesto Consolidado'!#REF!,6,FALSE),2)),"")</f>
        <v/>
      </c>
      <c r="X196" s="142" t="str">
        <f t="shared" ref="X196" si="2553">IF($A196="","",IF(W196="","",IF($K$4="Media aritmética",(W196&lt;=$B196)*($G$5/$B$5)+(W196&gt;$B196)*0,IF(ROUND(AVERAGE($C196,$E196,$G196,$I196,$K196,$M196,$O196,$Q196,$S196,$U196,$W196,$Y196,$AA196,$AC196,$AE196),2)-$B196/2&lt;=W196,IF(ROUND(AVERAGE($C196,$E196,$G196,$I196,$K196,$M196,$O196,$Q196,$S196,$U196,$W196,$Y196,$AA196,$AC196,$AE196),2)+$B196/2&gt;W196,($G$5/$B$5),0),0))))</f>
        <v/>
      </c>
      <c r="Y196" s="141" t="str">
        <f>IF($Y$8="Habilitado",IF($A196="","",ROUND(VLOOKUP($A196,'Presupuesto Consolidado'!#REF!,6,FALSE),2)),"")</f>
        <v/>
      </c>
      <c r="Z196" s="142" t="str">
        <f t="shared" ref="Z196" si="2554">IF($A196="","",IF(Y196="","",IF($K$4="Media aritmética",(Y196&lt;=$B196)*($G$5/$B$5)+(Y196&gt;$B196)*0,IF(ROUND(AVERAGE($C196,$E196,$G196,$I196,$K196,$M196,$O196,$Q196,$S196,$U196,$W196,$Y196,$AA196,$AC196,$AE196),2)-$B196/2&lt;=Y196,IF(ROUND(AVERAGE($C196,$E196,$G196,$I196,$K196,$M196,$O196,$Q196,$S196,$U196,$W196,$Y196,$AA196,$AC196,$AE196),2)+$B196/2&gt;Y196,($G$5/$B$5),0),0))))</f>
        <v/>
      </c>
      <c r="AA196" s="141" t="str">
        <f>IF($AA$8="Habilitado",IF($A196="","",ROUND(VLOOKUP($A196,'Presupuesto Consolidado'!#REF!,6,FALSE),2)),"")</f>
        <v/>
      </c>
      <c r="AB196" s="142" t="str">
        <f t="shared" ref="AB196" si="2555">IF($A196="","",IF(AA196="","",IF($K$4="Media aritmética",(AA196&lt;=$B196)*($G$5/$B$5)+(AA196&gt;$B196)*0,IF(ROUND(AVERAGE($C196,$E196,$G196,$I196,$K196,$M196,$O196,$Q196,$S196,$U196,$W196,$Y196,$AA196,$AC196,$AE196),2)-$B196/2&lt;=AA196,IF(ROUND(AVERAGE($C196,$E196,$G196,$I196,$K196,$M196,$O196,$Q196,$S196,$U196,$W196,$Y196,$AA196,$AC196,$AE196),2)+$B196/2&gt;AA196,($G$5/$B$5),0),0))))</f>
        <v/>
      </c>
      <c r="AC196" s="141" t="str">
        <f>IF($AC$8="Habilitado",IF($A196="","",ROUND(VLOOKUP($A196,'Presupuesto Consolidado'!#REF!,6,FALSE),2)),"")</f>
        <v/>
      </c>
      <c r="AD196" s="142" t="str">
        <f t="shared" ref="AD196" si="2556">IF($A196="","",IF(AC196="","",IF($K$4="Media aritmética",(AC196&lt;=$B196)*($G$5/$B$5)+(AC196&gt;$B196)*0,IF(ROUND(AVERAGE($C196,$E196,$G196,$I196,$K196,$M196,$O196,$Q196,$S196,$U196,$W196,$Y196,$AA196,$AC196,$AE196),2)-$B196/2&lt;=AC196,IF(ROUND(AVERAGE($C196,$E196,$G196,$I196,$K196,$M196,$O196,$Q196,$S196,$U196,$W196,$Y196,$AA196,$AC196,$AE196),2)+$B196/2&gt;AC196,($G$5/$B$5),0),0))))</f>
        <v/>
      </c>
      <c r="AE196" s="141" t="str">
        <f>IF($AE$8="Habilitado",IF($A196="","",ROUND(VLOOKUP($A196,'Presupuesto Consolidado'!#REF!,6,FALSE),2)),"")</f>
        <v/>
      </c>
      <c r="AF196" s="142" t="str">
        <f t="shared" ref="AF196" si="2557">IF($A196="","",IF(AE196="","",IF($K$4="Media aritmética",(AE196&lt;=$B196)*($G$5/$B$5)+(AE196&gt;$B196)*0,IF(ROUND(AVERAGE($C196,$E196,$G196,$I196,$K196,$M196,$O196,$Q196,$S196,$U196,$W196,$Y196,$AA196,$AC196,$AE196),2)-$B196/2&lt;=AE196,IF(ROUND(AVERAGE($C196,$E196,$G196,$I196,$K196,$M196,$O196,$Q196,$S196,$U196,$W196,$Y196,$AA196,$AC196,$AE196),2)+$B196/2&gt;AE196,($G$5/$B$5),0),0))))</f>
        <v/>
      </c>
    </row>
    <row r="197" spans="1:32" s="135" customFormat="1" ht="21" customHeight="1">
      <c r="A197" s="132" t="str">
        <f>+'Presupuesto Consolidado'!A233</f>
        <v>13.7.1</v>
      </c>
      <c r="B197" s="140">
        <f t="shared" ref="B197" si="2558">IF(A197="","",IF($K$4="Media aritmética",ROUND(AVERAGE(C197,E197,G197,I197,K197,M197,O197,Q197,S197,U197,W197,Y197,AA197,AC197,AE197),2),ROUND(_xlfn.STDEV.P(C197,E197,G197,I197,K197,M197,O197,Q197,S197,U197,W197,Y197,AA197,AC197,AE197),2)))</f>
        <v>8514000</v>
      </c>
      <c r="C197" s="141">
        <f>IF($C$8="Habilitado",IF($A197="","",ROUND(VLOOKUP($A197,'Presupuesto Consolidado'!$A$9:$F$600,6,FALSE),2)),"")</f>
        <v>8514000</v>
      </c>
      <c r="D197" s="142">
        <f t="shared" ref="D197" si="2559">IF($A197="","",IF(C197="","",IF($K$4="Media aritmética",(C197&lt;=$B197)*($G$5/$B$5)+(C197&gt;$B197)*0,IF(ROUND(AVERAGE($C197,$E197,$G197,$I197,$K197,$M197,$O197,$Q197,$S197,$U197,$W197,$Y197,$AA197,$AC197,$AE197),2)-$B197/2&lt;=C197,IF(ROUND(AVERAGE($C197,$E197,$G197,$I197,$K197,$M197,$O197,$Q197,$S197,$U197,$W197,$Y197,$AA197,$AC197,$AE197),2)+$B197/2&gt;C197,($G$5/$B$5),0),0))))</f>
        <v>0.45714285714285713</v>
      </c>
      <c r="E197" s="141" t="str">
        <f>IF($E$8="Habilitado",IF($A197="","",ROUND(VLOOKUP($A197,'Presupuesto Consolidado'!$I$9:$N$600,6,FALSE),2)),"")</f>
        <v/>
      </c>
      <c r="F197" s="142" t="str">
        <f t="shared" ref="F197" si="2560">IF($A197="","",IF(E197="","",IF($K$4="Media aritmética",(E197&lt;=$B197)*($G$5/$B$5)+(E197&gt;$B197)*0,IF(ROUND(AVERAGE($C197,$E197,$G197,$I197,$K197,$M197,$O197,$Q197,$S197,$U197,$W197,$Y197,$AA197,$AC197,$AE197),2)-$B197/2&lt;=E197,IF(ROUND(AVERAGE($C197,$E197,$G197,$I197,$K197,$M197,$O197,$Q197,$S197,$U197,$W197,$Y197,$AA197,$AC197,$AE197),2)+$B197/2&gt;E197,($G$5/$B$5),0),0))))</f>
        <v/>
      </c>
      <c r="G197" s="141" t="str">
        <f>IF($G$8="Habilitado",IF($A197="","",ROUND(VLOOKUP($A197,'Presupuesto Consolidado'!$Q$9:$V$600,6,FALSE),2)),"")</f>
        <v/>
      </c>
      <c r="H197" s="142" t="str">
        <f t="shared" ref="H197" si="2561">IF($A197="","",IF(G197="","",IF($K$4="Media aritmética",(G197&lt;=$B197)*($G$5/$B$5)+(G197&gt;$B197)*0,IF(ROUND(AVERAGE($C197,$E197,$G197,$I197,$K197,$M197,$O197,$Q197,$S197,$U197,$W197,$Y197,$AA197,$AC197,$AE197),2)-$B197/2&lt;=G197,IF(ROUND(AVERAGE($C197,$E197,$G197,$I197,$K197,$M197,$O197,$Q197,$S197,$U197,$W197,$Y197,$AA197,$AC197,$AE197),2)+$B197/2&gt;G197,($G$5/$B$5),0),0))))</f>
        <v/>
      </c>
      <c r="I197" s="141" t="str">
        <f>IF($I$8="Habilitado",IF($A197="","",ROUND(VLOOKUP($A197,'Presupuesto Consolidado'!$Y$9:$AD$600,6,FALSE),2)),"")</f>
        <v/>
      </c>
      <c r="J197" s="142" t="str">
        <f t="shared" ref="J197" si="2562">IF($A197="","",IF(I197="","",IF($K$4="Media aritmética",(I197&lt;=$B197)*($G$5/$B$5)+(I197&gt;$B197)*0,IF(ROUND(AVERAGE($C197,$E197,$G197,$I197,$K197,$M197,$O197,$Q197,$S197,$U197,$W197,$Y197,$AA197,$AC197,$AE197),2)-$B197/2&lt;=I197,IF(ROUND(AVERAGE($C197,$E197,$G197,$I197,$K197,$M197,$O197,$Q197,$S197,$U197,$W197,$Y197,$AA197,$AC197,$AE197),2)+$B197/2&gt;I197,($G$5/$B$5),0),0))))</f>
        <v/>
      </c>
      <c r="K197" s="141" t="str">
        <f>IF($K$8="Habilitado",IF($A197="","",ROUND(VLOOKUP($A197,'Presupuesto Consolidado'!#REF!,6,FALSE),2)),"")</f>
        <v/>
      </c>
      <c r="L197" s="142" t="str">
        <f t="shared" ref="L197" si="2563">IF($A197="","",IF(K197="","",IF($K$4="Media aritmética",(K197&lt;=$B197)*($G$5/$B$5)+(K197&gt;$B197)*0,IF(ROUND(AVERAGE($C197,$E197,$G197,$I197,$K197,$M197,$O197,$Q197,$S197,$U197,$W197,$Y197,$AA197,$AC197,$AE197),2)-$B197/2&lt;=K197,IF(ROUND(AVERAGE($C197,$E197,$G197,$I197,$K197,$M197,$O197,$Q197,$S197,$U197,$W197,$Y197,$AA197,$AC197,$AE197),2)+$B197/2&gt;K197,($G$5/$B$5),0),0))))</f>
        <v/>
      </c>
      <c r="M197" s="141" t="str">
        <f>IF($M$8="Habilitado",IF($A197="","",ROUND(VLOOKUP($A197,'Presupuesto Consolidado'!#REF!,6,FALSE),2)),"")</f>
        <v/>
      </c>
      <c r="N197" s="142" t="str">
        <f t="shared" ref="N197" si="2564">IF($A197="","",IF(M197="","",IF($K$4="Media aritmética",(M197&lt;=$B197)*($G$5/$B$5)+(M197&gt;$B197)*0,IF(ROUND(AVERAGE($C197,$E197,$G197,$I197,$K197,$M197,$O197,$Q197,$S197,$U197,$W197,$Y197,$AA197,$AC197,$AE197),2)-$B197/2&lt;=M197,IF(ROUND(AVERAGE($C197,$E197,$G197,$I197,$K197,$M197,$O197,$Q197,$S197,$U197,$W197,$Y197,$AA197,$AC197,$AE197),2)+$B197/2&gt;M197,($G$5/$B$5),0),0))))</f>
        <v/>
      </c>
      <c r="O197" s="141" t="str">
        <f>IF($O$8="Habilitado",IF($A197="","",ROUND(VLOOKUP($A197,'Presupuesto Consolidado'!#REF!,6,FALSE),2)),"")</f>
        <v/>
      </c>
      <c r="P197" s="142" t="str">
        <f t="shared" ref="P197" si="2565">IF($A197="","",IF(O197="","",IF($K$4="Media aritmética",(O197&lt;=$B197)*($G$5/$B$5)+(O197&gt;$B197)*0,IF(ROUND(AVERAGE($C197,$E197,$G197,$I197,$K197,$M197,$O197,$Q197,$S197,$U197,$W197,$Y197,$AA197,$AC197,$AE197),2)-$B197/2&lt;=O197,IF(ROUND(AVERAGE($C197,$E197,$G197,$I197,$K197,$M197,$O197,$Q197,$S197,$U197,$W197,$Y197,$AA197,$AC197,$AE197),2)+$B197/2&gt;O197,($G$5/$B$5),0),0))))</f>
        <v/>
      </c>
      <c r="Q197" s="141" t="str">
        <f>IF($Q$8="Habilitado",IF($A197="","",ROUND(VLOOKUP($A197,'Presupuesto Consolidado'!#REF!,6,FALSE),2)),"")</f>
        <v/>
      </c>
      <c r="R197" s="142" t="str">
        <f t="shared" ref="R197" si="2566">IF($A197="","",IF(Q197="","",IF($K$4="Media aritmética",(Q197&lt;=$B197)*($G$5/$B$5)+(Q197&gt;$B197)*0,IF(ROUND(AVERAGE($C197,$E197,$G197,$I197,$K197,$M197,$O197,$Q197,$S197,$U197,$W197,$Y197,$AA197,$AC197,$AE197),2)-$B197/2&lt;=Q197,IF(ROUND(AVERAGE($C197,$E197,$G197,$I197,$K197,$M197,$O197,$Q197,$S197,$U197,$W197,$Y197,$AA197,$AC197,$AE197),2)+$B197/2&gt;Q197,($G$5/$B$5),0),0))))</f>
        <v/>
      </c>
      <c r="S197" s="141" t="str">
        <f>IF($S$8="Habilitado",IF($A197="","",ROUND(VLOOKUP($A197,'Presupuesto Consolidado'!#REF!,6,FALSE),2)),"")</f>
        <v/>
      </c>
      <c r="T197" s="142" t="str">
        <f t="shared" ref="T197" si="2567">IF($A197="","",IF(S197="","",IF($K$4="Media aritmética",(S197&lt;=$B197)*($G$5/$B$5)+(S197&gt;$B197)*0,IF(ROUND(AVERAGE($C197,$E197,$G197,$I197,$K197,$M197,$O197,$Q197,$S197,$U197,$W197,$Y197,$AA197,$AC197,$AE197),2)-$B197/2&lt;=S197,IF(ROUND(AVERAGE($C197,$E197,$G197,$I197,$K197,$M197,$O197,$Q197,$S197,$U197,$W197,$Y197,$AA197,$AC197,$AE197),2)+$B197/2&gt;S197,($G$5/$B$5),0),0))))</f>
        <v/>
      </c>
      <c r="U197" s="141" t="str">
        <f>IF($U$8="Habilitado",IF($A197="","",ROUND(VLOOKUP($A197,'Presupuesto Consolidado'!#REF!,6,FALSE),2)),"")</f>
        <v/>
      </c>
      <c r="V197" s="142" t="str">
        <f t="shared" ref="V197" si="2568">IF($A197="","",IF(U197="","",IF($K$4="Media aritmética",(U197&lt;=$B197)*($G$5/$B$5)+(U197&gt;$B197)*0,IF(ROUND(AVERAGE($C197,$E197,$G197,$I197,$K197,$M197,$O197,$Q197,$S197,$U197,$W197,$Y197,$AA197,$AC197,$AE197),2)-$B197/2&lt;=U197,IF(ROUND(AVERAGE($C197,$E197,$G197,$I197,$K197,$M197,$O197,$Q197,$S197,$U197,$W197,$Y197,$AA197,$AC197,$AE197),2)+$B197/2&gt;U197,($G$5/$B$5),0),0))))</f>
        <v/>
      </c>
      <c r="W197" s="141" t="str">
        <f>IF($W$8="Habilitado",IF($A197="","",ROUND(VLOOKUP($A197,'Presupuesto Consolidado'!#REF!,6,FALSE),2)),"")</f>
        <v/>
      </c>
      <c r="X197" s="142" t="str">
        <f t="shared" ref="X197" si="2569">IF($A197="","",IF(W197="","",IF($K$4="Media aritmética",(W197&lt;=$B197)*($G$5/$B$5)+(W197&gt;$B197)*0,IF(ROUND(AVERAGE($C197,$E197,$G197,$I197,$K197,$M197,$O197,$Q197,$S197,$U197,$W197,$Y197,$AA197,$AC197,$AE197),2)-$B197/2&lt;=W197,IF(ROUND(AVERAGE($C197,$E197,$G197,$I197,$K197,$M197,$O197,$Q197,$S197,$U197,$W197,$Y197,$AA197,$AC197,$AE197),2)+$B197/2&gt;W197,($G$5/$B$5),0),0))))</f>
        <v/>
      </c>
      <c r="Y197" s="141" t="str">
        <f>IF($Y$8="Habilitado",IF($A197="","",ROUND(VLOOKUP($A197,'Presupuesto Consolidado'!#REF!,6,FALSE),2)),"")</f>
        <v/>
      </c>
      <c r="Z197" s="142" t="str">
        <f t="shared" ref="Z197" si="2570">IF($A197="","",IF(Y197="","",IF($K$4="Media aritmética",(Y197&lt;=$B197)*($G$5/$B$5)+(Y197&gt;$B197)*0,IF(ROUND(AVERAGE($C197,$E197,$G197,$I197,$K197,$M197,$O197,$Q197,$S197,$U197,$W197,$Y197,$AA197,$AC197,$AE197),2)-$B197/2&lt;=Y197,IF(ROUND(AVERAGE($C197,$E197,$G197,$I197,$K197,$M197,$O197,$Q197,$S197,$U197,$W197,$Y197,$AA197,$AC197,$AE197),2)+$B197/2&gt;Y197,($G$5/$B$5),0),0))))</f>
        <v/>
      </c>
      <c r="AA197" s="141" t="str">
        <f>IF($AA$8="Habilitado",IF($A197="","",ROUND(VLOOKUP($A197,'Presupuesto Consolidado'!#REF!,6,FALSE),2)),"")</f>
        <v/>
      </c>
      <c r="AB197" s="142" t="str">
        <f t="shared" ref="AB197" si="2571">IF($A197="","",IF(AA197="","",IF($K$4="Media aritmética",(AA197&lt;=$B197)*($G$5/$B$5)+(AA197&gt;$B197)*0,IF(ROUND(AVERAGE($C197,$E197,$G197,$I197,$K197,$M197,$O197,$Q197,$S197,$U197,$W197,$Y197,$AA197,$AC197,$AE197),2)-$B197/2&lt;=AA197,IF(ROUND(AVERAGE($C197,$E197,$G197,$I197,$K197,$M197,$O197,$Q197,$S197,$U197,$W197,$Y197,$AA197,$AC197,$AE197),2)+$B197/2&gt;AA197,($G$5/$B$5),0),0))))</f>
        <v/>
      </c>
      <c r="AC197" s="141" t="str">
        <f>IF($AC$8="Habilitado",IF($A197="","",ROUND(VLOOKUP($A197,'Presupuesto Consolidado'!#REF!,6,FALSE),2)),"")</f>
        <v/>
      </c>
      <c r="AD197" s="142" t="str">
        <f t="shared" ref="AD197" si="2572">IF($A197="","",IF(AC197="","",IF($K$4="Media aritmética",(AC197&lt;=$B197)*($G$5/$B$5)+(AC197&gt;$B197)*0,IF(ROUND(AVERAGE($C197,$E197,$G197,$I197,$K197,$M197,$O197,$Q197,$S197,$U197,$W197,$Y197,$AA197,$AC197,$AE197),2)-$B197/2&lt;=AC197,IF(ROUND(AVERAGE($C197,$E197,$G197,$I197,$K197,$M197,$O197,$Q197,$S197,$U197,$W197,$Y197,$AA197,$AC197,$AE197),2)+$B197/2&gt;AC197,($G$5/$B$5),0),0))))</f>
        <v/>
      </c>
      <c r="AE197" s="141" t="str">
        <f>IF($AE$8="Habilitado",IF($A197="","",ROUND(VLOOKUP($A197,'Presupuesto Consolidado'!#REF!,6,FALSE),2)),"")</f>
        <v/>
      </c>
      <c r="AF197" s="142" t="str">
        <f t="shared" ref="AF197" si="2573">IF($A197="","",IF(AE197="","",IF($K$4="Media aritmética",(AE197&lt;=$B197)*($G$5/$B$5)+(AE197&gt;$B197)*0,IF(ROUND(AVERAGE($C197,$E197,$G197,$I197,$K197,$M197,$O197,$Q197,$S197,$U197,$W197,$Y197,$AA197,$AC197,$AE197),2)-$B197/2&lt;=AE197,IF(ROUND(AVERAGE($C197,$E197,$G197,$I197,$K197,$M197,$O197,$Q197,$S197,$U197,$W197,$Y197,$AA197,$AC197,$AE197),2)+$B197/2&gt;AE197,($G$5/$B$5),0),0))))</f>
        <v/>
      </c>
    </row>
    <row r="198" spans="1:32" s="135" customFormat="1" ht="21" customHeight="1">
      <c r="A198" s="132" t="str">
        <f>+'Presupuesto Consolidado'!A234</f>
        <v>13.7.2</v>
      </c>
      <c r="B198" s="140">
        <f t="shared" ref="B198" si="2574">IF(A198="","",IF($K$4="Media aritmética",ROUND(AVERAGE(C198,E198,G198,I198,K198,M198,O198,Q198,S198,U198,W198,Y198,AA198,AC198,AE198),2),ROUND(_xlfn.STDEV.P(C198,E198,G198,I198,K198,M198,O198,Q198,S198,U198,W198,Y198,AA198,AC198,AE198),2)))</f>
        <v>6488100</v>
      </c>
      <c r="C198" s="141">
        <f>IF($C$8="Habilitado",IF($A198="","",ROUND(VLOOKUP($A198,'Presupuesto Consolidado'!$A$9:$F$600,6,FALSE),2)),"")</f>
        <v>6488100</v>
      </c>
      <c r="D198" s="142">
        <f t="shared" ref="D198" si="2575">IF($A198="","",IF(C198="","",IF($K$4="Media aritmética",(C198&lt;=$B198)*($G$5/$B$5)+(C198&gt;$B198)*0,IF(ROUND(AVERAGE($C198,$E198,$G198,$I198,$K198,$M198,$O198,$Q198,$S198,$U198,$W198,$Y198,$AA198,$AC198,$AE198),2)-$B198/2&lt;=C198,IF(ROUND(AVERAGE($C198,$E198,$G198,$I198,$K198,$M198,$O198,$Q198,$S198,$U198,$W198,$Y198,$AA198,$AC198,$AE198),2)+$B198/2&gt;C198,($G$5/$B$5),0),0))))</f>
        <v>0.45714285714285713</v>
      </c>
      <c r="E198" s="141" t="str">
        <f>IF($E$8="Habilitado",IF($A198="","",ROUND(VLOOKUP($A198,'Presupuesto Consolidado'!$I$9:$N$600,6,FALSE),2)),"")</f>
        <v/>
      </c>
      <c r="F198" s="142" t="str">
        <f t="shared" ref="F198" si="2576">IF($A198="","",IF(E198="","",IF($K$4="Media aritmética",(E198&lt;=$B198)*($G$5/$B$5)+(E198&gt;$B198)*0,IF(ROUND(AVERAGE($C198,$E198,$G198,$I198,$K198,$M198,$O198,$Q198,$S198,$U198,$W198,$Y198,$AA198,$AC198,$AE198),2)-$B198/2&lt;=E198,IF(ROUND(AVERAGE($C198,$E198,$G198,$I198,$K198,$M198,$O198,$Q198,$S198,$U198,$W198,$Y198,$AA198,$AC198,$AE198),2)+$B198/2&gt;E198,($G$5/$B$5),0),0))))</f>
        <v/>
      </c>
      <c r="G198" s="141" t="str">
        <f>IF($G$8="Habilitado",IF($A198="","",ROUND(VLOOKUP($A198,'Presupuesto Consolidado'!$Q$9:$V$600,6,FALSE),2)),"")</f>
        <v/>
      </c>
      <c r="H198" s="142" t="str">
        <f t="shared" ref="H198" si="2577">IF($A198="","",IF(G198="","",IF($K$4="Media aritmética",(G198&lt;=$B198)*($G$5/$B$5)+(G198&gt;$B198)*0,IF(ROUND(AVERAGE($C198,$E198,$G198,$I198,$K198,$M198,$O198,$Q198,$S198,$U198,$W198,$Y198,$AA198,$AC198,$AE198),2)-$B198/2&lt;=G198,IF(ROUND(AVERAGE($C198,$E198,$G198,$I198,$K198,$M198,$O198,$Q198,$S198,$U198,$W198,$Y198,$AA198,$AC198,$AE198),2)+$B198/2&gt;G198,($G$5/$B$5),0),0))))</f>
        <v/>
      </c>
      <c r="I198" s="141" t="str">
        <f>IF($I$8="Habilitado",IF($A198="","",ROUND(VLOOKUP($A198,'Presupuesto Consolidado'!$Y$9:$AD$600,6,FALSE),2)),"")</f>
        <v/>
      </c>
      <c r="J198" s="142" t="str">
        <f t="shared" ref="J198" si="2578">IF($A198="","",IF(I198="","",IF($K$4="Media aritmética",(I198&lt;=$B198)*($G$5/$B$5)+(I198&gt;$B198)*0,IF(ROUND(AVERAGE($C198,$E198,$G198,$I198,$K198,$M198,$O198,$Q198,$S198,$U198,$W198,$Y198,$AA198,$AC198,$AE198),2)-$B198/2&lt;=I198,IF(ROUND(AVERAGE($C198,$E198,$G198,$I198,$K198,$M198,$O198,$Q198,$S198,$U198,$W198,$Y198,$AA198,$AC198,$AE198),2)+$B198/2&gt;I198,($G$5/$B$5),0),0))))</f>
        <v/>
      </c>
      <c r="K198" s="141" t="str">
        <f>IF($K$8="Habilitado",IF($A198="","",ROUND(VLOOKUP($A198,'Presupuesto Consolidado'!#REF!,6,FALSE),2)),"")</f>
        <v/>
      </c>
      <c r="L198" s="142" t="str">
        <f t="shared" ref="L198" si="2579">IF($A198="","",IF(K198="","",IF($K$4="Media aritmética",(K198&lt;=$B198)*($G$5/$B$5)+(K198&gt;$B198)*0,IF(ROUND(AVERAGE($C198,$E198,$G198,$I198,$K198,$M198,$O198,$Q198,$S198,$U198,$W198,$Y198,$AA198,$AC198,$AE198),2)-$B198/2&lt;=K198,IF(ROUND(AVERAGE($C198,$E198,$G198,$I198,$K198,$M198,$O198,$Q198,$S198,$U198,$W198,$Y198,$AA198,$AC198,$AE198),2)+$B198/2&gt;K198,($G$5/$B$5),0),0))))</f>
        <v/>
      </c>
      <c r="M198" s="141" t="str">
        <f>IF($M$8="Habilitado",IF($A198="","",ROUND(VLOOKUP($A198,'Presupuesto Consolidado'!#REF!,6,FALSE),2)),"")</f>
        <v/>
      </c>
      <c r="N198" s="142" t="str">
        <f t="shared" ref="N198" si="2580">IF($A198="","",IF(M198="","",IF($K$4="Media aritmética",(M198&lt;=$B198)*($G$5/$B$5)+(M198&gt;$B198)*0,IF(ROUND(AVERAGE($C198,$E198,$G198,$I198,$K198,$M198,$O198,$Q198,$S198,$U198,$W198,$Y198,$AA198,$AC198,$AE198),2)-$B198/2&lt;=M198,IF(ROUND(AVERAGE($C198,$E198,$G198,$I198,$K198,$M198,$O198,$Q198,$S198,$U198,$W198,$Y198,$AA198,$AC198,$AE198),2)+$B198/2&gt;M198,($G$5/$B$5),0),0))))</f>
        <v/>
      </c>
      <c r="O198" s="141" t="str">
        <f>IF($O$8="Habilitado",IF($A198="","",ROUND(VLOOKUP($A198,'Presupuesto Consolidado'!#REF!,6,FALSE),2)),"")</f>
        <v/>
      </c>
      <c r="P198" s="142" t="str">
        <f t="shared" ref="P198" si="2581">IF($A198="","",IF(O198="","",IF($K$4="Media aritmética",(O198&lt;=$B198)*($G$5/$B$5)+(O198&gt;$B198)*0,IF(ROUND(AVERAGE($C198,$E198,$G198,$I198,$K198,$M198,$O198,$Q198,$S198,$U198,$W198,$Y198,$AA198,$AC198,$AE198),2)-$B198/2&lt;=O198,IF(ROUND(AVERAGE($C198,$E198,$G198,$I198,$K198,$M198,$O198,$Q198,$S198,$U198,$W198,$Y198,$AA198,$AC198,$AE198),2)+$B198/2&gt;O198,($G$5/$B$5),0),0))))</f>
        <v/>
      </c>
      <c r="Q198" s="141" t="str">
        <f>IF($Q$8="Habilitado",IF($A198="","",ROUND(VLOOKUP($A198,'Presupuesto Consolidado'!#REF!,6,FALSE),2)),"")</f>
        <v/>
      </c>
      <c r="R198" s="142" t="str">
        <f t="shared" ref="R198" si="2582">IF($A198="","",IF(Q198="","",IF($K$4="Media aritmética",(Q198&lt;=$B198)*($G$5/$B$5)+(Q198&gt;$B198)*0,IF(ROUND(AVERAGE($C198,$E198,$G198,$I198,$K198,$M198,$O198,$Q198,$S198,$U198,$W198,$Y198,$AA198,$AC198,$AE198),2)-$B198/2&lt;=Q198,IF(ROUND(AVERAGE($C198,$E198,$G198,$I198,$K198,$M198,$O198,$Q198,$S198,$U198,$W198,$Y198,$AA198,$AC198,$AE198),2)+$B198/2&gt;Q198,($G$5/$B$5),0),0))))</f>
        <v/>
      </c>
      <c r="S198" s="141" t="str">
        <f>IF($S$8="Habilitado",IF($A198="","",ROUND(VLOOKUP($A198,'Presupuesto Consolidado'!#REF!,6,FALSE),2)),"")</f>
        <v/>
      </c>
      <c r="T198" s="142" t="str">
        <f t="shared" ref="T198" si="2583">IF($A198="","",IF(S198="","",IF($K$4="Media aritmética",(S198&lt;=$B198)*($G$5/$B$5)+(S198&gt;$B198)*0,IF(ROUND(AVERAGE($C198,$E198,$G198,$I198,$K198,$M198,$O198,$Q198,$S198,$U198,$W198,$Y198,$AA198,$AC198,$AE198),2)-$B198/2&lt;=S198,IF(ROUND(AVERAGE($C198,$E198,$G198,$I198,$K198,$M198,$O198,$Q198,$S198,$U198,$W198,$Y198,$AA198,$AC198,$AE198),2)+$B198/2&gt;S198,($G$5/$B$5),0),0))))</f>
        <v/>
      </c>
      <c r="U198" s="141" t="str">
        <f>IF($U$8="Habilitado",IF($A198="","",ROUND(VLOOKUP($A198,'Presupuesto Consolidado'!#REF!,6,FALSE),2)),"")</f>
        <v/>
      </c>
      <c r="V198" s="142" t="str">
        <f t="shared" ref="V198" si="2584">IF($A198="","",IF(U198="","",IF($K$4="Media aritmética",(U198&lt;=$B198)*($G$5/$B$5)+(U198&gt;$B198)*0,IF(ROUND(AVERAGE($C198,$E198,$G198,$I198,$K198,$M198,$O198,$Q198,$S198,$U198,$W198,$Y198,$AA198,$AC198,$AE198),2)-$B198/2&lt;=U198,IF(ROUND(AVERAGE($C198,$E198,$G198,$I198,$K198,$M198,$O198,$Q198,$S198,$U198,$W198,$Y198,$AA198,$AC198,$AE198),2)+$B198/2&gt;U198,($G$5/$B$5),0),0))))</f>
        <v/>
      </c>
      <c r="W198" s="141" t="str">
        <f>IF($W$8="Habilitado",IF($A198="","",ROUND(VLOOKUP($A198,'Presupuesto Consolidado'!#REF!,6,FALSE),2)),"")</f>
        <v/>
      </c>
      <c r="X198" s="142" t="str">
        <f t="shared" ref="X198" si="2585">IF($A198="","",IF(W198="","",IF($K$4="Media aritmética",(W198&lt;=$B198)*($G$5/$B$5)+(W198&gt;$B198)*0,IF(ROUND(AVERAGE($C198,$E198,$G198,$I198,$K198,$M198,$O198,$Q198,$S198,$U198,$W198,$Y198,$AA198,$AC198,$AE198),2)-$B198/2&lt;=W198,IF(ROUND(AVERAGE($C198,$E198,$G198,$I198,$K198,$M198,$O198,$Q198,$S198,$U198,$W198,$Y198,$AA198,$AC198,$AE198),2)+$B198/2&gt;W198,($G$5/$B$5),0),0))))</f>
        <v/>
      </c>
      <c r="Y198" s="141" t="str">
        <f>IF($Y$8="Habilitado",IF($A198="","",ROUND(VLOOKUP($A198,'Presupuesto Consolidado'!#REF!,6,FALSE),2)),"")</f>
        <v/>
      </c>
      <c r="Z198" s="142" t="str">
        <f t="shared" ref="Z198" si="2586">IF($A198="","",IF(Y198="","",IF($K$4="Media aritmética",(Y198&lt;=$B198)*($G$5/$B$5)+(Y198&gt;$B198)*0,IF(ROUND(AVERAGE($C198,$E198,$G198,$I198,$K198,$M198,$O198,$Q198,$S198,$U198,$W198,$Y198,$AA198,$AC198,$AE198),2)-$B198/2&lt;=Y198,IF(ROUND(AVERAGE($C198,$E198,$G198,$I198,$K198,$M198,$O198,$Q198,$S198,$U198,$W198,$Y198,$AA198,$AC198,$AE198),2)+$B198/2&gt;Y198,($G$5/$B$5),0),0))))</f>
        <v/>
      </c>
      <c r="AA198" s="141" t="str">
        <f>IF($AA$8="Habilitado",IF($A198="","",ROUND(VLOOKUP($A198,'Presupuesto Consolidado'!#REF!,6,FALSE),2)),"")</f>
        <v/>
      </c>
      <c r="AB198" s="142" t="str">
        <f t="shared" ref="AB198" si="2587">IF($A198="","",IF(AA198="","",IF($K$4="Media aritmética",(AA198&lt;=$B198)*($G$5/$B$5)+(AA198&gt;$B198)*0,IF(ROUND(AVERAGE($C198,$E198,$G198,$I198,$K198,$M198,$O198,$Q198,$S198,$U198,$W198,$Y198,$AA198,$AC198,$AE198),2)-$B198/2&lt;=AA198,IF(ROUND(AVERAGE($C198,$E198,$G198,$I198,$K198,$M198,$O198,$Q198,$S198,$U198,$W198,$Y198,$AA198,$AC198,$AE198),2)+$B198/2&gt;AA198,($G$5/$B$5),0),0))))</f>
        <v/>
      </c>
      <c r="AC198" s="141" t="str">
        <f>IF($AC$8="Habilitado",IF($A198="","",ROUND(VLOOKUP($A198,'Presupuesto Consolidado'!#REF!,6,FALSE),2)),"")</f>
        <v/>
      </c>
      <c r="AD198" s="142" t="str">
        <f t="shared" ref="AD198" si="2588">IF($A198="","",IF(AC198="","",IF($K$4="Media aritmética",(AC198&lt;=$B198)*($G$5/$B$5)+(AC198&gt;$B198)*0,IF(ROUND(AVERAGE($C198,$E198,$G198,$I198,$K198,$M198,$O198,$Q198,$S198,$U198,$W198,$Y198,$AA198,$AC198,$AE198),2)-$B198/2&lt;=AC198,IF(ROUND(AVERAGE($C198,$E198,$G198,$I198,$K198,$M198,$O198,$Q198,$S198,$U198,$W198,$Y198,$AA198,$AC198,$AE198),2)+$B198/2&gt;AC198,($G$5/$B$5),0),0))))</f>
        <v/>
      </c>
      <c r="AE198" s="141" t="str">
        <f>IF($AE$8="Habilitado",IF($A198="","",ROUND(VLOOKUP($A198,'Presupuesto Consolidado'!#REF!,6,FALSE),2)),"")</f>
        <v/>
      </c>
      <c r="AF198" s="142" t="str">
        <f t="shared" ref="AF198" si="2589">IF($A198="","",IF(AE198="","",IF($K$4="Media aritmética",(AE198&lt;=$B198)*($G$5/$B$5)+(AE198&gt;$B198)*0,IF(ROUND(AVERAGE($C198,$E198,$G198,$I198,$K198,$M198,$O198,$Q198,$S198,$U198,$W198,$Y198,$AA198,$AC198,$AE198),2)-$B198/2&lt;=AE198,IF(ROUND(AVERAGE($C198,$E198,$G198,$I198,$K198,$M198,$O198,$Q198,$S198,$U198,$W198,$Y198,$AA198,$AC198,$AE198),2)+$B198/2&gt;AE198,($G$5/$B$5),0),0))))</f>
        <v/>
      </c>
    </row>
    <row r="199" spans="1:32" s="135" customFormat="1" ht="21" customHeight="1">
      <c r="A199" s="132" t="str">
        <f>+'Presupuesto Consolidado'!A236</f>
        <v>13.8.1</v>
      </c>
      <c r="B199" s="140">
        <f t="shared" ref="B199" si="2590">IF(A199="","",IF($K$4="Media aritmética",ROUND(AVERAGE(C199,E199,G199,I199,K199,M199,O199,Q199,S199,U199,W199,Y199,AA199,AC199,AE199),2),ROUND(_xlfn.STDEV.P(C199,E199,G199,I199,K199,M199,O199,Q199,S199,U199,W199,Y199,AA199,AC199,AE199),2)))</f>
        <v>656406</v>
      </c>
      <c r="C199" s="141">
        <f>IF($C$8="Habilitado",IF($A199="","",ROUND(VLOOKUP($A199,'Presupuesto Consolidado'!$A$9:$F$600,6,FALSE),2)),"")</f>
        <v>656406</v>
      </c>
      <c r="D199" s="142">
        <f t="shared" ref="D199" si="2591">IF($A199="","",IF(C199="","",IF($K$4="Media aritmética",(C199&lt;=$B199)*($G$5/$B$5)+(C199&gt;$B199)*0,IF(ROUND(AVERAGE($C199,$E199,$G199,$I199,$K199,$M199,$O199,$Q199,$S199,$U199,$W199,$Y199,$AA199,$AC199,$AE199),2)-$B199/2&lt;=C199,IF(ROUND(AVERAGE($C199,$E199,$G199,$I199,$K199,$M199,$O199,$Q199,$S199,$U199,$W199,$Y199,$AA199,$AC199,$AE199),2)+$B199/2&gt;C199,($G$5/$B$5),0),0))))</f>
        <v>0.45714285714285713</v>
      </c>
      <c r="E199" s="141" t="str">
        <f>IF($E$8="Habilitado",IF($A199="","",ROUND(VLOOKUP($A199,'Presupuesto Consolidado'!$I$9:$N$600,6,FALSE),2)),"")</f>
        <v/>
      </c>
      <c r="F199" s="142" t="str">
        <f t="shared" ref="F199" si="2592">IF($A199="","",IF(E199="","",IF($K$4="Media aritmética",(E199&lt;=$B199)*($G$5/$B$5)+(E199&gt;$B199)*0,IF(ROUND(AVERAGE($C199,$E199,$G199,$I199,$K199,$M199,$O199,$Q199,$S199,$U199,$W199,$Y199,$AA199,$AC199,$AE199),2)-$B199/2&lt;=E199,IF(ROUND(AVERAGE($C199,$E199,$G199,$I199,$K199,$M199,$O199,$Q199,$S199,$U199,$W199,$Y199,$AA199,$AC199,$AE199),2)+$B199/2&gt;E199,($G$5/$B$5),0),0))))</f>
        <v/>
      </c>
      <c r="G199" s="141" t="str">
        <f>IF($G$8="Habilitado",IF($A199="","",ROUND(VLOOKUP($A199,'Presupuesto Consolidado'!$Q$9:$V$600,6,FALSE),2)),"")</f>
        <v/>
      </c>
      <c r="H199" s="142" t="str">
        <f t="shared" ref="H199" si="2593">IF($A199="","",IF(G199="","",IF($K$4="Media aritmética",(G199&lt;=$B199)*($G$5/$B$5)+(G199&gt;$B199)*0,IF(ROUND(AVERAGE($C199,$E199,$G199,$I199,$K199,$M199,$O199,$Q199,$S199,$U199,$W199,$Y199,$AA199,$AC199,$AE199),2)-$B199/2&lt;=G199,IF(ROUND(AVERAGE($C199,$E199,$G199,$I199,$K199,$M199,$O199,$Q199,$S199,$U199,$W199,$Y199,$AA199,$AC199,$AE199),2)+$B199/2&gt;G199,($G$5/$B$5),0),0))))</f>
        <v/>
      </c>
      <c r="I199" s="141" t="str">
        <f>IF($I$8="Habilitado",IF($A199="","",ROUND(VLOOKUP($A199,'Presupuesto Consolidado'!$Y$9:$AD$600,6,FALSE),2)),"")</f>
        <v/>
      </c>
      <c r="J199" s="142" t="str">
        <f t="shared" ref="J199" si="2594">IF($A199="","",IF(I199="","",IF($K$4="Media aritmética",(I199&lt;=$B199)*($G$5/$B$5)+(I199&gt;$B199)*0,IF(ROUND(AVERAGE($C199,$E199,$G199,$I199,$K199,$M199,$O199,$Q199,$S199,$U199,$W199,$Y199,$AA199,$AC199,$AE199),2)-$B199/2&lt;=I199,IF(ROUND(AVERAGE($C199,$E199,$G199,$I199,$K199,$M199,$O199,$Q199,$S199,$U199,$W199,$Y199,$AA199,$AC199,$AE199),2)+$B199/2&gt;I199,($G$5/$B$5),0),0))))</f>
        <v/>
      </c>
      <c r="K199" s="141" t="str">
        <f>IF($K$8="Habilitado",IF($A199="","",ROUND(VLOOKUP($A199,'Presupuesto Consolidado'!#REF!,6,FALSE),2)),"")</f>
        <v/>
      </c>
      <c r="L199" s="142" t="str">
        <f t="shared" ref="L199" si="2595">IF($A199="","",IF(K199="","",IF($K$4="Media aritmética",(K199&lt;=$B199)*($G$5/$B$5)+(K199&gt;$B199)*0,IF(ROUND(AVERAGE($C199,$E199,$G199,$I199,$K199,$M199,$O199,$Q199,$S199,$U199,$W199,$Y199,$AA199,$AC199,$AE199),2)-$B199/2&lt;=K199,IF(ROUND(AVERAGE($C199,$E199,$G199,$I199,$K199,$M199,$O199,$Q199,$S199,$U199,$W199,$Y199,$AA199,$AC199,$AE199),2)+$B199/2&gt;K199,($G$5/$B$5),0),0))))</f>
        <v/>
      </c>
      <c r="M199" s="141" t="str">
        <f>IF($M$8="Habilitado",IF($A199="","",ROUND(VLOOKUP($A199,'Presupuesto Consolidado'!#REF!,6,FALSE),2)),"")</f>
        <v/>
      </c>
      <c r="N199" s="142" t="str">
        <f t="shared" ref="N199" si="2596">IF($A199="","",IF(M199="","",IF($K$4="Media aritmética",(M199&lt;=$B199)*($G$5/$B$5)+(M199&gt;$B199)*0,IF(ROUND(AVERAGE($C199,$E199,$G199,$I199,$K199,$M199,$O199,$Q199,$S199,$U199,$W199,$Y199,$AA199,$AC199,$AE199),2)-$B199/2&lt;=M199,IF(ROUND(AVERAGE($C199,$E199,$G199,$I199,$K199,$M199,$O199,$Q199,$S199,$U199,$W199,$Y199,$AA199,$AC199,$AE199),2)+$B199/2&gt;M199,($G$5/$B$5),0),0))))</f>
        <v/>
      </c>
      <c r="O199" s="141" t="str">
        <f>IF($O$8="Habilitado",IF($A199="","",ROUND(VLOOKUP($A199,'Presupuesto Consolidado'!#REF!,6,FALSE),2)),"")</f>
        <v/>
      </c>
      <c r="P199" s="142" t="str">
        <f t="shared" ref="P199" si="2597">IF($A199="","",IF(O199="","",IF($K$4="Media aritmética",(O199&lt;=$B199)*($G$5/$B$5)+(O199&gt;$B199)*0,IF(ROUND(AVERAGE($C199,$E199,$G199,$I199,$K199,$M199,$O199,$Q199,$S199,$U199,$W199,$Y199,$AA199,$AC199,$AE199),2)-$B199/2&lt;=O199,IF(ROUND(AVERAGE($C199,$E199,$G199,$I199,$K199,$M199,$O199,$Q199,$S199,$U199,$W199,$Y199,$AA199,$AC199,$AE199),2)+$B199/2&gt;O199,($G$5/$B$5),0),0))))</f>
        <v/>
      </c>
      <c r="Q199" s="141" t="str">
        <f>IF($Q$8="Habilitado",IF($A199="","",ROUND(VLOOKUP($A199,'Presupuesto Consolidado'!#REF!,6,FALSE),2)),"")</f>
        <v/>
      </c>
      <c r="R199" s="142" t="str">
        <f t="shared" ref="R199" si="2598">IF($A199="","",IF(Q199="","",IF($K$4="Media aritmética",(Q199&lt;=$B199)*($G$5/$B$5)+(Q199&gt;$B199)*0,IF(ROUND(AVERAGE($C199,$E199,$G199,$I199,$K199,$M199,$O199,$Q199,$S199,$U199,$W199,$Y199,$AA199,$AC199,$AE199),2)-$B199/2&lt;=Q199,IF(ROUND(AVERAGE($C199,$E199,$G199,$I199,$K199,$M199,$O199,$Q199,$S199,$U199,$W199,$Y199,$AA199,$AC199,$AE199),2)+$B199/2&gt;Q199,($G$5/$B$5),0),0))))</f>
        <v/>
      </c>
      <c r="S199" s="141" t="str">
        <f>IF($S$8="Habilitado",IF($A199="","",ROUND(VLOOKUP($A199,'Presupuesto Consolidado'!#REF!,6,FALSE),2)),"")</f>
        <v/>
      </c>
      <c r="T199" s="142" t="str">
        <f t="shared" ref="T199" si="2599">IF($A199="","",IF(S199="","",IF($K$4="Media aritmética",(S199&lt;=$B199)*($G$5/$B$5)+(S199&gt;$B199)*0,IF(ROUND(AVERAGE($C199,$E199,$G199,$I199,$K199,$M199,$O199,$Q199,$S199,$U199,$W199,$Y199,$AA199,$AC199,$AE199),2)-$B199/2&lt;=S199,IF(ROUND(AVERAGE($C199,$E199,$G199,$I199,$K199,$M199,$O199,$Q199,$S199,$U199,$W199,$Y199,$AA199,$AC199,$AE199),2)+$B199/2&gt;S199,($G$5/$B$5),0),0))))</f>
        <v/>
      </c>
      <c r="U199" s="141" t="str">
        <f>IF($U$8="Habilitado",IF($A199="","",ROUND(VLOOKUP($A199,'Presupuesto Consolidado'!#REF!,6,FALSE),2)),"")</f>
        <v/>
      </c>
      <c r="V199" s="142" t="str">
        <f t="shared" ref="V199" si="2600">IF($A199="","",IF(U199="","",IF($K$4="Media aritmética",(U199&lt;=$B199)*($G$5/$B$5)+(U199&gt;$B199)*0,IF(ROUND(AVERAGE($C199,$E199,$G199,$I199,$K199,$M199,$O199,$Q199,$S199,$U199,$W199,$Y199,$AA199,$AC199,$AE199),2)-$B199/2&lt;=U199,IF(ROUND(AVERAGE($C199,$E199,$G199,$I199,$K199,$M199,$O199,$Q199,$S199,$U199,$W199,$Y199,$AA199,$AC199,$AE199),2)+$B199/2&gt;U199,($G$5/$B$5),0),0))))</f>
        <v/>
      </c>
      <c r="W199" s="141" t="str">
        <f>IF($W$8="Habilitado",IF($A199="","",ROUND(VLOOKUP($A199,'Presupuesto Consolidado'!#REF!,6,FALSE),2)),"")</f>
        <v/>
      </c>
      <c r="X199" s="142" t="str">
        <f t="shared" ref="X199" si="2601">IF($A199="","",IF(W199="","",IF($K$4="Media aritmética",(W199&lt;=$B199)*($G$5/$B$5)+(W199&gt;$B199)*0,IF(ROUND(AVERAGE($C199,$E199,$G199,$I199,$K199,$M199,$O199,$Q199,$S199,$U199,$W199,$Y199,$AA199,$AC199,$AE199),2)-$B199/2&lt;=W199,IF(ROUND(AVERAGE($C199,$E199,$G199,$I199,$K199,$M199,$O199,$Q199,$S199,$U199,$W199,$Y199,$AA199,$AC199,$AE199),2)+$B199/2&gt;W199,($G$5/$B$5),0),0))))</f>
        <v/>
      </c>
      <c r="Y199" s="141" t="str">
        <f>IF($Y$8="Habilitado",IF($A199="","",ROUND(VLOOKUP($A199,'Presupuesto Consolidado'!#REF!,6,FALSE),2)),"")</f>
        <v/>
      </c>
      <c r="Z199" s="142" t="str">
        <f t="shared" ref="Z199" si="2602">IF($A199="","",IF(Y199="","",IF($K$4="Media aritmética",(Y199&lt;=$B199)*($G$5/$B$5)+(Y199&gt;$B199)*0,IF(ROUND(AVERAGE($C199,$E199,$G199,$I199,$K199,$M199,$O199,$Q199,$S199,$U199,$W199,$Y199,$AA199,$AC199,$AE199),2)-$B199/2&lt;=Y199,IF(ROUND(AVERAGE($C199,$E199,$G199,$I199,$K199,$M199,$O199,$Q199,$S199,$U199,$W199,$Y199,$AA199,$AC199,$AE199),2)+$B199/2&gt;Y199,($G$5/$B$5),0),0))))</f>
        <v/>
      </c>
      <c r="AA199" s="141" t="str">
        <f>IF($AA$8="Habilitado",IF($A199="","",ROUND(VLOOKUP($A199,'Presupuesto Consolidado'!#REF!,6,FALSE),2)),"")</f>
        <v/>
      </c>
      <c r="AB199" s="142" t="str">
        <f t="shared" ref="AB199" si="2603">IF($A199="","",IF(AA199="","",IF($K$4="Media aritmética",(AA199&lt;=$B199)*($G$5/$B$5)+(AA199&gt;$B199)*0,IF(ROUND(AVERAGE($C199,$E199,$G199,$I199,$K199,$M199,$O199,$Q199,$S199,$U199,$W199,$Y199,$AA199,$AC199,$AE199),2)-$B199/2&lt;=AA199,IF(ROUND(AVERAGE($C199,$E199,$G199,$I199,$K199,$M199,$O199,$Q199,$S199,$U199,$W199,$Y199,$AA199,$AC199,$AE199),2)+$B199/2&gt;AA199,($G$5/$B$5),0),0))))</f>
        <v/>
      </c>
      <c r="AC199" s="141" t="str">
        <f>IF($AC$8="Habilitado",IF($A199="","",ROUND(VLOOKUP($A199,'Presupuesto Consolidado'!#REF!,6,FALSE),2)),"")</f>
        <v/>
      </c>
      <c r="AD199" s="142" t="str">
        <f t="shared" ref="AD199" si="2604">IF($A199="","",IF(AC199="","",IF($K$4="Media aritmética",(AC199&lt;=$B199)*($G$5/$B$5)+(AC199&gt;$B199)*0,IF(ROUND(AVERAGE($C199,$E199,$G199,$I199,$K199,$M199,$O199,$Q199,$S199,$U199,$W199,$Y199,$AA199,$AC199,$AE199),2)-$B199/2&lt;=AC199,IF(ROUND(AVERAGE($C199,$E199,$G199,$I199,$K199,$M199,$O199,$Q199,$S199,$U199,$W199,$Y199,$AA199,$AC199,$AE199),2)+$B199/2&gt;AC199,($G$5/$B$5),0),0))))</f>
        <v/>
      </c>
      <c r="AE199" s="141" t="str">
        <f>IF($AE$8="Habilitado",IF($A199="","",ROUND(VLOOKUP($A199,'Presupuesto Consolidado'!#REF!,6,FALSE),2)),"")</f>
        <v/>
      </c>
      <c r="AF199" s="142" t="str">
        <f t="shared" ref="AF199" si="2605">IF($A199="","",IF(AE199="","",IF($K$4="Media aritmética",(AE199&lt;=$B199)*($G$5/$B$5)+(AE199&gt;$B199)*0,IF(ROUND(AVERAGE($C199,$E199,$G199,$I199,$K199,$M199,$O199,$Q199,$S199,$U199,$W199,$Y199,$AA199,$AC199,$AE199),2)-$B199/2&lt;=AE199,IF(ROUND(AVERAGE($C199,$E199,$G199,$I199,$K199,$M199,$O199,$Q199,$S199,$U199,$W199,$Y199,$AA199,$AC199,$AE199),2)+$B199/2&gt;AE199,($G$5/$B$5),0),0))))</f>
        <v/>
      </c>
    </row>
    <row r="200" spans="1:32" s="135" customFormat="1" ht="21" customHeight="1">
      <c r="A200" s="132" t="str">
        <f>+'Presupuesto Consolidado'!A237</f>
        <v>13.8.2</v>
      </c>
      <c r="B200" s="140">
        <f t="shared" ref="B200" si="2606">IF(A200="","",IF($K$4="Media aritmética",ROUND(AVERAGE(C200,E200,G200,I200,K200,M200,O200,Q200,S200,U200,W200,Y200,AA200,AC200,AE200),2),ROUND(_xlfn.STDEV.P(C200,E200,G200,I200,K200,M200,O200,Q200,S200,U200,W200,Y200,AA200,AC200,AE200),2)))</f>
        <v>171720</v>
      </c>
      <c r="C200" s="141">
        <f>IF($C$8="Habilitado",IF($A200="","",ROUND(VLOOKUP($A200,'Presupuesto Consolidado'!$A$9:$F$600,6,FALSE),2)),"")</f>
        <v>171720</v>
      </c>
      <c r="D200" s="142">
        <f t="shared" ref="D200" si="2607">IF($A200="","",IF(C200="","",IF($K$4="Media aritmética",(C200&lt;=$B200)*($G$5/$B$5)+(C200&gt;$B200)*0,IF(ROUND(AVERAGE($C200,$E200,$G200,$I200,$K200,$M200,$O200,$Q200,$S200,$U200,$W200,$Y200,$AA200,$AC200,$AE200),2)-$B200/2&lt;=C200,IF(ROUND(AVERAGE($C200,$E200,$G200,$I200,$K200,$M200,$O200,$Q200,$S200,$U200,$W200,$Y200,$AA200,$AC200,$AE200),2)+$B200/2&gt;C200,($G$5/$B$5),0),0))))</f>
        <v>0.45714285714285713</v>
      </c>
      <c r="E200" s="141" t="str">
        <f>IF($E$8="Habilitado",IF($A200="","",ROUND(VLOOKUP($A200,'Presupuesto Consolidado'!$I$9:$N$600,6,FALSE),2)),"")</f>
        <v/>
      </c>
      <c r="F200" s="142" t="str">
        <f t="shared" ref="F200" si="2608">IF($A200="","",IF(E200="","",IF($K$4="Media aritmética",(E200&lt;=$B200)*($G$5/$B$5)+(E200&gt;$B200)*0,IF(ROUND(AVERAGE($C200,$E200,$G200,$I200,$K200,$M200,$O200,$Q200,$S200,$U200,$W200,$Y200,$AA200,$AC200,$AE200),2)-$B200/2&lt;=E200,IF(ROUND(AVERAGE($C200,$E200,$G200,$I200,$K200,$M200,$O200,$Q200,$S200,$U200,$W200,$Y200,$AA200,$AC200,$AE200),2)+$B200/2&gt;E200,($G$5/$B$5),0),0))))</f>
        <v/>
      </c>
      <c r="G200" s="141" t="str">
        <f>IF($G$8="Habilitado",IF($A200="","",ROUND(VLOOKUP($A200,'Presupuesto Consolidado'!$Q$9:$V$600,6,FALSE),2)),"")</f>
        <v/>
      </c>
      <c r="H200" s="142" t="str">
        <f t="shared" ref="H200" si="2609">IF($A200="","",IF(G200="","",IF($K$4="Media aritmética",(G200&lt;=$B200)*($G$5/$B$5)+(G200&gt;$B200)*0,IF(ROUND(AVERAGE($C200,$E200,$G200,$I200,$K200,$M200,$O200,$Q200,$S200,$U200,$W200,$Y200,$AA200,$AC200,$AE200),2)-$B200/2&lt;=G200,IF(ROUND(AVERAGE($C200,$E200,$G200,$I200,$K200,$M200,$O200,$Q200,$S200,$U200,$W200,$Y200,$AA200,$AC200,$AE200),2)+$B200/2&gt;G200,($G$5/$B$5),0),0))))</f>
        <v/>
      </c>
      <c r="I200" s="141" t="str">
        <f>IF($I$8="Habilitado",IF($A200="","",ROUND(VLOOKUP($A200,'Presupuesto Consolidado'!$Y$9:$AD$600,6,FALSE),2)),"")</f>
        <v/>
      </c>
      <c r="J200" s="142" t="str">
        <f t="shared" ref="J200" si="2610">IF($A200="","",IF(I200="","",IF($K$4="Media aritmética",(I200&lt;=$B200)*($G$5/$B$5)+(I200&gt;$B200)*0,IF(ROUND(AVERAGE($C200,$E200,$G200,$I200,$K200,$M200,$O200,$Q200,$S200,$U200,$W200,$Y200,$AA200,$AC200,$AE200),2)-$B200/2&lt;=I200,IF(ROUND(AVERAGE($C200,$E200,$G200,$I200,$K200,$M200,$O200,$Q200,$S200,$U200,$W200,$Y200,$AA200,$AC200,$AE200),2)+$B200/2&gt;I200,($G$5/$B$5),0),0))))</f>
        <v/>
      </c>
      <c r="K200" s="141" t="str">
        <f>IF($K$8="Habilitado",IF($A200="","",ROUND(VLOOKUP($A200,'Presupuesto Consolidado'!#REF!,6,FALSE),2)),"")</f>
        <v/>
      </c>
      <c r="L200" s="142" t="str">
        <f t="shared" ref="L200" si="2611">IF($A200="","",IF(K200="","",IF($K$4="Media aritmética",(K200&lt;=$B200)*($G$5/$B$5)+(K200&gt;$B200)*0,IF(ROUND(AVERAGE($C200,$E200,$G200,$I200,$K200,$M200,$O200,$Q200,$S200,$U200,$W200,$Y200,$AA200,$AC200,$AE200),2)-$B200/2&lt;=K200,IF(ROUND(AVERAGE($C200,$E200,$G200,$I200,$K200,$M200,$O200,$Q200,$S200,$U200,$W200,$Y200,$AA200,$AC200,$AE200),2)+$B200/2&gt;K200,($G$5/$B$5),0),0))))</f>
        <v/>
      </c>
      <c r="M200" s="141" t="str">
        <f>IF($M$8="Habilitado",IF($A200="","",ROUND(VLOOKUP($A200,'Presupuesto Consolidado'!#REF!,6,FALSE),2)),"")</f>
        <v/>
      </c>
      <c r="N200" s="142" t="str">
        <f t="shared" ref="N200" si="2612">IF($A200="","",IF(M200="","",IF($K$4="Media aritmética",(M200&lt;=$B200)*($G$5/$B$5)+(M200&gt;$B200)*0,IF(ROUND(AVERAGE($C200,$E200,$G200,$I200,$K200,$M200,$O200,$Q200,$S200,$U200,$W200,$Y200,$AA200,$AC200,$AE200),2)-$B200/2&lt;=M200,IF(ROUND(AVERAGE($C200,$E200,$G200,$I200,$K200,$M200,$O200,$Q200,$S200,$U200,$W200,$Y200,$AA200,$AC200,$AE200),2)+$B200/2&gt;M200,($G$5/$B$5),0),0))))</f>
        <v/>
      </c>
      <c r="O200" s="141" t="str">
        <f>IF($O$8="Habilitado",IF($A200="","",ROUND(VLOOKUP($A200,'Presupuesto Consolidado'!#REF!,6,FALSE),2)),"")</f>
        <v/>
      </c>
      <c r="P200" s="142" t="str">
        <f t="shared" ref="P200" si="2613">IF($A200="","",IF(O200="","",IF($K$4="Media aritmética",(O200&lt;=$B200)*($G$5/$B$5)+(O200&gt;$B200)*0,IF(ROUND(AVERAGE($C200,$E200,$G200,$I200,$K200,$M200,$O200,$Q200,$S200,$U200,$W200,$Y200,$AA200,$AC200,$AE200),2)-$B200/2&lt;=O200,IF(ROUND(AVERAGE($C200,$E200,$G200,$I200,$K200,$M200,$O200,$Q200,$S200,$U200,$W200,$Y200,$AA200,$AC200,$AE200),2)+$B200/2&gt;O200,($G$5/$B$5),0),0))))</f>
        <v/>
      </c>
      <c r="Q200" s="141" t="str">
        <f>IF($Q$8="Habilitado",IF($A200="","",ROUND(VLOOKUP($A200,'Presupuesto Consolidado'!#REF!,6,FALSE),2)),"")</f>
        <v/>
      </c>
      <c r="R200" s="142" t="str">
        <f t="shared" ref="R200" si="2614">IF($A200="","",IF(Q200="","",IF($K$4="Media aritmética",(Q200&lt;=$B200)*($G$5/$B$5)+(Q200&gt;$B200)*0,IF(ROUND(AVERAGE($C200,$E200,$G200,$I200,$K200,$M200,$O200,$Q200,$S200,$U200,$W200,$Y200,$AA200,$AC200,$AE200),2)-$B200/2&lt;=Q200,IF(ROUND(AVERAGE($C200,$E200,$G200,$I200,$K200,$M200,$O200,$Q200,$S200,$U200,$W200,$Y200,$AA200,$AC200,$AE200),2)+$B200/2&gt;Q200,($G$5/$B$5),0),0))))</f>
        <v/>
      </c>
      <c r="S200" s="141" t="str">
        <f>IF($S$8="Habilitado",IF($A200="","",ROUND(VLOOKUP($A200,'Presupuesto Consolidado'!#REF!,6,FALSE),2)),"")</f>
        <v/>
      </c>
      <c r="T200" s="142" t="str">
        <f t="shared" ref="T200" si="2615">IF($A200="","",IF(S200="","",IF($K$4="Media aritmética",(S200&lt;=$B200)*($G$5/$B$5)+(S200&gt;$B200)*0,IF(ROUND(AVERAGE($C200,$E200,$G200,$I200,$K200,$M200,$O200,$Q200,$S200,$U200,$W200,$Y200,$AA200,$AC200,$AE200),2)-$B200/2&lt;=S200,IF(ROUND(AVERAGE($C200,$E200,$G200,$I200,$K200,$M200,$O200,$Q200,$S200,$U200,$W200,$Y200,$AA200,$AC200,$AE200),2)+$B200/2&gt;S200,($G$5/$B$5),0),0))))</f>
        <v/>
      </c>
      <c r="U200" s="141" t="str">
        <f>IF($U$8="Habilitado",IF($A200="","",ROUND(VLOOKUP($A200,'Presupuesto Consolidado'!#REF!,6,FALSE),2)),"")</f>
        <v/>
      </c>
      <c r="V200" s="142" t="str">
        <f t="shared" ref="V200" si="2616">IF($A200="","",IF(U200="","",IF($K$4="Media aritmética",(U200&lt;=$B200)*($G$5/$B$5)+(U200&gt;$B200)*0,IF(ROUND(AVERAGE($C200,$E200,$G200,$I200,$K200,$M200,$O200,$Q200,$S200,$U200,$W200,$Y200,$AA200,$AC200,$AE200),2)-$B200/2&lt;=U200,IF(ROUND(AVERAGE($C200,$E200,$G200,$I200,$K200,$M200,$O200,$Q200,$S200,$U200,$W200,$Y200,$AA200,$AC200,$AE200),2)+$B200/2&gt;U200,($G$5/$B$5),0),0))))</f>
        <v/>
      </c>
      <c r="W200" s="141" t="str">
        <f>IF($W$8="Habilitado",IF($A200="","",ROUND(VLOOKUP($A200,'Presupuesto Consolidado'!#REF!,6,FALSE),2)),"")</f>
        <v/>
      </c>
      <c r="X200" s="142" t="str">
        <f t="shared" ref="X200" si="2617">IF($A200="","",IF(W200="","",IF($K$4="Media aritmética",(W200&lt;=$B200)*($G$5/$B$5)+(W200&gt;$B200)*0,IF(ROUND(AVERAGE($C200,$E200,$G200,$I200,$K200,$M200,$O200,$Q200,$S200,$U200,$W200,$Y200,$AA200,$AC200,$AE200),2)-$B200/2&lt;=W200,IF(ROUND(AVERAGE($C200,$E200,$G200,$I200,$K200,$M200,$O200,$Q200,$S200,$U200,$W200,$Y200,$AA200,$AC200,$AE200),2)+$B200/2&gt;W200,($G$5/$B$5),0),0))))</f>
        <v/>
      </c>
      <c r="Y200" s="141" t="str">
        <f>IF($Y$8="Habilitado",IF($A200="","",ROUND(VLOOKUP($A200,'Presupuesto Consolidado'!#REF!,6,FALSE),2)),"")</f>
        <v/>
      </c>
      <c r="Z200" s="142" t="str">
        <f t="shared" ref="Z200" si="2618">IF($A200="","",IF(Y200="","",IF($K$4="Media aritmética",(Y200&lt;=$B200)*($G$5/$B$5)+(Y200&gt;$B200)*0,IF(ROUND(AVERAGE($C200,$E200,$G200,$I200,$K200,$M200,$O200,$Q200,$S200,$U200,$W200,$Y200,$AA200,$AC200,$AE200),2)-$B200/2&lt;=Y200,IF(ROUND(AVERAGE($C200,$E200,$G200,$I200,$K200,$M200,$O200,$Q200,$S200,$U200,$W200,$Y200,$AA200,$AC200,$AE200),2)+$B200/2&gt;Y200,($G$5/$B$5),0),0))))</f>
        <v/>
      </c>
      <c r="AA200" s="141" t="str">
        <f>IF($AA$8="Habilitado",IF($A200="","",ROUND(VLOOKUP($A200,'Presupuesto Consolidado'!#REF!,6,FALSE),2)),"")</f>
        <v/>
      </c>
      <c r="AB200" s="142" t="str">
        <f t="shared" ref="AB200" si="2619">IF($A200="","",IF(AA200="","",IF($K$4="Media aritmética",(AA200&lt;=$B200)*($G$5/$B$5)+(AA200&gt;$B200)*0,IF(ROUND(AVERAGE($C200,$E200,$G200,$I200,$K200,$M200,$O200,$Q200,$S200,$U200,$W200,$Y200,$AA200,$AC200,$AE200),2)-$B200/2&lt;=AA200,IF(ROUND(AVERAGE($C200,$E200,$G200,$I200,$K200,$M200,$O200,$Q200,$S200,$U200,$W200,$Y200,$AA200,$AC200,$AE200),2)+$B200/2&gt;AA200,($G$5/$B$5),0),0))))</f>
        <v/>
      </c>
      <c r="AC200" s="141" t="str">
        <f>IF($AC$8="Habilitado",IF($A200="","",ROUND(VLOOKUP($A200,'Presupuesto Consolidado'!#REF!,6,FALSE),2)),"")</f>
        <v/>
      </c>
      <c r="AD200" s="142" t="str">
        <f t="shared" ref="AD200" si="2620">IF($A200="","",IF(AC200="","",IF($K$4="Media aritmética",(AC200&lt;=$B200)*($G$5/$B$5)+(AC200&gt;$B200)*0,IF(ROUND(AVERAGE($C200,$E200,$G200,$I200,$K200,$M200,$O200,$Q200,$S200,$U200,$W200,$Y200,$AA200,$AC200,$AE200),2)-$B200/2&lt;=AC200,IF(ROUND(AVERAGE($C200,$E200,$G200,$I200,$K200,$M200,$O200,$Q200,$S200,$U200,$W200,$Y200,$AA200,$AC200,$AE200),2)+$B200/2&gt;AC200,($G$5/$B$5),0),0))))</f>
        <v/>
      </c>
      <c r="AE200" s="141" t="str">
        <f>IF($AE$8="Habilitado",IF($A200="","",ROUND(VLOOKUP($A200,'Presupuesto Consolidado'!#REF!,6,FALSE),2)),"")</f>
        <v/>
      </c>
      <c r="AF200" s="142" t="str">
        <f t="shared" ref="AF200" si="2621">IF($A200="","",IF(AE200="","",IF($K$4="Media aritmética",(AE200&lt;=$B200)*($G$5/$B$5)+(AE200&gt;$B200)*0,IF(ROUND(AVERAGE($C200,$E200,$G200,$I200,$K200,$M200,$O200,$Q200,$S200,$U200,$W200,$Y200,$AA200,$AC200,$AE200),2)-$B200/2&lt;=AE200,IF(ROUND(AVERAGE($C200,$E200,$G200,$I200,$K200,$M200,$O200,$Q200,$S200,$U200,$W200,$Y200,$AA200,$AC200,$AE200),2)+$B200/2&gt;AE200,($G$5/$B$5),0),0))))</f>
        <v/>
      </c>
    </row>
    <row r="201" spans="1:32" s="135" customFormat="1" ht="21" customHeight="1">
      <c r="A201" s="132" t="str">
        <f>+'Presupuesto Consolidado'!A238</f>
        <v>13.8.3</v>
      </c>
      <c r="B201" s="140">
        <f t="shared" ref="B201" si="2622">IF(A201="","",IF($K$4="Media aritmética",ROUND(AVERAGE(C201,E201,G201,I201,K201,M201,O201,Q201,S201,U201,W201,Y201,AA201,AC201,AE201),2),ROUND(_xlfn.STDEV.P(C201,E201,G201,I201,K201,M201,O201,Q201,S201,U201,W201,Y201,AA201,AC201,AE201),2)))</f>
        <v>281344</v>
      </c>
      <c r="C201" s="141">
        <f>IF($C$8="Habilitado",IF($A201="","",ROUND(VLOOKUP($A201,'Presupuesto Consolidado'!$A$9:$F$600,6,FALSE),2)),"")</f>
        <v>281344</v>
      </c>
      <c r="D201" s="142">
        <f t="shared" ref="D201" si="2623">IF($A201="","",IF(C201="","",IF($K$4="Media aritmética",(C201&lt;=$B201)*($G$5/$B$5)+(C201&gt;$B201)*0,IF(ROUND(AVERAGE($C201,$E201,$G201,$I201,$K201,$M201,$O201,$Q201,$S201,$U201,$W201,$Y201,$AA201,$AC201,$AE201),2)-$B201/2&lt;=C201,IF(ROUND(AVERAGE($C201,$E201,$G201,$I201,$K201,$M201,$O201,$Q201,$S201,$U201,$W201,$Y201,$AA201,$AC201,$AE201),2)+$B201/2&gt;C201,($G$5/$B$5),0),0))))</f>
        <v>0.45714285714285713</v>
      </c>
      <c r="E201" s="141" t="str">
        <f>IF($E$8="Habilitado",IF($A201="","",ROUND(VLOOKUP($A201,'Presupuesto Consolidado'!$I$9:$N$600,6,FALSE),2)),"")</f>
        <v/>
      </c>
      <c r="F201" s="142" t="str">
        <f t="shared" ref="F201" si="2624">IF($A201="","",IF(E201="","",IF($K$4="Media aritmética",(E201&lt;=$B201)*($G$5/$B$5)+(E201&gt;$B201)*0,IF(ROUND(AVERAGE($C201,$E201,$G201,$I201,$K201,$M201,$O201,$Q201,$S201,$U201,$W201,$Y201,$AA201,$AC201,$AE201),2)-$B201/2&lt;=E201,IF(ROUND(AVERAGE($C201,$E201,$G201,$I201,$K201,$M201,$O201,$Q201,$S201,$U201,$W201,$Y201,$AA201,$AC201,$AE201),2)+$B201/2&gt;E201,($G$5/$B$5),0),0))))</f>
        <v/>
      </c>
      <c r="G201" s="141" t="str">
        <f>IF($G$8="Habilitado",IF($A201="","",ROUND(VLOOKUP($A201,'Presupuesto Consolidado'!$Q$9:$V$600,6,FALSE),2)),"")</f>
        <v/>
      </c>
      <c r="H201" s="142" t="str">
        <f t="shared" ref="H201" si="2625">IF($A201="","",IF(G201="","",IF($K$4="Media aritmética",(G201&lt;=$B201)*($G$5/$B$5)+(G201&gt;$B201)*0,IF(ROUND(AVERAGE($C201,$E201,$G201,$I201,$K201,$M201,$O201,$Q201,$S201,$U201,$W201,$Y201,$AA201,$AC201,$AE201),2)-$B201/2&lt;=G201,IF(ROUND(AVERAGE($C201,$E201,$G201,$I201,$K201,$M201,$O201,$Q201,$S201,$U201,$W201,$Y201,$AA201,$AC201,$AE201),2)+$B201/2&gt;G201,($G$5/$B$5),0),0))))</f>
        <v/>
      </c>
      <c r="I201" s="141" t="str">
        <f>IF($I$8="Habilitado",IF($A201="","",ROUND(VLOOKUP($A201,'Presupuesto Consolidado'!$Y$9:$AD$600,6,FALSE),2)),"")</f>
        <v/>
      </c>
      <c r="J201" s="142" t="str">
        <f t="shared" ref="J201" si="2626">IF($A201="","",IF(I201="","",IF($K$4="Media aritmética",(I201&lt;=$B201)*($G$5/$B$5)+(I201&gt;$B201)*0,IF(ROUND(AVERAGE($C201,$E201,$G201,$I201,$K201,$M201,$O201,$Q201,$S201,$U201,$W201,$Y201,$AA201,$AC201,$AE201),2)-$B201/2&lt;=I201,IF(ROUND(AVERAGE($C201,$E201,$G201,$I201,$K201,$M201,$O201,$Q201,$S201,$U201,$W201,$Y201,$AA201,$AC201,$AE201),2)+$B201/2&gt;I201,($G$5/$B$5),0),0))))</f>
        <v/>
      </c>
      <c r="K201" s="141" t="str">
        <f>IF($K$8="Habilitado",IF($A201="","",ROUND(VLOOKUP($A201,'Presupuesto Consolidado'!#REF!,6,FALSE),2)),"")</f>
        <v/>
      </c>
      <c r="L201" s="142" t="str">
        <f t="shared" ref="L201" si="2627">IF($A201="","",IF(K201="","",IF($K$4="Media aritmética",(K201&lt;=$B201)*($G$5/$B$5)+(K201&gt;$B201)*0,IF(ROUND(AVERAGE($C201,$E201,$G201,$I201,$K201,$M201,$O201,$Q201,$S201,$U201,$W201,$Y201,$AA201,$AC201,$AE201),2)-$B201/2&lt;=K201,IF(ROUND(AVERAGE($C201,$E201,$G201,$I201,$K201,$M201,$O201,$Q201,$S201,$U201,$W201,$Y201,$AA201,$AC201,$AE201),2)+$B201/2&gt;K201,($G$5/$B$5),0),0))))</f>
        <v/>
      </c>
      <c r="M201" s="141" t="str">
        <f>IF($M$8="Habilitado",IF($A201="","",ROUND(VLOOKUP($A201,'Presupuesto Consolidado'!#REF!,6,FALSE),2)),"")</f>
        <v/>
      </c>
      <c r="N201" s="142" t="str">
        <f t="shared" ref="N201" si="2628">IF($A201="","",IF(M201="","",IF($K$4="Media aritmética",(M201&lt;=$B201)*($G$5/$B$5)+(M201&gt;$B201)*0,IF(ROUND(AVERAGE($C201,$E201,$G201,$I201,$K201,$M201,$O201,$Q201,$S201,$U201,$W201,$Y201,$AA201,$AC201,$AE201),2)-$B201/2&lt;=M201,IF(ROUND(AVERAGE($C201,$E201,$G201,$I201,$K201,$M201,$O201,$Q201,$S201,$U201,$W201,$Y201,$AA201,$AC201,$AE201),2)+$B201/2&gt;M201,($G$5/$B$5),0),0))))</f>
        <v/>
      </c>
      <c r="O201" s="141" t="str">
        <f>IF($O$8="Habilitado",IF($A201="","",ROUND(VLOOKUP($A201,'Presupuesto Consolidado'!#REF!,6,FALSE),2)),"")</f>
        <v/>
      </c>
      <c r="P201" s="142" t="str">
        <f t="shared" ref="P201" si="2629">IF($A201="","",IF(O201="","",IF($K$4="Media aritmética",(O201&lt;=$B201)*($G$5/$B$5)+(O201&gt;$B201)*0,IF(ROUND(AVERAGE($C201,$E201,$G201,$I201,$K201,$M201,$O201,$Q201,$S201,$U201,$W201,$Y201,$AA201,$AC201,$AE201),2)-$B201/2&lt;=O201,IF(ROUND(AVERAGE($C201,$E201,$G201,$I201,$K201,$M201,$O201,$Q201,$S201,$U201,$W201,$Y201,$AA201,$AC201,$AE201),2)+$B201/2&gt;O201,($G$5/$B$5),0),0))))</f>
        <v/>
      </c>
      <c r="Q201" s="141" t="str">
        <f>IF($Q$8="Habilitado",IF($A201="","",ROUND(VLOOKUP($A201,'Presupuesto Consolidado'!#REF!,6,FALSE),2)),"")</f>
        <v/>
      </c>
      <c r="R201" s="142" t="str">
        <f t="shared" ref="R201" si="2630">IF($A201="","",IF(Q201="","",IF($K$4="Media aritmética",(Q201&lt;=$B201)*($G$5/$B$5)+(Q201&gt;$B201)*0,IF(ROUND(AVERAGE($C201,$E201,$G201,$I201,$K201,$M201,$O201,$Q201,$S201,$U201,$W201,$Y201,$AA201,$AC201,$AE201),2)-$B201/2&lt;=Q201,IF(ROUND(AVERAGE($C201,$E201,$G201,$I201,$K201,$M201,$O201,$Q201,$S201,$U201,$W201,$Y201,$AA201,$AC201,$AE201),2)+$B201/2&gt;Q201,($G$5/$B$5),0),0))))</f>
        <v/>
      </c>
      <c r="S201" s="141" t="str">
        <f>IF($S$8="Habilitado",IF($A201="","",ROUND(VLOOKUP($A201,'Presupuesto Consolidado'!#REF!,6,FALSE),2)),"")</f>
        <v/>
      </c>
      <c r="T201" s="142" t="str">
        <f t="shared" ref="T201" si="2631">IF($A201="","",IF(S201="","",IF($K$4="Media aritmética",(S201&lt;=$B201)*($G$5/$B$5)+(S201&gt;$B201)*0,IF(ROUND(AVERAGE($C201,$E201,$G201,$I201,$K201,$M201,$O201,$Q201,$S201,$U201,$W201,$Y201,$AA201,$AC201,$AE201),2)-$B201/2&lt;=S201,IF(ROUND(AVERAGE($C201,$E201,$G201,$I201,$K201,$M201,$O201,$Q201,$S201,$U201,$W201,$Y201,$AA201,$AC201,$AE201),2)+$B201/2&gt;S201,($G$5/$B$5),0),0))))</f>
        <v/>
      </c>
      <c r="U201" s="141" t="str">
        <f>IF($U$8="Habilitado",IF($A201="","",ROUND(VLOOKUP($A201,'Presupuesto Consolidado'!#REF!,6,FALSE),2)),"")</f>
        <v/>
      </c>
      <c r="V201" s="142" t="str">
        <f t="shared" ref="V201" si="2632">IF($A201="","",IF(U201="","",IF($K$4="Media aritmética",(U201&lt;=$B201)*($G$5/$B$5)+(U201&gt;$B201)*0,IF(ROUND(AVERAGE($C201,$E201,$G201,$I201,$K201,$M201,$O201,$Q201,$S201,$U201,$W201,$Y201,$AA201,$AC201,$AE201),2)-$B201/2&lt;=U201,IF(ROUND(AVERAGE($C201,$E201,$G201,$I201,$K201,$M201,$O201,$Q201,$S201,$U201,$W201,$Y201,$AA201,$AC201,$AE201),2)+$B201/2&gt;U201,($G$5/$B$5),0),0))))</f>
        <v/>
      </c>
      <c r="W201" s="141" t="str">
        <f>IF($W$8="Habilitado",IF($A201="","",ROUND(VLOOKUP($A201,'Presupuesto Consolidado'!#REF!,6,FALSE),2)),"")</f>
        <v/>
      </c>
      <c r="X201" s="142" t="str">
        <f t="shared" ref="X201" si="2633">IF($A201="","",IF(W201="","",IF($K$4="Media aritmética",(W201&lt;=$B201)*($G$5/$B$5)+(W201&gt;$B201)*0,IF(ROUND(AVERAGE($C201,$E201,$G201,$I201,$K201,$M201,$O201,$Q201,$S201,$U201,$W201,$Y201,$AA201,$AC201,$AE201),2)-$B201/2&lt;=W201,IF(ROUND(AVERAGE($C201,$E201,$G201,$I201,$K201,$M201,$O201,$Q201,$S201,$U201,$W201,$Y201,$AA201,$AC201,$AE201),2)+$B201/2&gt;W201,($G$5/$B$5),0),0))))</f>
        <v/>
      </c>
      <c r="Y201" s="141" t="str">
        <f>IF($Y$8="Habilitado",IF($A201="","",ROUND(VLOOKUP($A201,'Presupuesto Consolidado'!#REF!,6,FALSE),2)),"")</f>
        <v/>
      </c>
      <c r="Z201" s="142" t="str">
        <f t="shared" ref="Z201" si="2634">IF($A201="","",IF(Y201="","",IF($K$4="Media aritmética",(Y201&lt;=$B201)*($G$5/$B$5)+(Y201&gt;$B201)*0,IF(ROUND(AVERAGE($C201,$E201,$G201,$I201,$K201,$M201,$O201,$Q201,$S201,$U201,$W201,$Y201,$AA201,$AC201,$AE201),2)-$B201/2&lt;=Y201,IF(ROUND(AVERAGE($C201,$E201,$G201,$I201,$K201,$M201,$O201,$Q201,$S201,$U201,$W201,$Y201,$AA201,$AC201,$AE201),2)+$B201/2&gt;Y201,($G$5/$B$5),0),0))))</f>
        <v/>
      </c>
      <c r="AA201" s="141" t="str">
        <f>IF($AA$8="Habilitado",IF($A201="","",ROUND(VLOOKUP($A201,'Presupuesto Consolidado'!#REF!,6,FALSE),2)),"")</f>
        <v/>
      </c>
      <c r="AB201" s="142" t="str">
        <f t="shared" ref="AB201" si="2635">IF($A201="","",IF(AA201="","",IF($K$4="Media aritmética",(AA201&lt;=$B201)*($G$5/$B$5)+(AA201&gt;$B201)*0,IF(ROUND(AVERAGE($C201,$E201,$G201,$I201,$K201,$M201,$O201,$Q201,$S201,$U201,$W201,$Y201,$AA201,$AC201,$AE201),2)-$B201/2&lt;=AA201,IF(ROUND(AVERAGE($C201,$E201,$G201,$I201,$K201,$M201,$O201,$Q201,$S201,$U201,$W201,$Y201,$AA201,$AC201,$AE201),2)+$B201/2&gt;AA201,($G$5/$B$5),0),0))))</f>
        <v/>
      </c>
      <c r="AC201" s="141" t="str">
        <f>IF($AC$8="Habilitado",IF($A201="","",ROUND(VLOOKUP($A201,'Presupuesto Consolidado'!#REF!,6,FALSE),2)),"")</f>
        <v/>
      </c>
      <c r="AD201" s="142" t="str">
        <f t="shared" ref="AD201" si="2636">IF($A201="","",IF(AC201="","",IF($K$4="Media aritmética",(AC201&lt;=$B201)*($G$5/$B$5)+(AC201&gt;$B201)*0,IF(ROUND(AVERAGE($C201,$E201,$G201,$I201,$K201,$M201,$O201,$Q201,$S201,$U201,$W201,$Y201,$AA201,$AC201,$AE201),2)-$B201/2&lt;=AC201,IF(ROUND(AVERAGE($C201,$E201,$G201,$I201,$K201,$M201,$O201,$Q201,$S201,$U201,$W201,$Y201,$AA201,$AC201,$AE201),2)+$B201/2&gt;AC201,($G$5/$B$5),0),0))))</f>
        <v/>
      </c>
      <c r="AE201" s="141" t="str">
        <f>IF($AE$8="Habilitado",IF($A201="","",ROUND(VLOOKUP($A201,'Presupuesto Consolidado'!#REF!,6,FALSE),2)),"")</f>
        <v/>
      </c>
      <c r="AF201" s="142" t="str">
        <f t="shared" ref="AF201" si="2637">IF($A201="","",IF(AE201="","",IF($K$4="Media aritmética",(AE201&lt;=$B201)*($G$5/$B$5)+(AE201&gt;$B201)*0,IF(ROUND(AVERAGE($C201,$E201,$G201,$I201,$K201,$M201,$O201,$Q201,$S201,$U201,$W201,$Y201,$AA201,$AC201,$AE201),2)-$B201/2&lt;=AE201,IF(ROUND(AVERAGE($C201,$E201,$G201,$I201,$K201,$M201,$O201,$Q201,$S201,$U201,$W201,$Y201,$AA201,$AC201,$AE201),2)+$B201/2&gt;AE201,($G$5/$B$5),0),0))))</f>
        <v/>
      </c>
    </row>
    <row r="202" spans="1:32" s="135" customFormat="1" ht="21" customHeight="1">
      <c r="A202" s="132" t="str">
        <f>+'Presupuesto Consolidado'!A239</f>
        <v>13.8.4</v>
      </c>
      <c r="B202" s="140">
        <f t="shared" ref="B202" si="2638">IF(A202="","",IF($K$4="Media aritmética",ROUND(AVERAGE(C202,E202,G202,I202,K202,M202,O202,Q202,S202,U202,W202,Y202,AA202,AC202,AE202),2),ROUND(_xlfn.STDEV.P(C202,E202,G202,I202,K202,M202,O202,Q202,S202,U202,W202,Y202,AA202,AC202,AE202),2)))</f>
        <v>130500</v>
      </c>
      <c r="C202" s="141">
        <f>IF($C$8="Habilitado",IF($A202="","",ROUND(VLOOKUP($A202,'Presupuesto Consolidado'!$A$9:$F$600,6,FALSE),2)),"")</f>
        <v>130500</v>
      </c>
      <c r="D202" s="142">
        <f t="shared" ref="D202" si="2639">IF($A202="","",IF(C202="","",IF($K$4="Media aritmética",(C202&lt;=$B202)*($G$5/$B$5)+(C202&gt;$B202)*0,IF(ROUND(AVERAGE($C202,$E202,$G202,$I202,$K202,$M202,$O202,$Q202,$S202,$U202,$W202,$Y202,$AA202,$AC202,$AE202),2)-$B202/2&lt;=C202,IF(ROUND(AVERAGE($C202,$E202,$G202,$I202,$K202,$M202,$O202,$Q202,$S202,$U202,$W202,$Y202,$AA202,$AC202,$AE202),2)+$B202/2&gt;C202,($G$5/$B$5),0),0))))</f>
        <v>0.45714285714285713</v>
      </c>
      <c r="E202" s="141" t="str">
        <f>IF($E$8="Habilitado",IF($A202="","",ROUND(VLOOKUP($A202,'Presupuesto Consolidado'!$I$9:$N$600,6,FALSE),2)),"")</f>
        <v/>
      </c>
      <c r="F202" s="142" t="str">
        <f t="shared" ref="F202" si="2640">IF($A202="","",IF(E202="","",IF($K$4="Media aritmética",(E202&lt;=$B202)*($G$5/$B$5)+(E202&gt;$B202)*0,IF(ROUND(AVERAGE($C202,$E202,$G202,$I202,$K202,$M202,$O202,$Q202,$S202,$U202,$W202,$Y202,$AA202,$AC202,$AE202),2)-$B202/2&lt;=E202,IF(ROUND(AVERAGE($C202,$E202,$G202,$I202,$K202,$M202,$O202,$Q202,$S202,$U202,$W202,$Y202,$AA202,$AC202,$AE202),2)+$B202/2&gt;E202,($G$5/$B$5),0),0))))</f>
        <v/>
      </c>
      <c r="G202" s="141" t="str">
        <f>IF($G$8="Habilitado",IF($A202="","",ROUND(VLOOKUP($A202,'Presupuesto Consolidado'!$Q$9:$V$600,6,FALSE),2)),"")</f>
        <v/>
      </c>
      <c r="H202" s="142" t="str">
        <f t="shared" ref="H202" si="2641">IF($A202="","",IF(G202="","",IF($K$4="Media aritmética",(G202&lt;=$B202)*($G$5/$B$5)+(G202&gt;$B202)*0,IF(ROUND(AVERAGE($C202,$E202,$G202,$I202,$K202,$M202,$O202,$Q202,$S202,$U202,$W202,$Y202,$AA202,$AC202,$AE202),2)-$B202/2&lt;=G202,IF(ROUND(AVERAGE($C202,$E202,$G202,$I202,$K202,$M202,$O202,$Q202,$S202,$U202,$W202,$Y202,$AA202,$AC202,$AE202),2)+$B202/2&gt;G202,($G$5/$B$5),0),0))))</f>
        <v/>
      </c>
      <c r="I202" s="141" t="str">
        <f>IF($I$8="Habilitado",IF($A202="","",ROUND(VLOOKUP($A202,'Presupuesto Consolidado'!$Y$9:$AD$600,6,FALSE),2)),"")</f>
        <v/>
      </c>
      <c r="J202" s="142" t="str">
        <f t="shared" ref="J202" si="2642">IF($A202="","",IF(I202="","",IF($K$4="Media aritmética",(I202&lt;=$B202)*($G$5/$B$5)+(I202&gt;$B202)*0,IF(ROUND(AVERAGE($C202,$E202,$G202,$I202,$K202,$M202,$O202,$Q202,$S202,$U202,$W202,$Y202,$AA202,$AC202,$AE202),2)-$B202/2&lt;=I202,IF(ROUND(AVERAGE($C202,$E202,$G202,$I202,$K202,$M202,$O202,$Q202,$S202,$U202,$W202,$Y202,$AA202,$AC202,$AE202),2)+$B202/2&gt;I202,($G$5/$B$5),0),0))))</f>
        <v/>
      </c>
      <c r="K202" s="141" t="str">
        <f>IF($K$8="Habilitado",IF($A202="","",ROUND(VLOOKUP($A202,'Presupuesto Consolidado'!#REF!,6,FALSE),2)),"")</f>
        <v/>
      </c>
      <c r="L202" s="142" t="str">
        <f t="shared" ref="L202" si="2643">IF($A202="","",IF(K202="","",IF($K$4="Media aritmética",(K202&lt;=$B202)*($G$5/$B$5)+(K202&gt;$B202)*0,IF(ROUND(AVERAGE($C202,$E202,$G202,$I202,$K202,$M202,$O202,$Q202,$S202,$U202,$W202,$Y202,$AA202,$AC202,$AE202),2)-$B202/2&lt;=K202,IF(ROUND(AVERAGE($C202,$E202,$G202,$I202,$K202,$M202,$O202,$Q202,$S202,$U202,$W202,$Y202,$AA202,$AC202,$AE202),2)+$B202/2&gt;K202,($G$5/$B$5),0),0))))</f>
        <v/>
      </c>
      <c r="M202" s="141" t="str">
        <f>IF($M$8="Habilitado",IF($A202="","",ROUND(VLOOKUP($A202,'Presupuesto Consolidado'!#REF!,6,FALSE),2)),"")</f>
        <v/>
      </c>
      <c r="N202" s="142" t="str">
        <f t="shared" ref="N202" si="2644">IF($A202="","",IF(M202="","",IF($K$4="Media aritmética",(M202&lt;=$B202)*($G$5/$B$5)+(M202&gt;$B202)*0,IF(ROUND(AVERAGE($C202,$E202,$G202,$I202,$K202,$M202,$O202,$Q202,$S202,$U202,$W202,$Y202,$AA202,$AC202,$AE202),2)-$B202/2&lt;=M202,IF(ROUND(AVERAGE($C202,$E202,$G202,$I202,$K202,$M202,$O202,$Q202,$S202,$U202,$W202,$Y202,$AA202,$AC202,$AE202),2)+$B202/2&gt;M202,($G$5/$B$5),0),0))))</f>
        <v/>
      </c>
      <c r="O202" s="141" t="str">
        <f>IF($O$8="Habilitado",IF($A202="","",ROUND(VLOOKUP($A202,'Presupuesto Consolidado'!#REF!,6,FALSE),2)),"")</f>
        <v/>
      </c>
      <c r="P202" s="142" t="str">
        <f t="shared" ref="P202" si="2645">IF($A202="","",IF(O202="","",IF($K$4="Media aritmética",(O202&lt;=$B202)*($G$5/$B$5)+(O202&gt;$B202)*0,IF(ROUND(AVERAGE($C202,$E202,$G202,$I202,$K202,$M202,$O202,$Q202,$S202,$U202,$W202,$Y202,$AA202,$AC202,$AE202),2)-$B202/2&lt;=O202,IF(ROUND(AVERAGE($C202,$E202,$G202,$I202,$K202,$M202,$O202,$Q202,$S202,$U202,$W202,$Y202,$AA202,$AC202,$AE202),2)+$B202/2&gt;O202,($G$5/$B$5),0),0))))</f>
        <v/>
      </c>
      <c r="Q202" s="141" t="str">
        <f>IF($Q$8="Habilitado",IF($A202="","",ROUND(VLOOKUP($A202,'Presupuesto Consolidado'!#REF!,6,FALSE),2)),"")</f>
        <v/>
      </c>
      <c r="R202" s="142" t="str">
        <f t="shared" ref="R202" si="2646">IF($A202="","",IF(Q202="","",IF($K$4="Media aritmética",(Q202&lt;=$B202)*($G$5/$B$5)+(Q202&gt;$B202)*0,IF(ROUND(AVERAGE($C202,$E202,$G202,$I202,$K202,$M202,$O202,$Q202,$S202,$U202,$W202,$Y202,$AA202,$AC202,$AE202),2)-$B202/2&lt;=Q202,IF(ROUND(AVERAGE($C202,$E202,$G202,$I202,$K202,$M202,$O202,$Q202,$S202,$U202,$W202,$Y202,$AA202,$AC202,$AE202),2)+$B202/2&gt;Q202,($G$5/$B$5),0),0))))</f>
        <v/>
      </c>
      <c r="S202" s="141" t="str">
        <f>IF($S$8="Habilitado",IF($A202="","",ROUND(VLOOKUP($A202,'Presupuesto Consolidado'!#REF!,6,FALSE),2)),"")</f>
        <v/>
      </c>
      <c r="T202" s="142" t="str">
        <f t="shared" ref="T202" si="2647">IF($A202="","",IF(S202="","",IF($K$4="Media aritmética",(S202&lt;=$B202)*($G$5/$B$5)+(S202&gt;$B202)*0,IF(ROUND(AVERAGE($C202,$E202,$G202,$I202,$K202,$M202,$O202,$Q202,$S202,$U202,$W202,$Y202,$AA202,$AC202,$AE202),2)-$B202/2&lt;=S202,IF(ROUND(AVERAGE($C202,$E202,$G202,$I202,$K202,$M202,$O202,$Q202,$S202,$U202,$W202,$Y202,$AA202,$AC202,$AE202),2)+$B202/2&gt;S202,($G$5/$B$5),0),0))))</f>
        <v/>
      </c>
      <c r="U202" s="141" t="str">
        <f>IF($U$8="Habilitado",IF($A202="","",ROUND(VLOOKUP($A202,'Presupuesto Consolidado'!#REF!,6,FALSE),2)),"")</f>
        <v/>
      </c>
      <c r="V202" s="142" t="str">
        <f t="shared" ref="V202" si="2648">IF($A202="","",IF(U202="","",IF($K$4="Media aritmética",(U202&lt;=$B202)*($G$5/$B$5)+(U202&gt;$B202)*0,IF(ROUND(AVERAGE($C202,$E202,$G202,$I202,$K202,$M202,$O202,$Q202,$S202,$U202,$W202,$Y202,$AA202,$AC202,$AE202),2)-$B202/2&lt;=U202,IF(ROUND(AVERAGE($C202,$E202,$G202,$I202,$K202,$M202,$O202,$Q202,$S202,$U202,$W202,$Y202,$AA202,$AC202,$AE202),2)+$B202/2&gt;U202,($G$5/$B$5),0),0))))</f>
        <v/>
      </c>
      <c r="W202" s="141" t="str">
        <f>IF($W$8="Habilitado",IF($A202="","",ROUND(VLOOKUP($A202,'Presupuesto Consolidado'!#REF!,6,FALSE),2)),"")</f>
        <v/>
      </c>
      <c r="X202" s="142" t="str">
        <f t="shared" ref="X202" si="2649">IF($A202="","",IF(W202="","",IF($K$4="Media aritmética",(W202&lt;=$B202)*($G$5/$B$5)+(W202&gt;$B202)*0,IF(ROUND(AVERAGE($C202,$E202,$G202,$I202,$K202,$M202,$O202,$Q202,$S202,$U202,$W202,$Y202,$AA202,$AC202,$AE202),2)-$B202/2&lt;=W202,IF(ROUND(AVERAGE($C202,$E202,$G202,$I202,$K202,$M202,$O202,$Q202,$S202,$U202,$W202,$Y202,$AA202,$AC202,$AE202),2)+$B202/2&gt;W202,($G$5/$B$5),0),0))))</f>
        <v/>
      </c>
      <c r="Y202" s="141" t="str">
        <f>IF($Y$8="Habilitado",IF($A202="","",ROUND(VLOOKUP($A202,'Presupuesto Consolidado'!#REF!,6,FALSE),2)),"")</f>
        <v/>
      </c>
      <c r="Z202" s="142" t="str">
        <f t="shared" ref="Z202" si="2650">IF($A202="","",IF(Y202="","",IF($K$4="Media aritmética",(Y202&lt;=$B202)*($G$5/$B$5)+(Y202&gt;$B202)*0,IF(ROUND(AVERAGE($C202,$E202,$G202,$I202,$K202,$M202,$O202,$Q202,$S202,$U202,$W202,$Y202,$AA202,$AC202,$AE202),2)-$B202/2&lt;=Y202,IF(ROUND(AVERAGE($C202,$E202,$G202,$I202,$K202,$M202,$O202,$Q202,$S202,$U202,$W202,$Y202,$AA202,$AC202,$AE202),2)+$B202/2&gt;Y202,($G$5/$B$5),0),0))))</f>
        <v/>
      </c>
      <c r="AA202" s="141" t="str">
        <f>IF($AA$8="Habilitado",IF($A202="","",ROUND(VLOOKUP($A202,'Presupuesto Consolidado'!#REF!,6,FALSE),2)),"")</f>
        <v/>
      </c>
      <c r="AB202" s="142" t="str">
        <f t="shared" ref="AB202" si="2651">IF($A202="","",IF(AA202="","",IF($K$4="Media aritmética",(AA202&lt;=$B202)*($G$5/$B$5)+(AA202&gt;$B202)*0,IF(ROUND(AVERAGE($C202,$E202,$G202,$I202,$K202,$M202,$O202,$Q202,$S202,$U202,$W202,$Y202,$AA202,$AC202,$AE202),2)-$B202/2&lt;=AA202,IF(ROUND(AVERAGE($C202,$E202,$G202,$I202,$K202,$M202,$O202,$Q202,$S202,$U202,$W202,$Y202,$AA202,$AC202,$AE202),2)+$B202/2&gt;AA202,($G$5/$B$5),0),0))))</f>
        <v/>
      </c>
      <c r="AC202" s="141" t="str">
        <f>IF($AC$8="Habilitado",IF($A202="","",ROUND(VLOOKUP($A202,'Presupuesto Consolidado'!#REF!,6,FALSE),2)),"")</f>
        <v/>
      </c>
      <c r="AD202" s="142" t="str">
        <f t="shared" ref="AD202" si="2652">IF($A202="","",IF(AC202="","",IF($K$4="Media aritmética",(AC202&lt;=$B202)*($G$5/$B$5)+(AC202&gt;$B202)*0,IF(ROUND(AVERAGE($C202,$E202,$G202,$I202,$K202,$M202,$O202,$Q202,$S202,$U202,$W202,$Y202,$AA202,$AC202,$AE202),2)-$B202/2&lt;=AC202,IF(ROUND(AVERAGE($C202,$E202,$G202,$I202,$K202,$M202,$O202,$Q202,$S202,$U202,$W202,$Y202,$AA202,$AC202,$AE202),2)+$B202/2&gt;AC202,($G$5/$B$5),0),0))))</f>
        <v/>
      </c>
      <c r="AE202" s="141" t="str">
        <f>IF($AE$8="Habilitado",IF($A202="","",ROUND(VLOOKUP($A202,'Presupuesto Consolidado'!#REF!,6,FALSE),2)),"")</f>
        <v/>
      </c>
      <c r="AF202" s="142" t="str">
        <f t="shared" ref="AF202" si="2653">IF($A202="","",IF(AE202="","",IF($K$4="Media aritmética",(AE202&lt;=$B202)*($G$5/$B$5)+(AE202&gt;$B202)*0,IF(ROUND(AVERAGE($C202,$E202,$G202,$I202,$K202,$M202,$O202,$Q202,$S202,$U202,$W202,$Y202,$AA202,$AC202,$AE202),2)-$B202/2&lt;=AE202,IF(ROUND(AVERAGE($C202,$E202,$G202,$I202,$K202,$M202,$O202,$Q202,$S202,$U202,$W202,$Y202,$AA202,$AC202,$AE202),2)+$B202/2&gt;AE202,($G$5/$B$5),0),0))))</f>
        <v/>
      </c>
    </row>
    <row r="203" spans="1:32" s="135" customFormat="1" ht="21" customHeight="1">
      <c r="A203" s="132" t="str">
        <f>+'Presupuesto Consolidado'!A240</f>
        <v>13.8.5</v>
      </c>
      <c r="B203" s="140">
        <f t="shared" ref="B203" si="2654">IF(A203="","",IF($K$4="Media aritmética",ROUND(AVERAGE(C203,E203,G203,I203,K203,M203,O203,Q203,S203,U203,W203,Y203,AA203,AC203,AE203),2),ROUND(_xlfn.STDEV.P(C203,E203,G203,I203,K203,M203,O203,Q203,S203,U203,W203,Y203,AA203,AC203,AE203),2)))</f>
        <v>245115</v>
      </c>
      <c r="C203" s="141">
        <f>IF($C$8="Habilitado",IF($A203="","",ROUND(VLOOKUP($A203,'Presupuesto Consolidado'!$A$9:$F$600,6,FALSE),2)),"")</f>
        <v>245115</v>
      </c>
      <c r="D203" s="142">
        <f t="shared" ref="D203" si="2655">IF($A203="","",IF(C203="","",IF($K$4="Media aritmética",(C203&lt;=$B203)*($G$5/$B$5)+(C203&gt;$B203)*0,IF(ROUND(AVERAGE($C203,$E203,$G203,$I203,$K203,$M203,$O203,$Q203,$S203,$U203,$W203,$Y203,$AA203,$AC203,$AE203),2)-$B203/2&lt;=C203,IF(ROUND(AVERAGE($C203,$E203,$G203,$I203,$K203,$M203,$O203,$Q203,$S203,$U203,$W203,$Y203,$AA203,$AC203,$AE203),2)+$B203/2&gt;C203,($G$5/$B$5),0),0))))</f>
        <v>0.45714285714285713</v>
      </c>
      <c r="E203" s="141" t="str">
        <f>IF($E$8="Habilitado",IF($A203="","",ROUND(VLOOKUP($A203,'Presupuesto Consolidado'!$I$9:$N$600,6,FALSE),2)),"")</f>
        <v/>
      </c>
      <c r="F203" s="142" t="str">
        <f t="shared" ref="F203" si="2656">IF($A203="","",IF(E203="","",IF($K$4="Media aritmética",(E203&lt;=$B203)*($G$5/$B$5)+(E203&gt;$B203)*0,IF(ROUND(AVERAGE($C203,$E203,$G203,$I203,$K203,$M203,$O203,$Q203,$S203,$U203,$W203,$Y203,$AA203,$AC203,$AE203),2)-$B203/2&lt;=E203,IF(ROUND(AVERAGE($C203,$E203,$G203,$I203,$K203,$M203,$O203,$Q203,$S203,$U203,$W203,$Y203,$AA203,$AC203,$AE203),2)+$B203/2&gt;E203,($G$5/$B$5),0),0))))</f>
        <v/>
      </c>
      <c r="G203" s="141" t="str">
        <f>IF($G$8="Habilitado",IF($A203="","",ROUND(VLOOKUP($A203,'Presupuesto Consolidado'!$Q$9:$V$600,6,FALSE),2)),"")</f>
        <v/>
      </c>
      <c r="H203" s="142" t="str">
        <f t="shared" ref="H203" si="2657">IF($A203="","",IF(G203="","",IF($K$4="Media aritmética",(G203&lt;=$B203)*($G$5/$B$5)+(G203&gt;$B203)*0,IF(ROUND(AVERAGE($C203,$E203,$G203,$I203,$K203,$M203,$O203,$Q203,$S203,$U203,$W203,$Y203,$AA203,$AC203,$AE203),2)-$B203/2&lt;=G203,IF(ROUND(AVERAGE($C203,$E203,$G203,$I203,$K203,$M203,$O203,$Q203,$S203,$U203,$W203,$Y203,$AA203,$AC203,$AE203),2)+$B203/2&gt;G203,($G$5/$B$5),0),0))))</f>
        <v/>
      </c>
      <c r="I203" s="141" t="str">
        <f>IF($I$8="Habilitado",IF($A203="","",ROUND(VLOOKUP($A203,'Presupuesto Consolidado'!$Y$9:$AD$600,6,FALSE),2)),"")</f>
        <v/>
      </c>
      <c r="J203" s="142" t="str">
        <f t="shared" ref="J203" si="2658">IF($A203="","",IF(I203="","",IF($K$4="Media aritmética",(I203&lt;=$B203)*($G$5/$B$5)+(I203&gt;$B203)*0,IF(ROUND(AVERAGE($C203,$E203,$G203,$I203,$K203,$M203,$O203,$Q203,$S203,$U203,$W203,$Y203,$AA203,$AC203,$AE203),2)-$B203/2&lt;=I203,IF(ROUND(AVERAGE($C203,$E203,$G203,$I203,$K203,$M203,$O203,$Q203,$S203,$U203,$W203,$Y203,$AA203,$AC203,$AE203),2)+$B203/2&gt;I203,($G$5/$B$5),0),0))))</f>
        <v/>
      </c>
      <c r="K203" s="141" t="str">
        <f>IF($K$8="Habilitado",IF($A203="","",ROUND(VLOOKUP($A203,'Presupuesto Consolidado'!#REF!,6,FALSE),2)),"")</f>
        <v/>
      </c>
      <c r="L203" s="142" t="str">
        <f t="shared" ref="L203" si="2659">IF($A203="","",IF(K203="","",IF($K$4="Media aritmética",(K203&lt;=$B203)*($G$5/$B$5)+(K203&gt;$B203)*0,IF(ROUND(AVERAGE($C203,$E203,$G203,$I203,$K203,$M203,$O203,$Q203,$S203,$U203,$W203,$Y203,$AA203,$AC203,$AE203),2)-$B203/2&lt;=K203,IF(ROUND(AVERAGE($C203,$E203,$G203,$I203,$K203,$M203,$O203,$Q203,$S203,$U203,$W203,$Y203,$AA203,$AC203,$AE203),2)+$B203/2&gt;K203,($G$5/$B$5),0),0))))</f>
        <v/>
      </c>
      <c r="M203" s="141" t="str">
        <f>IF($M$8="Habilitado",IF($A203="","",ROUND(VLOOKUP($A203,'Presupuesto Consolidado'!#REF!,6,FALSE),2)),"")</f>
        <v/>
      </c>
      <c r="N203" s="142" t="str">
        <f t="shared" ref="N203" si="2660">IF($A203="","",IF(M203="","",IF($K$4="Media aritmética",(M203&lt;=$B203)*($G$5/$B$5)+(M203&gt;$B203)*0,IF(ROUND(AVERAGE($C203,$E203,$G203,$I203,$K203,$M203,$O203,$Q203,$S203,$U203,$W203,$Y203,$AA203,$AC203,$AE203),2)-$B203/2&lt;=M203,IF(ROUND(AVERAGE($C203,$E203,$G203,$I203,$K203,$M203,$O203,$Q203,$S203,$U203,$W203,$Y203,$AA203,$AC203,$AE203),2)+$B203/2&gt;M203,($G$5/$B$5),0),0))))</f>
        <v/>
      </c>
      <c r="O203" s="141" t="str">
        <f>IF($O$8="Habilitado",IF($A203="","",ROUND(VLOOKUP($A203,'Presupuesto Consolidado'!#REF!,6,FALSE),2)),"")</f>
        <v/>
      </c>
      <c r="P203" s="142" t="str">
        <f t="shared" ref="P203" si="2661">IF($A203="","",IF(O203="","",IF($K$4="Media aritmética",(O203&lt;=$B203)*($G$5/$B$5)+(O203&gt;$B203)*0,IF(ROUND(AVERAGE($C203,$E203,$G203,$I203,$K203,$M203,$O203,$Q203,$S203,$U203,$W203,$Y203,$AA203,$AC203,$AE203),2)-$B203/2&lt;=O203,IF(ROUND(AVERAGE($C203,$E203,$G203,$I203,$K203,$M203,$O203,$Q203,$S203,$U203,$W203,$Y203,$AA203,$AC203,$AE203),2)+$B203/2&gt;O203,($G$5/$B$5),0),0))))</f>
        <v/>
      </c>
      <c r="Q203" s="141" t="str">
        <f>IF($Q$8="Habilitado",IF($A203="","",ROUND(VLOOKUP($A203,'Presupuesto Consolidado'!#REF!,6,FALSE),2)),"")</f>
        <v/>
      </c>
      <c r="R203" s="142" t="str">
        <f t="shared" ref="R203" si="2662">IF($A203="","",IF(Q203="","",IF($K$4="Media aritmética",(Q203&lt;=$B203)*($G$5/$B$5)+(Q203&gt;$B203)*0,IF(ROUND(AVERAGE($C203,$E203,$G203,$I203,$K203,$M203,$O203,$Q203,$S203,$U203,$W203,$Y203,$AA203,$AC203,$AE203),2)-$B203/2&lt;=Q203,IF(ROUND(AVERAGE($C203,$E203,$G203,$I203,$K203,$M203,$O203,$Q203,$S203,$U203,$W203,$Y203,$AA203,$AC203,$AE203),2)+$B203/2&gt;Q203,($G$5/$B$5),0),0))))</f>
        <v/>
      </c>
      <c r="S203" s="141" t="str">
        <f>IF($S$8="Habilitado",IF($A203="","",ROUND(VLOOKUP($A203,'Presupuesto Consolidado'!#REF!,6,FALSE),2)),"")</f>
        <v/>
      </c>
      <c r="T203" s="142" t="str">
        <f t="shared" ref="T203" si="2663">IF($A203="","",IF(S203="","",IF($K$4="Media aritmética",(S203&lt;=$B203)*($G$5/$B$5)+(S203&gt;$B203)*0,IF(ROUND(AVERAGE($C203,$E203,$G203,$I203,$K203,$M203,$O203,$Q203,$S203,$U203,$W203,$Y203,$AA203,$AC203,$AE203),2)-$B203/2&lt;=S203,IF(ROUND(AVERAGE($C203,$E203,$G203,$I203,$K203,$M203,$O203,$Q203,$S203,$U203,$W203,$Y203,$AA203,$AC203,$AE203),2)+$B203/2&gt;S203,($G$5/$B$5),0),0))))</f>
        <v/>
      </c>
      <c r="U203" s="141" t="str">
        <f>IF($U$8="Habilitado",IF($A203="","",ROUND(VLOOKUP($A203,'Presupuesto Consolidado'!#REF!,6,FALSE),2)),"")</f>
        <v/>
      </c>
      <c r="V203" s="142" t="str">
        <f t="shared" ref="V203" si="2664">IF($A203="","",IF(U203="","",IF($K$4="Media aritmética",(U203&lt;=$B203)*($G$5/$B$5)+(U203&gt;$B203)*0,IF(ROUND(AVERAGE($C203,$E203,$G203,$I203,$K203,$M203,$O203,$Q203,$S203,$U203,$W203,$Y203,$AA203,$AC203,$AE203),2)-$B203/2&lt;=U203,IF(ROUND(AVERAGE($C203,$E203,$G203,$I203,$K203,$M203,$O203,$Q203,$S203,$U203,$W203,$Y203,$AA203,$AC203,$AE203),2)+$B203/2&gt;U203,($G$5/$B$5),0),0))))</f>
        <v/>
      </c>
      <c r="W203" s="141" t="str">
        <f>IF($W$8="Habilitado",IF($A203="","",ROUND(VLOOKUP($A203,'Presupuesto Consolidado'!#REF!,6,FALSE),2)),"")</f>
        <v/>
      </c>
      <c r="X203" s="142" t="str">
        <f t="shared" ref="X203" si="2665">IF($A203="","",IF(W203="","",IF($K$4="Media aritmética",(W203&lt;=$B203)*($G$5/$B$5)+(W203&gt;$B203)*0,IF(ROUND(AVERAGE($C203,$E203,$G203,$I203,$K203,$M203,$O203,$Q203,$S203,$U203,$W203,$Y203,$AA203,$AC203,$AE203),2)-$B203/2&lt;=W203,IF(ROUND(AVERAGE($C203,$E203,$G203,$I203,$K203,$M203,$O203,$Q203,$S203,$U203,$W203,$Y203,$AA203,$AC203,$AE203),2)+$B203/2&gt;W203,($G$5/$B$5),0),0))))</f>
        <v/>
      </c>
      <c r="Y203" s="141" t="str">
        <f>IF($Y$8="Habilitado",IF($A203="","",ROUND(VLOOKUP($A203,'Presupuesto Consolidado'!#REF!,6,FALSE),2)),"")</f>
        <v/>
      </c>
      <c r="Z203" s="142" t="str">
        <f t="shared" ref="Z203" si="2666">IF($A203="","",IF(Y203="","",IF($K$4="Media aritmética",(Y203&lt;=$B203)*($G$5/$B$5)+(Y203&gt;$B203)*0,IF(ROUND(AVERAGE($C203,$E203,$G203,$I203,$K203,$M203,$O203,$Q203,$S203,$U203,$W203,$Y203,$AA203,$AC203,$AE203),2)-$B203/2&lt;=Y203,IF(ROUND(AVERAGE($C203,$E203,$G203,$I203,$K203,$M203,$O203,$Q203,$S203,$U203,$W203,$Y203,$AA203,$AC203,$AE203),2)+$B203/2&gt;Y203,($G$5/$B$5),0),0))))</f>
        <v/>
      </c>
      <c r="AA203" s="141" t="str">
        <f>IF($AA$8="Habilitado",IF($A203="","",ROUND(VLOOKUP($A203,'Presupuesto Consolidado'!#REF!,6,FALSE),2)),"")</f>
        <v/>
      </c>
      <c r="AB203" s="142" t="str">
        <f t="shared" ref="AB203" si="2667">IF($A203="","",IF(AA203="","",IF($K$4="Media aritmética",(AA203&lt;=$B203)*($G$5/$B$5)+(AA203&gt;$B203)*0,IF(ROUND(AVERAGE($C203,$E203,$G203,$I203,$K203,$M203,$O203,$Q203,$S203,$U203,$W203,$Y203,$AA203,$AC203,$AE203),2)-$B203/2&lt;=AA203,IF(ROUND(AVERAGE($C203,$E203,$G203,$I203,$K203,$M203,$O203,$Q203,$S203,$U203,$W203,$Y203,$AA203,$AC203,$AE203),2)+$B203/2&gt;AA203,($G$5/$B$5),0),0))))</f>
        <v/>
      </c>
      <c r="AC203" s="141" t="str">
        <f>IF($AC$8="Habilitado",IF($A203="","",ROUND(VLOOKUP($A203,'Presupuesto Consolidado'!#REF!,6,FALSE),2)),"")</f>
        <v/>
      </c>
      <c r="AD203" s="142" t="str">
        <f t="shared" ref="AD203" si="2668">IF($A203="","",IF(AC203="","",IF($K$4="Media aritmética",(AC203&lt;=$B203)*($G$5/$B$5)+(AC203&gt;$B203)*0,IF(ROUND(AVERAGE($C203,$E203,$G203,$I203,$K203,$M203,$O203,$Q203,$S203,$U203,$W203,$Y203,$AA203,$AC203,$AE203),2)-$B203/2&lt;=AC203,IF(ROUND(AVERAGE($C203,$E203,$G203,$I203,$K203,$M203,$O203,$Q203,$S203,$U203,$W203,$Y203,$AA203,$AC203,$AE203),2)+$B203/2&gt;AC203,($G$5/$B$5),0),0))))</f>
        <v/>
      </c>
      <c r="AE203" s="141" t="str">
        <f>IF($AE$8="Habilitado",IF($A203="","",ROUND(VLOOKUP($A203,'Presupuesto Consolidado'!#REF!,6,FALSE),2)),"")</f>
        <v/>
      </c>
      <c r="AF203" s="142" t="str">
        <f t="shared" ref="AF203" si="2669">IF($A203="","",IF(AE203="","",IF($K$4="Media aritmética",(AE203&lt;=$B203)*($G$5/$B$5)+(AE203&gt;$B203)*0,IF(ROUND(AVERAGE($C203,$E203,$G203,$I203,$K203,$M203,$O203,$Q203,$S203,$U203,$W203,$Y203,$AA203,$AC203,$AE203),2)-$B203/2&lt;=AE203,IF(ROUND(AVERAGE($C203,$E203,$G203,$I203,$K203,$M203,$O203,$Q203,$S203,$U203,$W203,$Y203,$AA203,$AC203,$AE203),2)+$B203/2&gt;AE203,($G$5/$B$5),0),0))))</f>
        <v/>
      </c>
    </row>
    <row r="204" spans="1:32" s="135" customFormat="1" ht="21" customHeight="1">
      <c r="A204" s="132" t="str">
        <f>+'Presupuesto Consolidado'!A241</f>
        <v>13.8.6</v>
      </c>
      <c r="B204" s="140">
        <f t="shared" ref="B204" si="2670">IF(A204="","",IF($K$4="Media aritmética",ROUND(AVERAGE(C204,E204,G204,I204,K204,M204,O204,Q204,S204,U204,W204,Y204,AA204,AC204,AE204),2),ROUND(_xlfn.STDEV.P(C204,E204,G204,I204,K204,M204,O204,Q204,S204,U204,W204,Y204,AA204,AC204,AE204),2)))</f>
        <v>22950</v>
      </c>
      <c r="C204" s="141">
        <f>IF($C$8="Habilitado",IF($A204="","",ROUND(VLOOKUP($A204,'Presupuesto Consolidado'!$A$9:$F$600,6,FALSE),2)),"")</f>
        <v>22950</v>
      </c>
      <c r="D204" s="142">
        <f t="shared" ref="D204" si="2671">IF($A204="","",IF(C204="","",IF($K$4="Media aritmética",(C204&lt;=$B204)*($G$5/$B$5)+(C204&gt;$B204)*0,IF(ROUND(AVERAGE($C204,$E204,$G204,$I204,$K204,$M204,$O204,$Q204,$S204,$U204,$W204,$Y204,$AA204,$AC204,$AE204),2)-$B204/2&lt;=C204,IF(ROUND(AVERAGE($C204,$E204,$G204,$I204,$K204,$M204,$O204,$Q204,$S204,$U204,$W204,$Y204,$AA204,$AC204,$AE204),2)+$B204/2&gt;C204,($G$5/$B$5),0),0))))</f>
        <v>0.45714285714285713</v>
      </c>
      <c r="E204" s="141" t="str">
        <f>IF($E$8="Habilitado",IF($A204="","",ROUND(VLOOKUP($A204,'Presupuesto Consolidado'!$I$9:$N$600,6,FALSE),2)),"")</f>
        <v/>
      </c>
      <c r="F204" s="142" t="str">
        <f t="shared" ref="F204" si="2672">IF($A204="","",IF(E204="","",IF($K$4="Media aritmética",(E204&lt;=$B204)*($G$5/$B$5)+(E204&gt;$B204)*0,IF(ROUND(AVERAGE($C204,$E204,$G204,$I204,$K204,$M204,$O204,$Q204,$S204,$U204,$W204,$Y204,$AA204,$AC204,$AE204),2)-$B204/2&lt;=E204,IF(ROUND(AVERAGE($C204,$E204,$G204,$I204,$K204,$M204,$O204,$Q204,$S204,$U204,$W204,$Y204,$AA204,$AC204,$AE204),2)+$B204/2&gt;E204,($G$5/$B$5),0),0))))</f>
        <v/>
      </c>
      <c r="G204" s="141" t="str">
        <f>IF($G$8="Habilitado",IF($A204="","",ROUND(VLOOKUP($A204,'Presupuesto Consolidado'!$Q$9:$V$600,6,FALSE),2)),"")</f>
        <v/>
      </c>
      <c r="H204" s="142" t="str">
        <f t="shared" ref="H204" si="2673">IF($A204="","",IF(G204="","",IF($K$4="Media aritmética",(G204&lt;=$B204)*($G$5/$B$5)+(G204&gt;$B204)*0,IF(ROUND(AVERAGE($C204,$E204,$G204,$I204,$K204,$M204,$O204,$Q204,$S204,$U204,$W204,$Y204,$AA204,$AC204,$AE204),2)-$B204/2&lt;=G204,IF(ROUND(AVERAGE($C204,$E204,$G204,$I204,$K204,$M204,$O204,$Q204,$S204,$U204,$W204,$Y204,$AA204,$AC204,$AE204),2)+$B204/2&gt;G204,($G$5/$B$5),0),0))))</f>
        <v/>
      </c>
      <c r="I204" s="141" t="str">
        <f>IF($I$8="Habilitado",IF($A204="","",ROUND(VLOOKUP($A204,'Presupuesto Consolidado'!$Y$9:$AD$600,6,FALSE),2)),"")</f>
        <v/>
      </c>
      <c r="J204" s="142" t="str">
        <f t="shared" ref="J204" si="2674">IF($A204="","",IF(I204="","",IF($K$4="Media aritmética",(I204&lt;=$B204)*($G$5/$B$5)+(I204&gt;$B204)*0,IF(ROUND(AVERAGE($C204,$E204,$G204,$I204,$K204,$M204,$O204,$Q204,$S204,$U204,$W204,$Y204,$AA204,$AC204,$AE204),2)-$B204/2&lt;=I204,IF(ROUND(AVERAGE($C204,$E204,$G204,$I204,$K204,$M204,$O204,$Q204,$S204,$U204,$W204,$Y204,$AA204,$AC204,$AE204),2)+$B204/2&gt;I204,($G$5/$B$5),0),0))))</f>
        <v/>
      </c>
      <c r="K204" s="141" t="str">
        <f>IF($K$8="Habilitado",IF($A204="","",ROUND(VLOOKUP($A204,'Presupuesto Consolidado'!#REF!,6,FALSE),2)),"")</f>
        <v/>
      </c>
      <c r="L204" s="142" t="str">
        <f t="shared" ref="L204" si="2675">IF($A204="","",IF(K204="","",IF($K$4="Media aritmética",(K204&lt;=$B204)*($G$5/$B$5)+(K204&gt;$B204)*0,IF(ROUND(AVERAGE($C204,$E204,$G204,$I204,$K204,$M204,$O204,$Q204,$S204,$U204,$W204,$Y204,$AA204,$AC204,$AE204),2)-$B204/2&lt;=K204,IF(ROUND(AVERAGE($C204,$E204,$G204,$I204,$K204,$M204,$O204,$Q204,$S204,$U204,$W204,$Y204,$AA204,$AC204,$AE204),2)+$B204/2&gt;K204,($G$5/$B$5),0),0))))</f>
        <v/>
      </c>
      <c r="M204" s="141" t="str">
        <f>IF($M$8="Habilitado",IF($A204="","",ROUND(VLOOKUP($A204,'Presupuesto Consolidado'!#REF!,6,FALSE),2)),"")</f>
        <v/>
      </c>
      <c r="N204" s="142" t="str">
        <f t="shared" ref="N204" si="2676">IF($A204="","",IF(M204="","",IF($K$4="Media aritmética",(M204&lt;=$B204)*($G$5/$B$5)+(M204&gt;$B204)*0,IF(ROUND(AVERAGE($C204,$E204,$G204,$I204,$K204,$M204,$O204,$Q204,$S204,$U204,$W204,$Y204,$AA204,$AC204,$AE204),2)-$B204/2&lt;=M204,IF(ROUND(AVERAGE($C204,$E204,$G204,$I204,$K204,$M204,$O204,$Q204,$S204,$U204,$W204,$Y204,$AA204,$AC204,$AE204),2)+$B204/2&gt;M204,($G$5/$B$5),0),0))))</f>
        <v/>
      </c>
      <c r="O204" s="141" t="str">
        <f>IF($O$8="Habilitado",IF($A204="","",ROUND(VLOOKUP($A204,'Presupuesto Consolidado'!#REF!,6,FALSE),2)),"")</f>
        <v/>
      </c>
      <c r="P204" s="142" t="str">
        <f t="shared" ref="P204" si="2677">IF($A204="","",IF(O204="","",IF($K$4="Media aritmética",(O204&lt;=$B204)*($G$5/$B$5)+(O204&gt;$B204)*0,IF(ROUND(AVERAGE($C204,$E204,$G204,$I204,$K204,$M204,$O204,$Q204,$S204,$U204,$W204,$Y204,$AA204,$AC204,$AE204),2)-$B204/2&lt;=O204,IF(ROUND(AVERAGE($C204,$E204,$G204,$I204,$K204,$M204,$O204,$Q204,$S204,$U204,$W204,$Y204,$AA204,$AC204,$AE204),2)+$B204/2&gt;O204,($G$5/$B$5),0),0))))</f>
        <v/>
      </c>
      <c r="Q204" s="141" t="str">
        <f>IF($Q$8="Habilitado",IF($A204="","",ROUND(VLOOKUP($A204,'Presupuesto Consolidado'!#REF!,6,FALSE),2)),"")</f>
        <v/>
      </c>
      <c r="R204" s="142" t="str">
        <f t="shared" ref="R204" si="2678">IF($A204="","",IF(Q204="","",IF($K$4="Media aritmética",(Q204&lt;=$B204)*($G$5/$B$5)+(Q204&gt;$B204)*0,IF(ROUND(AVERAGE($C204,$E204,$G204,$I204,$K204,$M204,$O204,$Q204,$S204,$U204,$W204,$Y204,$AA204,$AC204,$AE204),2)-$B204/2&lt;=Q204,IF(ROUND(AVERAGE($C204,$E204,$G204,$I204,$K204,$M204,$O204,$Q204,$S204,$U204,$W204,$Y204,$AA204,$AC204,$AE204),2)+$B204/2&gt;Q204,($G$5/$B$5),0),0))))</f>
        <v/>
      </c>
      <c r="S204" s="141" t="str">
        <f>IF($S$8="Habilitado",IF($A204="","",ROUND(VLOOKUP($A204,'Presupuesto Consolidado'!#REF!,6,FALSE),2)),"")</f>
        <v/>
      </c>
      <c r="T204" s="142" t="str">
        <f t="shared" ref="T204" si="2679">IF($A204="","",IF(S204="","",IF($K$4="Media aritmética",(S204&lt;=$B204)*($G$5/$B$5)+(S204&gt;$B204)*0,IF(ROUND(AVERAGE($C204,$E204,$G204,$I204,$K204,$M204,$O204,$Q204,$S204,$U204,$W204,$Y204,$AA204,$AC204,$AE204),2)-$B204/2&lt;=S204,IF(ROUND(AVERAGE($C204,$E204,$G204,$I204,$K204,$M204,$O204,$Q204,$S204,$U204,$W204,$Y204,$AA204,$AC204,$AE204),2)+$B204/2&gt;S204,($G$5/$B$5),0),0))))</f>
        <v/>
      </c>
      <c r="U204" s="141" t="str">
        <f>IF($U$8="Habilitado",IF($A204="","",ROUND(VLOOKUP($A204,'Presupuesto Consolidado'!#REF!,6,FALSE),2)),"")</f>
        <v/>
      </c>
      <c r="V204" s="142" t="str">
        <f t="shared" ref="V204" si="2680">IF($A204="","",IF(U204="","",IF($K$4="Media aritmética",(U204&lt;=$B204)*($G$5/$B$5)+(U204&gt;$B204)*0,IF(ROUND(AVERAGE($C204,$E204,$G204,$I204,$K204,$M204,$O204,$Q204,$S204,$U204,$W204,$Y204,$AA204,$AC204,$AE204),2)-$B204/2&lt;=U204,IF(ROUND(AVERAGE($C204,$E204,$G204,$I204,$K204,$M204,$O204,$Q204,$S204,$U204,$W204,$Y204,$AA204,$AC204,$AE204),2)+$B204/2&gt;U204,($G$5/$B$5),0),0))))</f>
        <v/>
      </c>
      <c r="W204" s="141" t="str">
        <f>IF($W$8="Habilitado",IF($A204="","",ROUND(VLOOKUP($A204,'Presupuesto Consolidado'!#REF!,6,FALSE),2)),"")</f>
        <v/>
      </c>
      <c r="X204" s="142" t="str">
        <f t="shared" ref="X204" si="2681">IF($A204="","",IF(W204="","",IF($K$4="Media aritmética",(W204&lt;=$B204)*($G$5/$B$5)+(W204&gt;$B204)*0,IF(ROUND(AVERAGE($C204,$E204,$G204,$I204,$K204,$M204,$O204,$Q204,$S204,$U204,$W204,$Y204,$AA204,$AC204,$AE204),2)-$B204/2&lt;=W204,IF(ROUND(AVERAGE($C204,$E204,$G204,$I204,$K204,$M204,$O204,$Q204,$S204,$U204,$W204,$Y204,$AA204,$AC204,$AE204),2)+$B204/2&gt;W204,($G$5/$B$5),0),0))))</f>
        <v/>
      </c>
      <c r="Y204" s="141" t="str">
        <f>IF($Y$8="Habilitado",IF($A204="","",ROUND(VLOOKUP($A204,'Presupuesto Consolidado'!#REF!,6,FALSE),2)),"")</f>
        <v/>
      </c>
      <c r="Z204" s="142" t="str">
        <f t="shared" ref="Z204" si="2682">IF($A204="","",IF(Y204="","",IF($K$4="Media aritmética",(Y204&lt;=$B204)*($G$5/$B$5)+(Y204&gt;$B204)*0,IF(ROUND(AVERAGE($C204,$E204,$G204,$I204,$K204,$M204,$O204,$Q204,$S204,$U204,$W204,$Y204,$AA204,$AC204,$AE204),2)-$B204/2&lt;=Y204,IF(ROUND(AVERAGE($C204,$E204,$G204,$I204,$K204,$M204,$O204,$Q204,$S204,$U204,$W204,$Y204,$AA204,$AC204,$AE204),2)+$B204/2&gt;Y204,($G$5/$B$5),0),0))))</f>
        <v/>
      </c>
      <c r="AA204" s="141" t="str">
        <f>IF($AA$8="Habilitado",IF($A204="","",ROUND(VLOOKUP($A204,'Presupuesto Consolidado'!#REF!,6,FALSE),2)),"")</f>
        <v/>
      </c>
      <c r="AB204" s="142" t="str">
        <f t="shared" ref="AB204" si="2683">IF($A204="","",IF(AA204="","",IF($K$4="Media aritmética",(AA204&lt;=$B204)*($G$5/$B$5)+(AA204&gt;$B204)*0,IF(ROUND(AVERAGE($C204,$E204,$G204,$I204,$K204,$M204,$O204,$Q204,$S204,$U204,$W204,$Y204,$AA204,$AC204,$AE204),2)-$B204/2&lt;=AA204,IF(ROUND(AVERAGE($C204,$E204,$G204,$I204,$K204,$M204,$O204,$Q204,$S204,$U204,$W204,$Y204,$AA204,$AC204,$AE204),2)+$B204/2&gt;AA204,($G$5/$B$5),0),0))))</f>
        <v/>
      </c>
      <c r="AC204" s="141" t="str">
        <f>IF($AC$8="Habilitado",IF($A204="","",ROUND(VLOOKUP($A204,'Presupuesto Consolidado'!#REF!,6,FALSE),2)),"")</f>
        <v/>
      </c>
      <c r="AD204" s="142" t="str">
        <f t="shared" ref="AD204" si="2684">IF($A204="","",IF(AC204="","",IF($K$4="Media aritmética",(AC204&lt;=$B204)*($G$5/$B$5)+(AC204&gt;$B204)*0,IF(ROUND(AVERAGE($C204,$E204,$G204,$I204,$K204,$M204,$O204,$Q204,$S204,$U204,$W204,$Y204,$AA204,$AC204,$AE204),2)-$B204/2&lt;=AC204,IF(ROUND(AVERAGE($C204,$E204,$G204,$I204,$K204,$M204,$O204,$Q204,$S204,$U204,$W204,$Y204,$AA204,$AC204,$AE204),2)+$B204/2&gt;AC204,($G$5/$B$5),0),0))))</f>
        <v/>
      </c>
      <c r="AE204" s="141" t="str">
        <f>IF($AE$8="Habilitado",IF($A204="","",ROUND(VLOOKUP($A204,'Presupuesto Consolidado'!#REF!,6,FALSE),2)),"")</f>
        <v/>
      </c>
      <c r="AF204" s="142" t="str">
        <f t="shared" ref="AF204" si="2685">IF($A204="","",IF(AE204="","",IF($K$4="Media aritmética",(AE204&lt;=$B204)*($G$5/$B$5)+(AE204&gt;$B204)*0,IF(ROUND(AVERAGE($C204,$E204,$G204,$I204,$K204,$M204,$O204,$Q204,$S204,$U204,$W204,$Y204,$AA204,$AC204,$AE204),2)-$B204/2&lt;=AE204,IF(ROUND(AVERAGE($C204,$E204,$G204,$I204,$K204,$M204,$O204,$Q204,$S204,$U204,$W204,$Y204,$AA204,$AC204,$AE204),2)+$B204/2&gt;AE204,($G$5/$B$5),0),0))))</f>
        <v/>
      </c>
    </row>
    <row r="205" spans="1:32" s="135" customFormat="1" ht="21" customHeight="1">
      <c r="A205" s="132" t="str">
        <f>+'Presupuesto Consolidado'!A242</f>
        <v>13.8.7</v>
      </c>
      <c r="B205" s="140">
        <f t="shared" ref="B205" si="2686">IF(A205="","",IF($K$4="Media aritmética",ROUND(AVERAGE(C205,E205,G205,I205,K205,M205,O205,Q205,S205,U205,W205,Y205,AA205,AC205,AE205),2),ROUND(_xlfn.STDEV.P(C205,E205,G205,I205,K205,M205,O205,Q205,S205,U205,W205,Y205,AA205,AC205,AE205),2)))</f>
        <v>27034</v>
      </c>
      <c r="C205" s="141">
        <f>IF($C$8="Habilitado",IF($A205="","",ROUND(VLOOKUP($A205,'Presupuesto Consolidado'!$A$9:$F$600,6,FALSE),2)),"")</f>
        <v>27034</v>
      </c>
      <c r="D205" s="142">
        <f t="shared" ref="D205" si="2687">IF($A205="","",IF(C205="","",IF($K$4="Media aritmética",(C205&lt;=$B205)*($G$5/$B$5)+(C205&gt;$B205)*0,IF(ROUND(AVERAGE($C205,$E205,$G205,$I205,$K205,$M205,$O205,$Q205,$S205,$U205,$W205,$Y205,$AA205,$AC205,$AE205),2)-$B205/2&lt;=C205,IF(ROUND(AVERAGE($C205,$E205,$G205,$I205,$K205,$M205,$O205,$Q205,$S205,$U205,$W205,$Y205,$AA205,$AC205,$AE205),2)+$B205/2&gt;C205,($G$5/$B$5),0),0))))</f>
        <v>0.45714285714285713</v>
      </c>
      <c r="E205" s="141" t="str">
        <f>IF($E$8="Habilitado",IF($A205="","",ROUND(VLOOKUP($A205,'Presupuesto Consolidado'!$I$9:$N$600,6,FALSE),2)),"")</f>
        <v/>
      </c>
      <c r="F205" s="142" t="str">
        <f t="shared" ref="F205" si="2688">IF($A205="","",IF(E205="","",IF($K$4="Media aritmética",(E205&lt;=$B205)*($G$5/$B$5)+(E205&gt;$B205)*0,IF(ROUND(AVERAGE($C205,$E205,$G205,$I205,$K205,$M205,$O205,$Q205,$S205,$U205,$W205,$Y205,$AA205,$AC205,$AE205),2)-$B205/2&lt;=E205,IF(ROUND(AVERAGE($C205,$E205,$G205,$I205,$K205,$M205,$O205,$Q205,$S205,$U205,$W205,$Y205,$AA205,$AC205,$AE205),2)+$B205/2&gt;E205,($G$5/$B$5),0),0))))</f>
        <v/>
      </c>
      <c r="G205" s="141" t="str">
        <f>IF($G$8="Habilitado",IF($A205="","",ROUND(VLOOKUP($A205,'Presupuesto Consolidado'!$Q$9:$V$600,6,FALSE),2)),"")</f>
        <v/>
      </c>
      <c r="H205" s="142" t="str">
        <f t="shared" ref="H205" si="2689">IF($A205="","",IF(G205="","",IF($K$4="Media aritmética",(G205&lt;=$B205)*($G$5/$B$5)+(G205&gt;$B205)*0,IF(ROUND(AVERAGE($C205,$E205,$G205,$I205,$K205,$M205,$O205,$Q205,$S205,$U205,$W205,$Y205,$AA205,$AC205,$AE205),2)-$B205/2&lt;=G205,IF(ROUND(AVERAGE($C205,$E205,$G205,$I205,$K205,$M205,$O205,$Q205,$S205,$U205,$W205,$Y205,$AA205,$AC205,$AE205),2)+$B205/2&gt;G205,($G$5/$B$5),0),0))))</f>
        <v/>
      </c>
      <c r="I205" s="141" t="str">
        <f>IF($I$8="Habilitado",IF($A205="","",ROUND(VLOOKUP($A205,'Presupuesto Consolidado'!$Y$9:$AD$600,6,FALSE),2)),"")</f>
        <v/>
      </c>
      <c r="J205" s="142" t="str">
        <f t="shared" ref="J205" si="2690">IF($A205="","",IF(I205="","",IF($K$4="Media aritmética",(I205&lt;=$B205)*($G$5/$B$5)+(I205&gt;$B205)*0,IF(ROUND(AVERAGE($C205,$E205,$G205,$I205,$K205,$M205,$O205,$Q205,$S205,$U205,$W205,$Y205,$AA205,$AC205,$AE205),2)-$B205/2&lt;=I205,IF(ROUND(AVERAGE($C205,$E205,$G205,$I205,$K205,$M205,$O205,$Q205,$S205,$U205,$W205,$Y205,$AA205,$AC205,$AE205),2)+$B205/2&gt;I205,($G$5/$B$5),0),0))))</f>
        <v/>
      </c>
      <c r="K205" s="141" t="str">
        <f>IF($K$8="Habilitado",IF($A205="","",ROUND(VLOOKUP($A205,'Presupuesto Consolidado'!#REF!,6,FALSE),2)),"")</f>
        <v/>
      </c>
      <c r="L205" s="142" t="str">
        <f t="shared" ref="L205" si="2691">IF($A205="","",IF(K205="","",IF($K$4="Media aritmética",(K205&lt;=$B205)*($G$5/$B$5)+(K205&gt;$B205)*0,IF(ROUND(AVERAGE($C205,$E205,$G205,$I205,$K205,$M205,$O205,$Q205,$S205,$U205,$W205,$Y205,$AA205,$AC205,$AE205),2)-$B205/2&lt;=K205,IF(ROUND(AVERAGE($C205,$E205,$G205,$I205,$K205,$M205,$O205,$Q205,$S205,$U205,$W205,$Y205,$AA205,$AC205,$AE205),2)+$B205/2&gt;K205,($G$5/$B$5),0),0))))</f>
        <v/>
      </c>
      <c r="M205" s="141" t="str">
        <f>IF($M$8="Habilitado",IF($A205="","",ROUND(VLOOKUP($A205,'Presupuesto Consolidado'!#REF!,6,FALSE),2)),"")</f>
        <v/>
      </c>
      <c r="N205" s="142" t="str">
        <f t="shared" ref="N205" si="2692">IF($A205="","",IF(M205="","",IF($K$4="Media aritmética",(M205&lt;=$B205)*($G$5/$B$5)+(M205&gt;$B205)*0,IF(ROUND(AVERAGE($C205,$E205,$G205,$I205,$K205,$M205,$O205,$Q205,$S205,$U205,$W205,$Y205,$AA205,$AC205,$AE205),2)-$B205/2&lt;=M205,IF(ROUND(AVERAGE($C205,$E205,$G205,$I205,$K205,$M205,$O205,$Q205,$S205,$U205,$W205,$Y205,$AA205,$AC205,$AE205),2)+$B205/2&gt;M205,($G$5/$B$5),0),0))))</f>
        <v/>
      </c>
      <c r="O205" s="141" t="str">
        <f>IF($O$8="Habilitado",IF($A205="","",ROUND(VLOOKUP($A205,'Presupuesto Consolidado'!#REF!,6,FALSE),2)),"")</f>
        <v/>
      </c>
      <c r="P205" s="142" t="str">
        <f t="shared" ref="P205" si="2693">IF($A205="","",IF(O205="","",IF($K$4="Media aritmética",(O205&lt;=$B205)*($G$5/$B$5)+(O205&gt;$B205)*0,IF(ROUND(AVERAGE($C205,$E205,$G205,$I205,$K205,$M205,$O205,$Q205,$S205,$U205,$W205,$Y205,$AA205,$AC205,$AE205),2)-$B205/2&lt;=O205,IF(ROUND(AVERAGE($C205,$E205,$G205,$I205,$K205,$M205,$O205,$Q205,$S205,$U205,$W205,$Y205,$AA205,$AC205,$AE205),2)+$B205/2&gt;O205,($G$5/$B$5),0),0))))</f>
        <v/>
      </c>
      <c r="Q205" s="141" t="str">
        <f>IF($Q$8="Habilitado",IF($A205="","",ROUND(VLOOKUP($A205,'Presupuesto Consolidado'!#REF!,6,FALSE),2)),"")</f>
        <v/>
      </c>
      <c r="R205" s="142" t="str">
        <f t="shared" ref="R205" si="2694">IF($A205="","",IF(Q205="","",IF($K$4="Media aritmética",(Q205&lt;=$B205)*($G$5/$B$5)+(Q205&gt;$B205)*0,IF(ROUND(AVERAGE($C205,$E205,$G205,$I205,$K205,$M205,$O205,$Q205,$S205,$U205,$W205,$Y205,$AA205,$AC205,$AE205),2)-$B205/2&lt;=Q205,IF(ROUND(AVERAGE($C205,$E205,$G205,$I205,$K205,$M205,$O205,$Q205,$S205,$U205,$W205,$Y205,$AA205,$AC205,$AE205),2)+$B205/2&gt;Q205,($G$5/$B$5),0),0))))</f>
        <v/>
      </c>
      <c r="S205" s="141" t="str">
        <f>IF($S$8="Habilitado",IF($A205="","",ROUND(VLOOKUP($A205,'Presupuesto Consolidado'!#REF!,6,FALSE),2)),"")</f>
        <v/>
      </c>
      <c r="T205" s="142" t="str">
        <f t="shared" ref="T205" si="2695">IF($A205="","",IF(S205="","",IF($K$4="Media aritmética",(S205&lt;=$B205)*($G$5/$B$5)+(S205&gt;$B205)*0,IF(ROUND(AVERAGE($C205,$E205,$G205,$I205,$K205,$M205,$O205,$Q205,$S205,$U205,$W205,$Y205,$AA205,$AC205,$AE205),2)-$B205/2&lt;=S205,IF(ROUND(AVERAGE($C205,$E205,$G205,$I205,$K205,$M205,$O205,$Q205,$S205,$U205,$W205,$Y205,$AA205,$AC205,$AE205),2)+$B205/2&gt;S205,($G$5/$B$5),0),0))))</f>
        <v/>
      </c>
      <c r="U205" s="141" t="str">
        <f>IF($U$8="Habilitado",IF($A205="","",ROUND(VLOOKUP($A205,'Presupuesto Consolidado'!#REF!,6,FALSE),2)),"")</f>
        <v/>
      </c>
      <c r="V205" s="142" t="str">
        <f t="shared" ref="V205" si="2696">IF($A205="","",IF(U205="","",IF($K$4="Media aritmética",(U205&lt;=$B205)*($G$5/$B$5)+(U205&gt;$B205)*0,IF(ROUND(AVERAGE($C205,$E205,$G205,$I205,$K205,$M205,$O205,$Q205,$S205,$U205,$W205,$Y205,$AA205,$AC205,$AE205),2)-$B205/2&lt;=U205,IF(ROUND(AVERAGE($C205,$E205,$G205,$I205,$K205,$M205,$O205,$Q205,$S205,$U205,$W205,$Y205,$AA205,$AC205,$AE205),2)+$B205/2&gt;U205,($G$5/$B$5),0),0))))</f>
        <v/>
      </c>
      <c r="W205" s="141" t="str">
        <f>IF($W$8="Habilitado",IF($A205="","",ROUND(VLOOKUP($A205,'Presupuesto Consolidado'!#REF!,6,FALSE),2)),"")</f>
        <v/>
      </c>
      <c r="X205" s="142" t="str">
        <f t="shared" ref="X205" si="2697">IF($A205="","",IF(W205="","",IF($K$4="Media aritmética",(W205&lt;=$B205)*($G$5/$B$5)+(W205&gt;$B205)*0,IF(ROUND(AVERAGE($C205,$E205,$G205,$I205,$K205,$M205,$O205,$Q205,$S205,$U205,$W205,$Y205,$AA205,$AC205,$AE205),2)-$B205/2&lt;=W205,IF(ROUND(AVERAGE($C205,$E205,$G205,$I205,$K205,$M205,$O205,$Q205,$S205,$U205,$W205,$Y205,$AA205,$AC205,$AE205),2)+$B205/2&gt;W205,($G$5/$B$5),0),0))))</f>
        <v/>
      </c>
      <c r="Y205" s="141" t="str">
        <f>IF($Y$8="Habilitado",IF($A205="","",ROUND(VLOOKUP($A205,'Presupuesto Consolidado'!#REF!,6,FALSE),2)),"")</f>
        <v/>
      </c>
      <c r="Z205" s="142" t="str">
        <f t="shared" ref="Z205" si="2698">IF($A205="","",IF(Y205="","",IF($K$4="Media aritmética",(Y205&lt;=$B205)*($G$5/$B$5)+(Y205&gt;$B205)*0,IF(ROUND(AVERAGE($C205,$E205,$G205,$I205,$K205,$M205,$O205,$Q205,$S205,$U205,$W205,$Y205,$AA205,$AC205,$AE205),2)-$B205/2&lt;=Y205,IF(ROUND(AVERAGE($C205,$E205,$G205,$I205,$K205,$M205,$O205,$Q205,$S205,$U205,$W205,$Y205,$AA205,$AC205,$AE205),2)+$B205/2&gt;Y205,($G$5/$B$5),0),0))))</f>
        <v/>
      </c>
      <c r="AA205" s="141" t="str">
        <f>IF($AA$8="Habilitado",IF($A205="","",ROUND(VLOOKUP($A205,'Presupuesto Consolidado'!#REF!,6,FALSE),2)),"")</f>
        <v/>
      </c>
      <c r="AB205" s="142" t="str">
        <f t="shared" ref="AB205" si="2699">IF($A205="","",IF(AA205="","",IF($K$4="Media aritmética",(AA205&lt;=$B205)*($G$5/$B$5)+(AA205&gt;$B205)*0,IF(ROUND(AVERAGE($C205,$E205,$G205,$I205,$K205,$M205,$O205,$Q205,$S205,$U205,$W205,$Y205,$AA205,$AC205,$AE205),2)-$B205/2&lt;=AA205,IF(ROUND(AVERAGE($C205,$E205,$G205,$I205,$K205,$M205,$O205,$Q205,$S205,$U205,$W205,$Y205,$AA205,$AC205,$AE205),2)+$B205/2&gt;AA205,($G$5/$B$5),0),0))))</f>
        <v/>
      </c>
      <c r="AC205" s="141" t="str">
        <f>IF($AC$8="Habilitado",IF($A205="","",ROUND(VLOOKUP($A205,'Presupuesto Consolidado'!#REF!,6,FALSE),2)),"")</f>
        <v/>
      </c>
      <c r="AD205" s="142" t="str">
        <f t="shared" ref="AD205" si="2700">IF($A205="","",IF(AC205="","",IF($K$4="Media aritmética",(AC205&lt;=$B205)*($G$5/$B$5)+(AC205&gt;$B205)*0,IF(ROUND(AVERAGE($C205,$E205,$G205,$I205,$K205,$M205,$O205,$Q205,$S205,$U205,$W205,$Y205,$AA205,$AC205,$AE205),2)-$B205/2&lt;=AC205,IF(ROUND(AVERAGE($C205,$E205,$G205,$I205,$K205,$M205,$O205,$Q205,$S205,$U205,$W205,$Y205,$AA205,$AC205,$AE205),2)+$B205/2&gt;AC205,($G$5/$B$5),0),0))))</f>
        <v/>
      </c>
      <c r="AE205" s="141" t="str">
        <f>IF($AE$8="Habilitado",IF($A205="","",ROUND(VLOOKUP($A205,'Presupuesto Consolidado'!#REF!,6,FALSE),2)),"")</f>
        <v/>
      </c>
      <c r="AF205" s="142" t="str">
        <f t="shared" ref="AF205" si="2701">IF($A205="","",IF(AE205="","",IF($K$4="Media aritmética",(AE205&lt;=$B205)*($G$5/$B$5)+(AE205&gt;$B205)*0,IF(ROUND(AVERAGE($C205,$E205,$G205,$I205,$K205,$M205,$O205,$Q205,$S205,$U205,$W205,$Y205,$AA205,$AC205,$AE205),2)-$B205/2&lt;=AE205,IF(ROUND(AVERAGE($C205,$E205,$G205,$I205,$K205,$M205,$O205,$Q205,$S205,$U205,$W205,$Y205,$AA205,$AC205,$AE205),2)+$B205/2&gt;AE205,($G$5/$B$5),0),0))))</f>
        <v/>
      </c>
    </row>
    <row r="206" spans="1:32" s="135" customFormat="1" ht="21" customHeight="1">
      <c r="A206" s="132" t="str">
        <f>+'Presupuesto Consolidado'!A243</f>
        <v>13.8.8</v>
      </c>
      <c r="B206" s="140">
        <f t="shared" ref="B206" si="2702">IF(A206="","",IF($K$4="Media aritmética",ROUND(AVERAGE(C206,E206,G206,I206,K206,M206,O206,Q206,S206,U206,W206,Y206,AA206,AC206,AE206),2),ROUND(_xlfn.STDEV.P(C206,E206,G206,I206,K206,M206,O206,Q206,S206,U206,W206,Y206,AA206,AC206,AE206),2)))</f>
        <v>291614</v>
      </c>
      <c r="C206" s="141">
        <f>IF($C$8="Habilitado",IF($A206="","",ROUND(VLOOKUP($A206,'Presupuesto Consolidado'!$A$9:$F$600,6,FALSE),2)),"")</f>
        <v>291614</v>
      </c>
      <c r="D206" s="142">
        <f t="shared" ref="D206" si="2703">IF($A206="","",IF(C206="","",IF($K$4="Media aritmética",(C206&lt;=$B206)*($G$5/$B$5)+(C206&gt;$B206)*0,IF(ROUND(AVERAGE($C206,$E206,$G206,$I206,$K206,$M206,$O206,$Q206,$S206,$U206,$W206,$Y206,$AA206,$AC206,$AE206),2)-$B206/2&lt;=C206,IF(ROUND(AVERAGE($C206,$E206,$G206,$I206,$K206,$M206,$O206,$Q206,$S206,$U206,$W206,$Y206,$AA206,$AC206,$AE206),2)+$B206/2&gt;C206,($G$5/$B$5),0),0))))</f>
        <v>0.45714285714285713</v>
      </c>
      <c r="E206" s="141" t="str">
        <f>IF($E$8="Habilitado",IF($A206="","",ROUND(VLOOKUP($A206,'Presupuesto Consolidado'!$I$9:$N$600,6,FALSE),2)),"")</f>
        <v/>
      </c>
      <c r="F206" s="142" t="str">
        <f t="shared" ref="F206" si="2704">IF($A206="","",IF(E206="","",IF($K$4="Media aritmética",(E206&lt;=$B206)*($G$5/$B$5)+(E206&gt;$B206)*0,IF(ROUND(AVERAGE($C206,$E206,$G206,$I206,$K206,$M206,$O206,$Q206,$S206,$U206,$W206,$Y206,$AA206,$AC206,$AE206),2)-$B206/2&lt;=E206,IF(ROUND(AVERAGE($C206,$E206,$G206,$I206,$K206,$M206,$O206,$Q206,$S206,$U206,$W206,$Y206,$AA206,$AC206,$AE206),2)+$B206/2&gt;E206,($G$5/$B$5),0),0))))</f>
        <v/>
      </c>
      <c r="G206" s="141" t="str">
        <f>IF($G$8="Habilitado",IF($A206="","",ROUND(VLOOKUP($A206,'Presupuesto Consolidado'!$Q$9:$V$600,6,FALSE),2)),"")</f>
        <v/>
      </c>
      <c r="H206" s="142" t="str">
        <f t="shared" ref="H206" si="2705">IF($A206="","",IF(G206="","",IF($K$4="Media aritmética",(G206&lt;=$B206)*($G$5/$B$5)+(G206&gt;$B206)*0,IF(ROUND(AVERAGE($C206,$E206,$G206,$I206,$K206,$M206,$O206,$Q206,$S206,$U206,$W206,$Y206,$AA206,$AC206,$AE206),2)-$B206/2&lt;=G206,IF(ROUND(AVERAGE($C206,$E206,$G206,$I206,$K206,$M206,$O206,$Q206,$S206,$U206,$W206,$Y206,$AA206,$AC206,$AE206),2)+$B206/2&gt;G206,($G$5/$B$5),0),0))))</f>
        <v/>
      </c>
      <c r="I206" s="141" t="str">
        <f>IF($I$8="Habilitado",IF($A206="","",ROUND(VLOOKUP($A206,'Presupuesto Consolidado'!$Y$9:$AD$600,6,FALSE),2)),"")</f>
        <v/>
      </c>
      <c r="J206" s="142" t="str">
        <f t="shared" ref="J206" si="2706">IF($A206="","",IF(I206="","",IF($K$4="Media aritmética",(I206&lt;=$B206)*($G$5/$B$5)+(I206&gt;$B206)*0,IF(ROUND(AVERAGE($C206,$E206,$G206,$I206,$K206,$M206,$O206,$Q206,$S206,$U206,$W206,$Y206,$AA206,$AC206,$AE206),2)-$B206/2&lt;=I206,IF(ROUND(AVERAGE($C206,$E206,$G206,$I206,$K206,$M206,$O206,$Q206,$S206,$U206,$W206,$Y206,$AA206,$AC206,$AE206),2)+$B206/2&gt;I206,($G$5/$B$5),0),0))))</f>
        <v/>
      </c>
      <c r="K206" s="141" t="str">
        <f>IF($K$8="Habilitado",IF($A206="","",ROUND(VLOOKUP($A206,'Presupuesto Consolidado'!#REF!,6,FALSE),2)),"")</f>
        <v/>
      </c>
      <c r="L206" s="142" t="str">
        <f t="shared" ref="L206" si="2707">IF($A206="","",IF(K206="","",IF($K$4="Media aritmética",(K206&lt;=$B206)*($G$5/$B$5)+(K206&gt;$B206)*0,IF(ROUND(AVERAGE($C206,$E206,$G206,$I206,$K206,$M206,$O206,$Q206,$S206,$U206,$W206,$Y206,$AA206,$AC206,$AE206),2)-$B206/2&lt;=K206,IF(ROUND(AVERAGE($C206,$E206,$G206,$I206,$K206,$M206,$O206,$Q206,$S206,$U206,$W206,$Y206,$AA206,$AC206,$AE206),2)+$B206/2&gt;K206,($G$5/$B$5),0),0))))</f>
        <v/>
      </c>
      <c r="M206" s="141" t="str">
        <f>IF($M$8="Habilitado",IF($A206="","",ROUND(VLOOKUP($A206,'Presupuesto Consolidado'!#REF!,6,FALSE),2)),"")</f>
        <v/>
      </c>
      <c r="N206" s="142" t="str">
        <f t="shared" ref="N206" si="2708">IF($A206="","",IF(M206="","",IF($K$4="Media aritmética",(M206&lt;=$B206)*($G$5/$B$5)+(M206&gt;$B206)*0,IF(ROUND(AVERAGE($C206,$E206,$G206,$I206,$K206,$M206,$O206,$Q206,$S206,$U206,$W206,$Y206,$AA206,$AC206,$AE206),2)-$B206/2&lt;=M206,IF(ROUND(AVERAGE($C206,$E206,$G206,$I206,$K206,$M206,$O206,$Q206,$S206,$U206,$W206,$Y206,$AA206,$AC206,$AE206),2)+$B206/2&gt;M206,($G$5/$B$5),0),0))))</f>
        <v/>
      </c>
      <c r="O206" s="141" t="str">
        <f>IF($O$8="Habilitado",IF($A206="","",ROUND(VLOOKUP($A206,'Presupuesto Consolidado'!#REF!,6,FALSE),2)),"")</f>
        <v/>
      </c>
      <c r="P206" s="142" t="str">
        <f t="shared" ref="P206" si="2709">IF($A206="","",IF(O206="","",IF($K$4="Media aritmética",(O206&lt;=$B206)*($G$5/$B$5)+(O206&gt;$B206)*0,IF(ROUND(AVERAGE($C206,$E206,$G206,$I206,$K206,$M206,$O206,$Q206,$S206,$U206,$W206,$Y206,$AA206,$AC206,$AE206),2)-$B206/2&lt;=O206,IF(ROUND(AVERAGE($C206,$E206,$G206,$I206,$K206,$M206,$O206,$Q206,$S206,$U206,$W206,$Y206,$AA206,$AC206,$AE206),2)+$B206/2&gt;O206,($G$5/$B$5),0),0))))</f>
        <v/>
      </c>
      <c r="Q206" s="141" t="str">
        <f>IF($Q$8="Habilitado",IF($A206="","",ROUND(VLOOKUP($A206,'Presupuesto Consolidado'!#REF!,6,FALSE),2)),"")</f>
        <v/>
      </c>
      <c r="R206" s="142" t="str">
        <f t="shared" ref="R206" si="2710">IF($A206="","",IF(Q206="","",IF($K$4="Media aritmética",(Q206&lt;=$B206)*($G$5/$B$5)+(Q206&gt;$B206)*0,IF(ROUND(AVERAGE($C206,$E206,$G206,$I206,$K206,$M206,$O206,$Q206,$S206,$U206,$W206,$Y206,$AA206,$AC206,$AE206),2)-$B206/2&lt;=Q206,IF(ROUND(AVERAGE($C206,$E206,$G206,$I206,$K206,$M206,$O206,$Q206,$S206,$U206,$W206,$Y206,$AA206,$AC206,$AE206),2)+$B206/2&gt;Q206,($G$5/$B$5),0),0))))</f>
        <v/>
      </c>
      <c r="S206" s="141" t="str">
        <f>IF($S$8="Habilitado",IF($A206="","",ROUND(VLOOKUP($A206,'Presupuesto Consolidado'!#REF!,6,FALSE),2)),"")</f>
        <v/>
      </c>
      <c r="T206" s="142" t="str">
        <f t="shared" ref="T206" si="2711">IF($A206="","",IF(S206="","",IF($K$4="Media aritmética",(S206&lt;=$B206)*($G$5/$B$5)+(S206&gt;$B206)*0,IF(ROUND(AVERAGE($C206,$E206,$G206,$I206,$K206,$M206,$O206,$Q206,$S206,$U206,$W206,$Y206,$AA206,$AC206,$AE206),2)-$B206/2&lt;=S206,IF(ROUND(AVERAGE($C206,$E206,$G206,$I206,$K206,$M206,$O206,$Q206,$S206,$U206,$W206,$Y206,$AA206,$AC206,$AE206),2)+$B206/2&gt;S206,($G$5/$B$5),0),0))))</f>
        <v/>
      </c>
      <c r="U206" s="141" t="str">
        <f>IF($U$8="Habilitado",IF($A206="","",ROUND(VLOOKUP($A206,'Presupuesto Consolidado'!#REF!,6,FALSE),2)),"")</f>
        <v/>
      </c>
      <c r="V206" s="142" t="str">
        <f t="shared" ref="V206" si="2712">IF($A206="","",IF(U206="","",IF($K$4="Media aritmética",(U206&lt;=$B206)*($G$5/$B$5)+(U206&gt;$B206)*0,IF(ROUND(AVERAGE($C206,$E206,$G206,$I206,$K206,$M206,$O206,$Q206,$S206,$U206,$W206,$Y206,$AA206,$AC206,$AE206),2)-$B206/2&lt;=U206,IF(ROUND(AVERAGE($C206,$E206,$G206,$I206,$K206,$M206,$O206,$Q206,$S206,$U206,$W206,$Y206,$AA206,$AC206,$AE206),2)+$B206/2&gt;U206,($G$5/$B$5),0),0))))</f>
        <v/>
      </c>
      <c r="W206" s="141" t="str">
        <f>IF($W$8="Habilitado",IF($A206="","",ROUND(VLOOKUP($A206,'Presupuesto Consolidado'!#REF!,6,FALSE),2)),"")</f>
        <v/>
      </c>
      <c r="X206" s="142" t="str">
        <f t="shared" ref="X206" si="2713">IF($A206="","",IF(W206="","",IF($K$4="Media aritmética",(W206&lt;=$B206)*($G$5/$B$5)+(W206&gt;$B206)*0,IF(ROUND(AVERAGE($C206,$E206,$G206,$I206,$K206,$M206,$O206,$Q206,$S206,$U206,$W206,$Y206,$AA206,$AC206,$AE206),2)-$B206/2&lt;=W206,IF(ROUND(AVERAGE($C206,$E206,$G206,$I206,$K206,$M206,$O206,$Q206,$S206,$U206,$W206,$Y206,$AA206,$AC206,$AE206),2)+$B206/2&gt;W206,($G$5/$B$5),0),0))))</f>
        <v/>
      </c>
      <c r="Y206" s="141" t="str">
        <f>IF($Y$8="Habilitado",IF($A206="","",ROUND(VLOOKUP($A206,'Presupuesto Consolidado'!#REF!,6,FALSE),2)),"")</f>
        <v/>
      </c>
      <c r="Z206" s="142" t="str">
        <f t="shared" ref="Z206" si="2714">IF($A206="","",IF(Y206="","",IF($K$4="Media aritmética",(Y206&lt;=$B206)*($G$5/$B$5)+(Y206&gt;$B206)*0,IF(ROUND(AVERAGE($C206,$E206,$G206,$I206,$K206,$M206,$O206,$Q206,$S206,$U206,$W206,$Y206,$AA206,$AC206,$AE206),2)-$B206/2&lt;=Y206,IF(ROUND(AVERAGE($C206,$E206,$G206,$I206,$K206,$M206,$O206,$Q206,$S206,$U206,$W206,$Y206,$AA206,$AC206,$AE206),2)+$B206/2&gt;Y206,($G$5/$B$5),0),0))))</f>
        <v/>
      </c>
      <c r="AA206" s="141" t="str">
        <f>IF($AA$8="Habilitado",IF($A206="","",ROUND(VLOOKUP($A206,'Presupuesto Consolidado'!#REF!,6,FALSE),2)),"")</f>
        <v/>
      </c>
      <c r="AB206" s="142" t="str">
        <f t="shared" ref="AB206" si="2715">IF($A206="","",IF(AA206="","",IF($K$4="Media aritmética",(AA206&lt;=$B206)*($G$5/$B$5)+(AA206&gt;$B206)*0,IF(ROUND(AVERAGE($C206,$E206,$G206,$I206,$K206,$M206,$O206,$Q206,$S206,$U206,$W206,$Y206,$AA206,$AC206,$AE206),2)-$B206/2&lt;=AA206,IF(ROUND(AVERAGE($C206,$E206,$G206,$I206,$K206,$M206,$O206,$Q206,$S206,$U206,$W206,$Y206,$AA206,$AC206,$AE206),2)+$B206/2&gt;AA206,($G$5/$B$5),0),0))))</f>
        <v/>
      </c>
      <c r="AC206" s="141" t="str">
        <f>IF($AC$8="Habilitado",IF($A206="","",ROUND(VLOOKUP($A206,'Presupuesto Consolidado'!#REF!,6,FALSE),2)),"")</f>
        <v/>
      </c>
      <c r="AD206" s="142" t="str">
        <f t="shared" ref="AD206" si="2716">IF($A206="","",IF(AC206="","",IF($K$4="Media aritmética",(AC206&lt;=$B206)*($G$5/$B$5)+(AC206&gt;$B206)*0,IF(ROUND(AVERAGE($C206,$E206,$G206,$I206,$K206,$M206,$O206,$Q206,$S206,$U206,$W206,$Y206,$AA206,$AC206,$AE206),2)-$B206/2&lt;=AC206,IF(ROUND(AVERAGE($C206,$E206,$G206,$I206,$K206,$M206,$O206,$Q206,$S206,$U206,$W206,$Y206,$AA206,$AC206,$AE206),2)+$B206/2&gt;AC206,($G$5/$B$5),0),0))))</f>
        <v/>
      </c>
      <c r="AE206" s="141" t="str">
        <f>IF($AE$8="Habilitado",IF($A206="","",ROUND(VLOOKUP($A206,'Presupuesto Consolidado'!#REF!,6,FALSE),2)),"")</f>
        <v/>
      </c>
      <c r="AF206" s="142" t="str">
        <f t="shared" ref="AF206" si="2717">IF($A206="","",IF(AE206="","",IF($K$4="Media aritmética",(AE206&lt;=$B206)*($G$5/$B$5)+(AE206&gt;$B206)*0,IF(ROUND(AVERAGE($C206,$E206,$G206,$I206,$K206,$M206,$O206,$Q206,$S206,$U206,$W206,$Y206,$AA206,$AC206,$AE206),2)-$B206/2&lt;=AE206,IF(ROUND(AVERAGE($C206,$E206,$G206,$I206,$K206,$M206,$O206,$Q206,$S206,$U206,$W206,$Y206,$AA206,$AC206,$AE206),2)+$B206/2&gt;AE206,($G$5/$B$5),0),0))))</f>
        <v/>
      </c>
    </row>
    <row r="207" spans="1:32" s="135" customFormat="1" ht="21" customHeight="1">
      <c r="A207" s="132" t="str">
        <f>+'Presupuesto Consolidado'!A244</f>
        <v>13.8.9</v>
      </c>
      <c r="B207" s="140">
        <f t="shared" ref="B207" si="2718">IF(A207="","",IF($K$4="Media aritmética",ROUND(AVERAGE(C207,E207,G207,I207,K207,M207,O207,Q207,S207,U207,W207,Y207,AA207,AC207,AE207),2),ROUND(_xlfn.STDEV.P(C207,E207,G207,I207,K207,M207,O207,Q207,S207,U207,W207,Y207,AA207,AC207,AE207),2)))</f>
        <v>186044</v>
      </c>
      <c r="C207" s="141">
        <f>IF($C$8="Habilitado",IF($A207="","",ROUND(VLOOKUP($A207,'Presupuesto Consolidado'!$A$9:$F$600,6,FALSE),2)),"")</f>
        <v>186044</v>
      </c>
      <c r="D207" s="142">
        <f t="shared" ref="D207" si="2719">IF($A207="","",IF(C207="","",IF($K$4="Media aritmética",(C207&lt;=$B207)*($G$5/$B$5)+(C207&gt;$B207)*0,IF(ROUND(AVERAGE($C207,$E207,$G207,$I207,$K207,$M207,$O207,$Q207,$S207,$U207,$W207,$Y207,$AA207,$AC207,$AE207),2)-$B207/2&lt;=C207,IF(ROUND(AVERAGE($C207,$E207,$G207,$I207,$K207,$M207,$O207,$Q207,$S207,$U207,$W207,$Y207,$AA207,$AC207,$AE207),2)+$B207/2&gt;C207,($G$5/$B$5),0),0))))</f>
        <v>0.45714285714285713</v>
      </c>
      <c r="E207" s="141" t="str">
        <f>IF($E$8="Habilitado",IF($A207="","",ROUND(VLOOKUP($A207,'Presupuesto Consolidado'!$I$9:$N$600,6,FALSE),2)),"")</f>
        <v/>
      </c>
      <c r="F207" s="142" t="str">
        <f t="shared" ref="F207" si="2720">IF($A207="","",IF(E207="","",IF($K$4="Media aritmética",(E207&lt;=$B207)*($G$5/$B$5)+(E207&gt;$B207)*0,IF(ROUND(AVERAGE($C207,$E207,$G207,$I207,$K207,$M207,$O207,$Q207,$S207,$U207,$W207,$Y207,$AA207,$AC207,$AE207),2)-$B207/2&lt;=E207,IF(ROUND(AVERAGE($C207,$E207,$G207,$I207,$K207,$M207,$O207,$Q207,$S207,$U207,$W207,$Y207,$AA207,$AC207,$AE207),2)+$B207/2&gt;E207,($G$5/$B$5),0),0))))</f>
        <v/>
      </c>
      <c r="G207" s="141" t="str">
        <f>IF($G$8="Habilitado",IF($A207="","",ROUND(VLOOKUP($A207,'Presupuesto Consolidado'!$Q$9:$V$600,6,FALSE),2)),"")</f>
        <v/>
      </c>
      <c r="H207" s="142" t="str">
        <f t="shared" ref="H207" si="2721">IF($A207="","",IF(G207="","",IF($K$4="Media aritmética",(G207&lt;=$B207)*($G$5/$B$5)+(G207&gt;$B207)*0,IF(ROUND(AVERAGE($C207,$E207,$G207,$I207,$K207,$M207,$O207,$Q207,$S207,$U207,$W207,$Y207,$AA207,$AC207,$AE207),2)-$B207/2&lt;=G207,IF(ROUND(AVERAGE($C207,$E207,$G207,$I207,$K207,$M207,$O207,$Q207,$S207,$U207,$W207,$Y207,$AA207,$AC207,$AE207),2)+$B207/2&gt;G207,($G$5/$B$5),0),0))))</f>
        <v/>
      </c>
      <c r="I207" s="141" t="str">
        <f>IF($I$8="Habilitado",IF($A207="","",ROUND(VLOOKUP($A207,'Presupuesto Consolidado'!$Y$9:$AD$600,6,FALSE),2)),"")</f>
        <v/>
      </c>
      <c r="J207" s="142" t="str">
        <f t="shared" ref="J207" si="2722">IF($A207="","",IF(I207="","",IF($K$4="Media aritmética",(I207&lt;=$B207)*($G$5/$B$5)+(I207&gt;$B207)*0,IF(ROUND(AVERAGE($C207,$E207,$G207,$I207,$K207,$M207,$O207,$Q207,$S207,$U207,$W207,$Y207,$AA207,$AC207,$AE207),2)-$B207/2&lt;=I207,IF(ROUND(AVERAGE($C207,$E207,$G207,$I207,$K207,$M207,$O207,$Q207,$S207,$U207,$W207,$Y207,$AA207,$AC207,$AE207),2)+$B207/2&gt;I207,($G$5/$B$5),0),0))))</f>
        <v/>
      </c>
      <c r="K207" s="141" t="str">
        <f>IF($K$8="Habilitado",IF($A207="","",ROUND(VLOOKUP($A207,'Presupuesto Consolidado'!#REF!,6,FALSE),2)),"")</f>
        <v/>
      </c>
      <c r="L207" s="142" t="str">
        <f t="shared" ref="L207" si="2723">IF($A207="","",IF(K207="","",IF($K$4="Media aritmética",(K207&lt;=$B207)*($G$5/$B$5)+(K207&gt;$B207)*0,IF(ROUND(AVERAGE($C207,$E207,$G207,$I207,$K207,$M207,$O207,$Q207,$S207,$U207,$W207,$Y207,$AA207,$AC207,$AE207),2)-$B207/2&lt;=K207,IF(ROUND(AVERAGE($C207,$E207,$G207,$I207,$K207,$M207,$O207,$Q207,$S207,$U207,$W207,$Y207,$AA207,$AC207,$AE207),2)+$B207/2&gt;K207,($G$5/$B$5),0),0))))</f>
        <v/>
      </c>
      <c r="M207" s="141" t="str">
        <f>IF($M$8="Habilitado",IF($A207="","",ROUND(VLOOKUP($A207,'Presupuesto Consolidado'!#REF!,6,FALSE),2)),"")</f>
        <v/>
      </c>
      <c r="N207" s="142" t="str">
        <f t="shared" ref="N207" si="2724">IF($A207="","",IF(M207="","",IF($K$4="Media aritmética",(M207&lt;=$B207)*($G$5/$B$5)+(M207&gt;$B207)*0,IF(ROUND(AVERAGE($C207,$E207,$G207,$I207,$K207,$M207,$O207,$Q207,$S207,$U207,$W207,$Y207,$AA207,$AC207,$AE207),2)-$B207/2&lt;=M207,IF(ROUND(AVERAGE($C207,$E207,$G207,$I207,$K207,$M207,$O207,$Q207,$S207,$U207,$W207,$Y207,$AA207,$AC207,$AE207),2)+$B207/2&gt;M207,($G$5/$B$5),0),0))))</f>
        <v/>
      </c>
      <c r="O207" s="141" t="str">
        <f>IF($O$8="Habilitado",IF($A207="","",ROUND(VLOOKUP($A207,'Presupuesto Consolidado'!#REF!,6,FALSE),2)),"")</f>
        <v/>
      </c>
      <c r="P207" s="142" t="str">
        <f t="shared" ref="P207" si="2725">IF($A207="","",IF(O207="","",IF($K$4="Media aritmética",(O207&lt;=$B207)*($G$5/$B$5)+(O207&gt;$B207)*0,IF(ROUND(AVERAGE($C207,$E207,$G207,$I207,$K207,$M207,$O207,$Q207,$S207,$U207,$W207,$Y207,$AA207,$AC207,$AE207),2)-$B207/2&lt;=O207,IF(ROUND(AVERAGE($C207,$E207,$G207,$I207,$K207,$M207,$O207,$Q207,$S207,$U207,$W207,$Y207,$AA207,$AC207,$AE207),2)+$B207/2&gt;O207,($G$5/$B$5),0),0))))</f>
        <v/>
      </c>
      <c r="Q207" s="141" t="str">
        <f>IF($Q$8="Habilitado",IF($A207="","",ROUND(VLOOKUP($A207,'Presupuesto Consolidado'!#REF!,6,FALSE),2)),"")</f>
        <v/>
      </c>
      <c r="R207" s="142" t="str">
        <f t="shared" ref="R207" si="2726">IF($A207="","",IF(Q207="","",IF($K$4="Media aritmética",(Q207&lt;=$B207)*($G$5/$B$5)+(Q207&gt;$B207)*0,IF(ROUND(AVERAGE($C207,$E207,$G207,$I207,$K207,$M207,$O207,$Q207,$S207,$U207,$W207,$Y207,$AA207,$AC207,$AE207),2)-$B207/2&lt;=Q207,IF(ROUND(AVERAGE($C207,$E207,$G207,$I207,$K207,$M207,$O207,$Q207,$S207,$U207,$W207,$Y207,$AA207,$AC207,$AE207),2)+$B207/2&gt;Q207,($G$5/$B$5),0),0))))</f>
        <v/>
      </c>
      <c r="S207" s="141" t="str">
        <f>IF($S$8="Habilitado",IF($A207="","",ROUND(VLOOKUP($A207,'Presupuesto Consolidado'!#REF!,6,FALSE),2)),"")</f>
        <v/>
      </c>
      <c r="T207" s="142" t="str">
        <f t="shared" ref="T207" si="2727">IF($A207="","",IF(S207="","",IF($K$4="Media aritmética",(S207&lt;=$B207)*($G$5/$B$5)+(S207&gt;$B207)*0,IF(ROUND(AVERAGE($C207,$E207,$G207,$I207,$K207,$M207,$O207,$Q207,$S207,$U207,$W207,$Y207,$AA207,$AC207,$AE207),2)-$B207/2&lt;=S207,IF(ROUND(AVERAGE($C207,$E207,$G207,$I207,$K207,$M207,$O207,$Q207,$S207,$U207,$W207,$Y207,$AA207,$AC207,$AE207),2)+$B207/2&gt;S207,($G$5/$B$5),0),0))))</f>
        <v/>
      </c>
      <c r="U207" s="141" t="str">
        <f>IF($U$8="Habilitado",IF($A207="","",ROUND(VLOOKUP($A207,'Presupuesto Consolidado'!#REF!,6,FALSE),2)),"")</f>
        <v/>
      </c>
      <c r="V207" s="142" t="str">
        <f t="shared" ref="V207" si="2728">IF($A207="","",IF(U207="","",IF($K$4="Media aritmética",(U207&lt;=$B207)*($G$5/$B$5)+(U207&gt;$B207)*0,IF(ROUND(AVERAGE($C207,$E207,$G207,$I207,$K207,$M207,$O207,$Q207,$S207,$U207,$W207,$Y207,$AA207,$AC207,$AE207),2)-$B207/2&lt;=U207,IF(ROUND(AVERAGE($C207,$E207,$G207,$I207,$K207,$M207,$O207,$Q207,$S207,$U207,$W207,$Y207,$AA207,$AC207,$AE207),2)+$B207/2&gt;U207,($G$5/$B$5),0),0))))</f>
        <v/>
      </c>
      <c r="W207" s="141" t="str">
        <f>IF($W$8="Habilitado",IF($A207="","",ROUND(VLOOKUP($A207,'Presupuesto Consolidado'!#REF!,6,FALSE),2)),"")</f>
        <v/>
      </c>
      <c r="X207" s="142" t="str">
        <f t="shared" ref="X207" si="2729">IF($A207="","",IF(W207="","",IF($K$4="Media aritmética",(W207&lt;=$B207)*($G$5/$B$5)+(W207&gt;$B207)*0,IF(ROUND(AVERAGE($C207,$E207,$G207,$I207,$K207,$M207,$O207,$Q207,$S207,$U207,$W207,$Y207,$AA207,$AC207,$AE207),2)-$B207/2&lt;=W207,IF(ROUND(AVERAGE($C207,$E207,$G207,$I207,$K207,$M207,$O207,$Q207,$S207,$U207,$W207,$Y207,$AA207,$AC207,$AE207),2)+$B207/2&gt;W207,($G$5/$B$5),0),0))))</f>
        <v/>
      </c>
      <c r="Y207" s="141" t="str">
        <f>IF($Y$8="Habilitado",IF($A207="","",ROUND(VLOOKUP($A207,'Presupuesto Consolidado'!#REF!,6,FALSE),2)),"")</f>
        <v/>
      </c>
      <c r="Z207" s="142" t="str">
        <f t="shared" ref="Z207" si="2730">IF($A207="","",IF(Y207="","",IF($K$4="Media aritmética",(Y207&lt;=$B207)*($G$5/$B$5)+(Y207&gt;$B207)*0,IF(ROUND(AVERAGE($C207,$E207,$G207,$I207,$K207,$M207,$O207,$Q207,$S207,$U207,$W207,$Y207,$AA207,$AC207,$AE207),2)-$B207/2&lt;=Y207,IF(ROUND(AVERAGE($C207,$E207,$G207,$I207,$K207,$M207,$O207,$Q207,$S207,$U207,$W207,$Y207,$AA207,$AC207,$AE207),2)+$B207/2&gt;Y207,($G$5/$B$5),0),0))))</f>
        <v/>
      </c>
      <c r="AA207" s="141" t="str">
        <f>IF($AA$8="Habilitado",IF($A207="","",ROUND(VLOOKUP($A207,'Presupuesto Consolidado'!#REF!,6,FALSE),2)),"")</f>
        <v/>
      </c>
      <c r="AB207" s="142" t="str">
        <f t="shared" ref="AB207" si="2731">IF($A207="","",IF(AA207="","",IF($K$4="Media aritmética",(AA207&lt;=$B207)*($G$5/$B$5)+(AA207&gt;$B207)*0,IF(ROUND(AVERAGE($C207,$E207,$G207,$I207,$K207,$M207,$O207,$Q207,$S207,$U207,$W207,$Y207,$AA207,$AC207,$AE207),2)-$B207/2&lt;=AA207,IF(ROUND(AVERAGE($C207,$E207,$G207,$I207,$K207,$M207,$O207,$Q207,$S207,$U207,$W207,$Y207,$AA207,$AC207,$AE207),2)+$B207/2&gt;AA207,($G$5/$B$5),0),0))))</f>
        <v/>
      </c>
      <c r="AC207" s="141" t="str">
        <f>IF($AC$8="Habilitado",IF($A207="","",ROUND(VLOOKUP($A207,'Presupuesto Consolidado'!#REF!,6,FALSE),2)),"")</f>
        <v/>
      </c>
      <c r="AD207" s="142" t="str">
        <f t="shared" ref="AD207" si="2732">IF($A207="","",IF(AC207="","",IF($K$4="Media aritmética",(AC207&lt;=$B207)*($G$5/$B$5)+(AC207&gt;$B207)*0,IF(ROUND(AVERAGE($C207,$E207,$G207,$I207,$K207,$M207,$O207,$Q207,$S207,$U207,$W207,$Y207,$AA207,$AC207,$AE207),2)-$B207/2&lt;=AC207,IF(ROUND(AVERAGE($C207,$E207,$G207,$I207,$K207,$M207,$O207,$Q207,$S207,$U207,$W207,$Y207,$AA207,$AC207,$AE207),2)+$B207/2&gt;AC207,($G$5/$B$5),0),0))))</f>
        <v/>
      </c>
      <c r="AE207" s="141" t="str">
        <f>IF($AE$8="Habilitado",IF($A207="","",ROUND(VLOOKUP($A207,'Presupuesto Consolidado'!#REF!,6,FALSE),2)),"")</f>
        <v/>
      </c>
      <c r="AF207" s="142" t="str">
        <f t="shared" ref="AF207" si="2733">IF($A207="","",IF(AE207="","",IF($K$4="Media aritmética",(AE207&lt;=$B207)*($G$5/$B$5)+(AE207&gt;$B207)*0,IF(ROUND(AVERAGE($C207,$E207,$G207,$I207,$K207,$M207,$O207,$Q207,$S207,$U207,$W207,$Y207,$AA207,$AC207,$AE207),2)-$B207/2&lt;=AE207,IF(ROUND(AVERAGE($C207,$E207,$G207,$I207,$K207,$M207,$O207,$Q207,$S207,$U207,$W207,$Y207,$AA207,$AC207,$AE207),2)+$B207/2&gt;AE207,($G$5/$B$5),0),0))))</f>
        <v/>
      </c>
    </row>
    <row r="208" spans="1:32" s="135" customFormat="1" ht="21" customHeight="1">
      <c r="A208" s="132" t="str">
        <f>+'Presupuesto Consolidado'!A245</f>
        <v>13.8.10</v>
      </c>
      <c r="B208" s="140">
        <f t="shared" ref="B208" si="2734">IF(A208="","",IF($K$4="Media aritmética",ROUND(AVERAGE(C208,E208,G208,I208,K208,M208,O208,Q208,S208,U208,W208,Y208,AA208,AC208,AE208),2),ROUND(_xlfn.STDEV.P(C208,E208,G208,I208,K208,M208,O208,Q208,S208,U208,W208,Y208,AA208,AC208,AE208),2)))</f>
        <v>102245</v>
      </c>
      <c r="C208" s="141">
        <f>IF($C$8="Habilitado",IF($A208="","",ROUND(VLOOKUP($A208,'Presupuesto Consolidado'!$A$9:$F$600,6,FALSE),2)),"")</f>
        <v>102245</v>
      </c>
      <c r="D208" s="142">
        <f t="shared" ref="D208" si="2735">IF($A208="","",IF(C208="","",IF($K$4="Media aritmética",(C208&lt;=$B208)*($G$5/$B$5)+(C208&gt;$B208)*0,IF(ROUND(AVERAGE($C208,$E208,$G208,$I208,$K208,$M208,$O208,$Q208,$S208,$U208,$W208,$Y208,$AA208,$AC208,$AE208),2)-$B208/2&lt;=C208,IF(ROUND(AVERAGE($C208,$E208,$G208,$I208,$K208,$M208,$O208,$Q208,$S208,$U208,$W208,$Y208,$AA208,$AC208,$AE208),2)+$B208/2&gt;C208,($G$5/$B$5),0),0))))</f>
        <v>0.45714285714285713</v>
      </c>
      <c r="E208" s="141" t="str">
        <f>IF($E$8="Habilitado",IF($A208="","",ROUND(VLOOKUP($A208,'Presupuesto Consolidado'!$I$9:$N$600,6,FALSE),2)),"")</f>
        <v/>
      </c>
      <c r="F208" s="142" t="str">
        <f t="shared" ref="F208" si="2736">IF($A208="","",IF(E208="","",IF($K$4="Media aritmética",(E208&lt;=$B208)*($G$5/$B$5)+(E208&gt;$B208)*0,IF(ROUND(AVERAGE($C208,$E208,$G208,$I208,$K208,$M208,$O208,$Q208,$S208,$U208,$W208,$Y208,$AA208,$AC208,$AE208),2)-$B208/2&lt;=E208,IF(ROUND(AVERAGE($C208,$E208,$G208,$I208,$K208,$M208,$O208,$Q208,$S208,$U208,$W208,$Y208,$AA208,$AC208,$AE208),2)+$B208/2&gt;E208,($G$5/$B$5),0),0))))</f>
        <v/>
      </c>
      <c r="G208" s="141" t="str">
        <f>IF($G$8="Habilitado",IF($A208="","",ROUND(VLOOKUP($A208,'Presupuesto Consolidado'!$Q$9:$V$600,6,FALSE),2)),"")</f>
        <v/>
      </c>
      <c r="H208" s="142" t="str">
        <f t="shared" ref="H208" si="2737">IF($A208="","",IF(G208="","",IF($K$4="Media aritmética",(G208&lt;=$B208)*($G$5/$B$5)+(G208&gt;$B208)*0,IF(ROUND(AVERAGE($C208,$E208,$G208,$I208,$K208,$M208,$O208,$Q208,$S208,$U208,$W208,$Y208,$AA208,$AC208,$AE208),2)-$B208/2&lt;=G208,IF(ROUND(AVERAGE($C208,$E208,$G208,$I208,$K208,$M208,$O208,$Q208,$S208,$U208,$W208,$Y208,$AA208,$AC208,$AE208),2)+$B208/2&gt;G208,($G$5/$B$5),0),0))))</f>
        <v/>
      </c>
      <c r="I208" s="141" t="str">
        <f>IF($I$8="Habilitado",IF($A208="","",ROUND(VLOOKUP($A208,'Presupuesto Consolidado'!$Y$9:$AD$600,6,FALSE),2)),"")</f>
        <v/>
      </c>
      <c r="J208" s="142" t="str">
        <f t="shared" ref="J208" si="2738">IF($A208="","",IF(I208="","",IF($K$4="Media aritmética",(I208&lt;=$B208)*($G$5/$B$5)+(I208&gt;$B208)*0,IF(ROUND(AVERAGE($C208,$E208,$G208,$I208,$K208,$M208,$O208,$Q208,$S208,$U208,$W208,$Y208,$AA208,$AC208,$AE208),2)-$B208/2&lt;=I208,IF(ROUND(AVERAGE($C208,$E208,$G208,$I208,$K208,$M208,$O208,$Q208,$S208,$U208,$W208,$Y208,$AA208,$AC208,$AE208),2)+$B208/2&gt;I208,($G$5/$B$5),0),0))))</f>
        <v/>
      </c>
      <c r="K208" s="141" t="str">
        <f>IF($K$8="Habilitado",IF($A208="","",ROUND(VLOOKUP($A208,'Presupuesto Consolidado'!#REF!,6,FALSE),2)),"")</f>
        <v/>
      </c>
      <c r="L208" s="142" t="str">
        <f t="shared" ref="L208" si="2739">IF($A208="","",IF(K208="","",IF($K$4="Media aritmética",(K208&lt;=$B208)*($G$5/$B$5)+(K208&gt;$B208)*0,IF(ROUND(AVERAGE($C208,$E208,$G208,$I208,$K208,$M208,$O208,$Q208,$S208,$U208,$W208,$Y208,$AA208,$AC208,$AE208),2)-$B208/2&lt;=K208,IF(ROUND(AVERAGE($C208,$E208,$G208,$I208,$K208,$M208,$O208,$Q208,$S208,$U208,$W208,$Y208,$AA208,$AC208,$AE208),2)+$B208/2&gt;K208,($G$5/$B$5),0),0))))</f>
        <v/>
      </c>
      <c r="M208" s="141" t="str">
        <f>IF($M$8="Habilitado",IF($A208="","",ROUND(VLOOKUP($A208,'Presupuesto Consolidado'!#REF!,6,FALSE),2)),"")</f>
        <v/>
      </c>
      <c r="N208" s="142" t="str">
        <f t="shared" ref="N208" si="2740">IF($A208="","",IF(M208="","",IF($K$4="Media aritmética",(M208&lt;=$B208)*($G$5/$B$5)+(M208&gt;$B208)*0,IF(ROUND(AVERAGE($C208,$E208,$G208,$I208,$K208,$M208,$O208,$Q208,$S208,$U208,$W208,$Y208,$AA208,$AC208,$AE208),2)-$B208/2&lt;=M208,IF(ROUND(AVERAGE($C208,$E208,$G208,$I208,$K208,$M208,$O208,$Q208,$S208,$U208,$W208,$Y208,$AA208,$AC208,$AE208),2)+$B208/2&gt;M208,($G$5/$B$5),0),0))))</f>
        <v/>
      </c>
      <c r="O208" s="141" t="str">
        <f>IF($O$8="Habilitado",IF($A208="","",ROUND(VLOOKUP($A208,'Presupuesto Consolidado'!#REF!,6,FALSE),2)),"")</f>
        <v/>
      </c>
      <c r="P208" s="142" t="str">
        <f t="shared" ref="P208" si="2741">IF($A208="","",IF(O208="","",IF($K$4="Media aritmética",(O208&lt;=$B208)*($G$5/$B$5)+(O208&gt;$B208)*0,IF(ROUND(AVERAGE($C208,$E208,$G208,$I208,$K208,$M208,$O208,$Q208,$S208,$U208,$W208,$Y208,$AA208,$AC208,$AE208),2)-$B208/2&lt;=O208,IF(ROUND(AVERAGE($C208,$E208,$G208,$I208,$K208,$M208,$O208,$Q208,$S208,$U208,$W208,$Y208,$AA208,$AC208,$AE208),2)+$B208/2&gt;O208,($G$5/$B$5),0),0))))</f>
        <v/>
      </c>
      <c r="Q208" s="141" t="str">
        <f>IF($Q$8="Habilitado",IF($A208="","",ROUND(VLOOKUP($A208,'Presupuesto Consolidado'!#REF!,6,FALSE),2)),"")</f>
        <v/>
      </c>
      <c r="R208" s="142" t="str">
        <f t="shared" ref="R208" si="2742">IF($A208="","",IF(Q208="","",IF($K$4="Media aritmética",(Q208&lt;=$B208)*($G$5/$B$5)+(Q208&gt;$B208)*0,IF(ROUND(AVERAGE($C208,$E208,$G208,$I208,$K208,$M208,$O208,$Q208,$S208,$U208,$W208,$Y208,$AA208,$AC208,$AE208),2)-$B208/2&lt;=Q208,IF(ROUND(AVERAGE($C208,$E208,$G208,$I208,$K208,$M208,$O208,$Q208,$S208,$U208,$W208,$Y208,$AA208,$AC208,$AE208),2)+$B208/2&gt;Q208,($G$5/$B$5),0),0))))</f>
        <v/>
      </c>
      <c r="S208" s="141" t="str">
        <f>IF($S$8="Habilitado",IF($A208="","",ROUND(VLOOKUP($A208,'Presupuesto Consolidado'!#REF!,6,FALSE),2)),"")</f>
        <v/>
      </c>
      <c r="T208" s="142" t="str">
        <f t="shared" ref="T208" si="2743">IF($A208="","",IF(S208="","",IF($K$4="Media aritmética",(S208&lt;=$B208)*($G$5/$B$5)+(S208&gt;$B208)*0,IF(ROUND(AVERAGE($C208,$E208,$G208,$I208,$K208,$M208,$O208,$Q208,$S208,$U208,$W208,$Y208,$AA208,$AC208,$AE208),2)-$B208/2&lt;=S208,IF(ROUND(AVERAGE($C208,$E208,$G208,$I208,$K208,$M208,$O208,$Q208,$S208,$U208,$W208,$Y208,$AA208,$AC208,$AE208),2)+$B208/2&gt;S208,($G$5/$B$5),0),0))))</f>
        <v/>
      </c>
      <c r="U208" s="141" t="str">
        <f>IF($U$8="Habilitado",IF($A208="","",ROUND(VLOOKUP($A208,'Presupuesto Consolidado'!#REF!,6,FALSE),2)),"")</f>
        <v/>
      </c>
      <c r="V208" s="142" t="str">
        <f t="shared" ref="V208" si="2744">IF($A208="","",IF(U208="","",IF($K$4="Media aritmética",(U208&lt;=$B208)*($G$5/$B$5)+(U208&gt;$B208)*0,IF(ROUND(AVERAGE($C208,$E208,$G208,$I208,$K208,$M208,$O208,$Q208,$S208,$U208,$W208,$Y208,$AA208,$AC208,$AE208),2)-$B208/2&lt;=U208,IF(ROUND(AVERAGE($C208,$E208,$G208,$I208,$K208,$M208,$O208,$Q208,$S208,$U208,$W208,$Y208,$AA208,$AC208,$AE208),2)+$B208/2&gt;U208,($G$5/$B$5),0),0))))</f>
        <v/>
      </c>
      <c r="W208" s="141" t="str">
        <f>IF($W$8="Habilitado",IF($A208="","",ROUND(VLOOKUP($A208,'Presupuesto Consolidado'!#REF!,6,FALSE),2)),"")</f>
        <v/>
      </c>
      <c r="X208" s="142" t="str">
        <f t="shared" ref="X208" si="2745">IF($A208="","",IF(W208="","",IF($K$4="Media aritmética",(W208&lt;=$B208)*($G$5/$B$5)+(W208&gt;$B208)*0,IF(ROUND(AVERAGE($C208,$E208,$G208,$I208,$K208,$M208,$O208,$Q208,$S208,$U208,$W208,$Y208,$AA208,$AC208,$AE208),2)-$B208/2&lt;=W208,IF(ROUND(AVERAGE($C208,$E208,$G208,$I208,$K208,$M208,$O208,$Q208,$S208,$U208,$W208,$Y208,$AA208,$AC208,$AE208),2)+$B208/2&gt;W208,($G$5/$B$5),0),0))))</f>
        <v/>
      </c>
      <c r="Y208" s="141" t="str">
        <f>IF($Y$8="Habilitado",IF($A208="","",ROUND(VLOOKUP($A208,'Presupuesto Consolidado'!#REF!,6,FALSE),2)),"")</f>
        <v/>
      </c>
      <c r="Z208" s="142" t="str">
        <f t="shared" ref="Z208" si="2746">IF($A208="","",IF(Y208="","",IF($K$4="Media aritmética",(Y208&lt;=$B208)*($G$5/$B$5)+(Y208&gt;$B208)*0,IF(ROUND(AVERAGE($C208,$E208,$G208,$I208,$K208,$M208,$O208,$Q208,$S208,$U208,$W208,$Y208,$AA208,$AC208,$AE208),2)-$B208/2&lt;=Y208,IF(ROUND(AVERAGE($C208,$E208,$G208,$I208,$K208,$M208,$O208,$Q208,$S208,$U208,$W208,$Y208,$AA208,$AC208,$AE208),2)+$B208/2&gt;Y208,($G$5/$B$5),0),0))))</f>
        <v/>
      </c>
      <c r="AA208" s="141" t="str">
        <f>IF($AA$8="Habilitado",IF($A208="","",ROUND(VLOOKUP($A208,'Presupuesto Consolidado'!#REF!,6,FALSE),2)),"")</f>
        <v/>
      </c>
      <c r="AB208" s="142" t="str">
        <f t="shared" ref="AB208" si="2747">IF($A208="","",IF(AA208="","",IF($K$4="Media aritmética",(AA208&lt;=$B208)*($G$5/$B$5)+(AA208&gt;$B208)*0,IF(ROUND(AVERAGE($C208,$E208,$G208,$I208,$K208,$M208,$O208,$Q208,$S208,$U208,$W208,$Y208,$AA208,$AC208,$AE208),2)-$B208/2&lt;=AA208,IF(ROUND(AVERAGE($C208,$E208,$G208,$I208,$K208,$M208,$O208,$Q208,$S208,$U208,$W208,$Y208,$AA208,$AC208,$AE208),2)+$B208/2&gt;AA208,($G$5/$B$5),0),0))))</f>
        <v/>
      </c>
      <c r="AC208" s="141" t="str">
        <f>IF($AC$8="Habilitado",IF($A208="","",ROUND(VLOOKUP($A208,'Presupuesto Consolidado'!#REF!,6,FALSE),2)),"")</f>
        <v/>
      </c>
      <c r="AD208" s="142" t="str">
        <f t="shared" ref="AD208" si="2748">IF($A208="","",IF(AC208="","",IF($K$4="Media aritmética",(AC208&lt;=$B208)*($G$5/$B$5)+(AC208&gt;$B208)*0,IF(ROUND(AVERAGE($C208,$E208,$G208,$I208,$K208,$M208,$O208,$Q208,$S208,$U208,$W208,$Y208,$AA208,$AC208,$AE208),2)-$B208/2&lt;=AC208,IF(ROUND(AVERAGE($C208,$E208,$G208,$I208,$K208,$M208,$O208,$Q208,$S208,$U208,$W208,$Y208,$AA208,$AC208,$AE208),2)+$B208/2&gt;AC208,($G$5/$B$5),0),0))))</f>
        <v/>
      </c>
      <c r="AE208" s="141" t="str">
        <f>IF($AE$8="Habilitado",IF($A208="","",ROUND(VLOOKUP($A208,'Presupuesto Consolidado'!#REF!,6,FALSE),2)),"")</f>
        <v/>
      </c>
      <c r="AF208" s="142" t="str">
        <f t="shared" ref="AF208" si="2749">IF($A208="","",IF(AE208="","",IF($K$4="Media aritmética",(AE208&lt;=$B208)*($G$5/$B$5)+(AE208&gt;$B208)*0,IF(ROUND(AVERAGE($C208,$E208,$G208,$I208,$K208,$M208,$O208,$Q208,$S208,$U208,$W208,$Y208,$AA208,$AC208,$AE208),2)-$B208/2&lt;=AE208,IF(ROUND(AVERAGE($C208,$E208,$G208,$I208,$K208,$M208,$O208,$Q208,$S208,$U208,$W208,$Y208,$AA208,$AC208,$AE208),2)+$B208/2&gt;AE208,($G$5/$B$5),0),0))))</f>
        <v/>
      </c>
    </row>
    <row r="209" spans="1:32" s="135" customFormat="1" ht="21" customHeight="1">
      <c r="A209" s="132" t="str">
        <f>+'Presupuesto Consolidado'!A246</f>
        <v>13.8.11</v>
      </c>
      <c r="B209" s="140">
        <f t="shared" ref="B209" si="2750">IF(A209="","",IF($K$4="Media aritmética",ROUND(AVERAGE(C209,E209,G209,I209,K209,M209,O209,Q209,S209,U209,W209,Y209,AA209,AC209,AE209),2),ROUND(_xlfn.STDEV.P(C209,E209,G209,I209,K209,M209,O209,Q209,S209,U209,W209,Y209,AA209,AC209,AE209),2)))</f>
        <v>287477</v>
      </c>
      <c r="C209" s="141">
        <f>IF($C$8="Habilitado",IF($A209="","",ROUND(VLOOKUP($A209,'Presupuesto Consolidado'!$A$9:$F$600,6,FALSE),2)),"")</f>
        <v>287477</v>
      </c>
      <c r="D209" s="142">
        <f t="shared" ref="D209" si="2751">IF($A209="","",IF(C209="","",IF($K$4="Media aritmética",(C209&lt;=$B209)*($G$5/$B$5)+(C209&gt;$B209)*0,IF(ROUND(AVERAGE($C209,$E209,$G209,$I209,$K209,$M209,$O209,$Q209,$S209,$U209,$W209,$Y209,$AA209,$AC209,$AE209),2)-$B209/2&lt;=C209,IF(ROUND(AVERAGE($C209,$E209,$G209,$I209,$K209,$M209,$O209,$Q209,$S209,$U209,$W209,$Y209,$AA209,$AC209,$AE209),2)+$B209/2&gt;C209,($G$5/$B$5),0),0))))</f>
        <v>0.45714285714285713</v>
      </c>
      <c r="E209" s="141" t="str">
        <f>IF($E$8="Habilitado",IF($A209="","",ROUND(VLOOKUP($A209,'Presupuesto Consolidado'!$I$9:$N$600,6,FALSE),2)),"")</f>
        <v/>
      </c>
      <c r="F209" s="142" t="str">
        <f t="shared" ref="F209" si="2752">IF($A209="","",IF(E209="","",IF($K$4="Media aritmética",(E209&lt;=$B209)*($G$5/$B$5)+(E209&gt;$B209)*0,IF(ROUND(AVERAGE($C209,$E209,$G209,$I209,$K209,$M209,$O209,$Q209,$S209,$U209,$W209,$Y209,$AA209,$AC209,$AE209),2)-$B209/2&lt;=E209,IF(ROUND(AVERAGE($C209,$E209,$G209,$I209,$K209,$M209,$O209,$Q209,$S209,$U209,$W209,$Y209,$AA209,$AC209,$AE209),2)+$B209/2&gt;E209,($G$5/$B$5),0),0))))</f>
        <v/>
      </c>
      <c r="G209" s="141" t="str">
        <f>IF($G$8="Habilitado",IF($A209="","",ROUND(VLOOKUP($A209,'Presupuesto Consolidado'!$Q$9:$V$600,6,FALSE),2)),"")</f>
        <v/>
      </c>
      <c r="H209" s="142" t="str">
        <f t="shared" ref="H209" si="2753">IF($A209="","",IF(G209="","",IF($K$4="Media aritmética",(G209&lt;=$B209)*($G$5/$B$5)+(G209&gt;$B209)*0,IF(ROUND(AVERAGE($C209,$E209,$G209,$I209,$K209,$M209,$O209,$Q209,$S209,$U209,$W209,$Y209,$AA209,$AC209,$AE209),2)-$B209/2&lt;=G209,IF(ROUND(AVERAGE($C209,$E209,$G209,$I209,$K209,$M209,$O209,$Q209,$S209,$U209,$W209,$Y209,$AA209,$AC209,$AE209),2)+$B209/2&gt;G209,($G$5/$B$5),0),0))))</f>
        <v/>
      </c>
      <c r="I209" s="141" t="str">
        <f>IF($I$8="Habilitado",IF($A209="","",ROUND(VLOOKUP($A209,'Presupuesto Consolidado'!$Y$9:$AD$600,6,FALSE),2)),"")</f>
        <v/>
      </c>
      <c r="J209" s="142" t="str">
        <f t="shared" ref="J209" si="2754">IF($A209="","",IF(I209="","",IF($K$4="Media aritmética",(I209&lt;=$B209)*($G$5/$B$5)+(I209&gt;$B209)*0,IF(ROUND(AVERAGE($C209,$E209,$G209,$I209,$K209,$M209,$O209,$Q209,$S209,$U209,$W209,$Y209,$AA209,$AC209,$AE209),2)-$B209/2&lt;=I209,IF(ROUND(AVERAGE($C209,$E209,$G209,$I209,$K209,$M209,$O209,$Q209,$S209,$U209,$W209,$Y209,$AA209,$AC209,$AE209),2)+$B209/2&gt;I209,($G$5/$B$5),0),0))))</f>
        <v/>
      </c>
      <c r="K209" s="141" t="str">
        <f>IF($K$8="Habilitado",IF($A209="","",ROUND(VLOOKUP($A209,'Presupuesto Consolidado'!#REF!,6,FALSE),2)),"")</f>
        <v/>
      </c>
      <c r="L209" s="142" t="str">
        <f t="shared" ref="L209" si="2755">IF($A209="","",IF(K209="","",IF($K$4="Media aritmética",(K209&lt;=$B209)*($G$5/$B$5)+(K209&gt;$B209)*0,IF(ROUND(AVERAGE($C209,$E209,$G209,$I209,$K209,$M209,$O209,$Q209,$S209,$U209,$W209,$Y209,$AA209,$AC209,$AE209),2)-$B209/2&lt;=K209,IF(ROUND(AVERAGE($C209,$E209,$G209,$I209,$K209,$M209,$O209,$Q209,$S209,$U209,$W209,$Y209,$AA209,$AC209,$AE209),2)+$B209/2&gt;K209,($G$5/$B$5),0),0))))</f>
        <v/>
      </c>
      <c r="M209" s="141" t="str">
        <f>IF($M$8="Habilitado",IF($A209="","",ROUND(VLOOKUP($A209,'Presupuesto Consolidado'!#REF!,6,FALSE),2)),"")</f>
        <v/>
      </c>
      <c r="N209" s="142" t="str">
        <f t="shared" ref="N209" si="2756">IF($A209="","",IF(M209="","",IF($K$4="Media aritmética",(M209&lt;=$B209)*($G$5/$B$5)+(M209&gt;$B209)*0,IF(ROUND(AVERAGE($C209,$E209,$G209,$I209,$K209,$M209,$O209,$Q209,$S209,$U209,$W209,$Y209,$AA209,$AC209,$AE209),2)-$B209/2&lt;=M209,IF(ROUND(AVERAGE($C209,$E209,$G209,$I209,$K209,$M209,$O209,$Q209,$S209,$U209,$W209,$Y209,$AA209,$AC209,$AE209),2)+$B209/2&gt;M209,($G$5/$B$5),0),0))))</f>
        <v/>
      </c>
      <c r="O209" s="141" t="str">
        <f>IF($O$8="Habilitado",IF($A209="","",ROUND(VLOOKUP($A209,'Presupuesto Consolidado'!#REF!,6,FALSE),2)),"")</f>
        <v/>
      </c>
      <c r="P209" s="142" t="str">
        <f t="shared" ref="P209" si="2757">IF($A209="","",IF(O209="","",IF($K$4="Media aritmética",(O209&lt;=$B209)*($G$5/$B$5)+(O209&gt;$B209)*0,IF(ROUND(AVERAGE($C209,$E209,$G209,$I209,$K209,$M209,$O209,$Q209,$S209,$U209,$W209,$Y209,$AA209,$AC209,$AE209),2)-$B209/2&lt;=O209,IF(ROUND(AVERAGE($C209,$E209,$G209,$I209,$K209,$M209,$O209,$Q209,$S209,$U209,$W209,$Y209,$AA209,$AC209,$AE209),2)+$B209/2&gt;O209,($G$5/$B$5),0),0))))</f>
        <v/>
      </c>
      <c r="Q209" s="141" t="str">
        <f>IF($Q$8="Habilitado",IF($A209="","",ROUND(VLOOKUP($A209,'Presupuesto Consolidado'!#REF!,6,FALSE),2)),"")</f>
        <v/>
      </c>
      <c r="R209" s="142" t="str">
        <f t="shared" ref="R209" si="2758">IF($A209="","",IF(Q209="","",IF($K$4="Media aritmética",(Q209&lt;=$B209)*($G$5/$B$5)+(Q209&gt;$B209)*0,IF(ROUND(AVERAGE($C209,$E209,$G209,$I209,$K209,$M209,$O209,$Q209,$S209,$U209,$W209,$Y209,$AA209,$AC209,$AE209),2)-$B209/2&lt;=Q209,IF(ROUND(AVERAGE($C209,$E209,$G209,$I209,$K209,$M209,$O209,$Q209,$S209,$U209,$W209,$Y209,$AA209,$AC209,$AE209),2)+$B209/2&gt;Q209,($G$5/$B$5),0),0))))</f>
        <v/>
      </c>
      <c r="S209" s="141" t="str">
        <f>IF($S$8="Habilitado",IF($A209="","",ROUND(VLOOKUP($A209,'Presupuesto Consolidado'!#REF!,6,FALSE),2)),"")</f>
        <v/>
      </c>
      <c r="T209" s="142" t="str">
        <f t="shared" ref="T209" si="2759">IF($A209="","",IF(S209="","",IF($K$4="Media aritmética",(S209&lt;=$B209)*($G$5/$B$5)+(S209&gt;$B209)*0,IF(ROUND(AVERAGE($C209,$E209,$G209,$I209,$K209,$M209,$O209,$Q209,$S209,$U209,$W209,$Y209,$AA209,$AC209,$AE209),2)-$B209/2&lt;=S209,IF(ROUND(AVERAGE($C209,$E209,$G209,$I209,$K209,$M209,$O209,$Q209,$S209,$U209,$W209,$Y209,$AA209,$AC209,$AE209),2)+$B209/2&gt;S209,($G$5/$B$5),0),0))))</f>
        <v/>
      </c>
      <c r="U209" s="141" t="str">
        <f>IF($U$8="Habilitado",IF($A209="","",ROUND(VLOOKUP($A209,'Presupuesto Consolidado'!#REF!,6,FALSE),2)),"")</f>
        <v/>
      </c>
      <c r="V209" s="142" t="str">
        <f t="shared" ref="V209" si="2760">IF($A209="","",IF(U209="","",IF($K$4="Media aritmética",(U209&lt;=$B209)*($G$5/$B$5)+(U209&gt;$B209)*0,IF(ROUND(AVERAGE($C209,$E209,$G209,$I209,$K209,$M209,$O209,$Q209,$S209,$U209,$W209,$Y209,$AA209,$AC209,$AE209),2)-$B209/2&lt;=U209,IF(ROUND(AVERAGE($C209,$E209,$G209,$I209,$K209,$M209,$O209,$Q209,$S209,$U209,$W209,$Y209,$AA209,$AC209,$AE209),2)+$B209/2&gt;U209,($G$5/$B$5),0),0))))</f>
        <v/>
      </c>
      <c r="W209" s="141" t="str">
        <f>IF($W$8="Habilitado",IF($A209="","",ROUND(VLOOKUP($A209,'Presupuesto Consolidado'!#REF!,6,FALSE),2)),"")</f>
        <v/>
      </c>
      <c r="X209" s="142" t="str">
        <f t="shared" ref="X209" si="2761">IF($A209="","",IF(W209="","",IF($K$4="Media aritmética",(W209&lt;=$B209)*($G$5/$B$5)+(W209&gt;$B209)*0,IF(ROUND(AVERAGE($C209,$E209,$G209,$I209,$K209,$M209,$O209,$Q209,$S209,$U209,$W209,$Y209,$AA209,$AC209,$AE209),2)-$B209/2&lt;=W209,IF(ROUND(AVERAGE($C209,$E209,$G209,$I209,$K209,$M209,$O209,$Q209,$S209,$U209,$W209,$Y209,$AA209,$AC209,$AE209),2)+$B209/2&gt;W209,($G$5/$B$5),0),0))))</f>
        <v/>
      </c>
      <c r="Y209" s="141" t="str">
        <f>IF($Y$8="Habilitado",IF($A209="","",ROUND(VLOOKUP($A209,'Presupuesto Consolidado'!#REF!,6,FALSE),2)),"")</f>
        <v/>
      </c>
      <c r="Z209" s="142" t="str">
        <f t="shared" ref="Z209" si="2762">IF($A209="","",IF(Y209="","",IF($K$4="Media aritmética",(Y209&lt;=$B209)*($G$5/$B$5)+(Y209&gt;$B209)*0,IF(ROUND(AVERAGE($C209,$E209,$G209,$I209,$K209,$M209,$O209,$Q209,$S209,$U209,$W209,$Y209,$AA209,$AC209,$AE209),2)-$B209/2&lt;=Y209,IF(ROUND(AVERAGE($C209,$E209,$G209,$I209,$K209,$M209,$O209,$Q209,$S209,$U209,$W209,$Y209,$AA209,$AC209,$AE209),2)+$B209/2&gt;Y209,($G$5/$B$5),0),0))))</f>
        <v/>
      </c>
      <c r="AA209" s="141" t="str">
        <f>IF($AA$8="Habilitado",IF($A209="","",ROUND(VLOOKUP($A209,'Presupuesto Consolidado'!#REF!,6,FALSE),2)),"")</f>
        <v/>
      </c>
      <c r="AB209" s="142" t="str">
        <f t="shared" ref="AB209" si="2763">IF($A209="","",IF(AA209="","",IF($K$4="Media aritmética",(AA209&lt;=$B209)*($G$5/$B$5)+(AA209&gt;$B209)*0,IF(ROUND(AVERAGE($C209,$E209,$G209,$I209,$K209,$M209,$O209,$Q209,$S209,$U209,$W209,$Y209,$AA209,$AC209,$AE209),2)-$B209/2&lt;=AA209,IF(ROUND(AVERAGE($C209,$E209,$G209,$I209,$K209,$M209,$O209,$Q209,$S209,$U209,$W209,$Y209,$AA209,$AC209,$AE209),2)+$B209/2&gt;AA209,($G$5/$B$5),0),0))))</f>
        <v/>
      </c>
      <c r="AC209" s="141" t="str">
        <f>IF($AC$8="Habilitado",IF($A209="","",ROUND(VLOOKUP($A209,'Presupuesto Consolidado'!#REF!,6,FALSE),2)),"")</f>
        <v/>
      </c>
      <c r="AD209" s="142" t="str">
        <f t="shared" ref="AD209" si="2764">IF($A209="","",IF(AC209="","",IF($K$4="Media aritmética",(AC209&lt;=$B209)*($G$5/$B$5)+(AC209&gt;$B209)*0,IF(ROUND(AVERAGE($C209,$E209,$G209,$I209,$K209,$M209,$O209,$Q209,$S209,$U209,$W209,$Y209,$AA209,$AC209,$AE209),2)-$B209/2&lt;=AC209,IF(ROUND(AVERAGE($C209,$E209,$G209,$I209,$K209,$M209,$O209,$Q209,$S209,$U209,$W209,$Y209,$AA209,$AC209,$AE209),2)+$B209/2&gt;AC209,($G$5/$B$5),0),0))))</f>
        <v/>
      </c>
      <c r="AE209" s="141" t="str">
        <f>IF($AE$8="Habilitado",IF($A209="","",ROUND(VLOOKUP($A209,'Presupuesto Consolidado'!#REF!,6,FALSE),2)),"")</f>
        <v/>
      </c>
      <c r="AF209" s="142" t="str">
        <f t="shared" ref="AF209" si="2765">IF($A209="","",IF(AE209="","",IF($K$4="Media aritmética",(AE209&lt;=$B209)*($G$5/$B$5)+(AE209&gt;$B209)*0,IF(ROUND(AVERAGE($C209,$E209,$G209,$I209,$K209,$M209,$O209,$Q209,$S209,$U209,$W209,$Y209,$AA209,$AC209,$AE209),2)-$B209/2&lt;=AE209,IF(ROUND(AVERAGE($C209,$E209,$G209,$I209,$K209,$M209,$O209,$Q209,$S209,$U209,$W209,$Y209,$AA209,$AC209,$AE209),2)+$B209/2&gt;AE209,($G$5/$B$5),0),0))))</f>
        <v/>
      </c>
    </row>
    <row r="210" spans="1:32" s="135" customFormat="1" ht="21" customHeight="1">
      <c r="A210" s="132" t="str">
        <f>+'Presupuesto Consolidado'!A247</f>
        <v>13.8.12</v>
      </c>
      <c r="B210" s="140">
        <f t="shared" ref="B210" si="2766">IF(A210="","",IF($K$4="Media aritmética",ROUND(AVERAGE(C210,E210,G210,I210,K210,M210,O210,Q210,S210,U210,W210,Y210,AA210,AC210,AE210),2),ROUND(_xlfn.STDEV.P(C210,E210,G210,I210,K210,M210,O210,Q210,S210,U210,W210,Y210,AA210,AC210,AE210),2)))</f>
        <v>1089670</v>
      </c>
      <c r="C210" s="141">
        <f>IF($C$8="Habilitado",IF($A210="","",ROUND(VLOOKUP($A210,'Presupuesto Consolidado'!$A$9:$F$600,6,FALSE),2)),"")</f>
        <v>1089670</v>
      </c>
      <c r="D210" s="142">
        <f t="shared" ref="D210" si="2767">IF($A210="","",IF(C210="","",IF($K$4="Media aritmética",(C210&lt;=$B210)*($G$5/$B$5)+(C210&gt;$B210)*0,IF(ROUND(AVERAGE($C210,$E210,$G210,$I210,$K210,$M210,$O210,$Q210,$S210,$U210,$W210,$Y210,$AA210,$AC210,$AE210),2)-$B210/2&lt;=C210,IF(ROUND(AVERAGE($C210,$E210,$G210,$I210,$K210,$M210,$O210,$Q210,$S210,$U210,$W210,$Y210,$AA210,$AC210,$AE210),2)+$B210/2&gt;C210,($G$5/$B$5),0),0))))</f>
        <v>0.45714285714285713</v>
      </c>
      <c r="E210" s="141" t="str">
        <f>IF($E$8="Habilitado",IF($A210="","",ROUND(VLOOKUP($A210,'Presupuesto Consolidado'!$I$9:$N$600,6,FALSE),2)),"")</f>
        <v/>
      </c>
      <c r="F210" s="142" t="str">
        <f t="shared" ref="F210" si="2768">IF($A210="","",IF(E210="","",IF($K$4="Media aritmética",(E210&lt;=$B210)*($G$5/$B$5)+(E210&gt;$B210)*0,IF(ROUND(AVERAGE($C210,$E210,$G210,$I210,$K210,$M210,$O210,$Q210,$S210,$U210,$W210,$Y210,$AA210,$AC210,$AE210),2)-$B210/2&lt;=E210,IF(ROUND(AVERAGE($C210,$E210,$G210,$I210,$K210,$M210,$O210,$Q210,$S210,$U210,$W210,$Y210,$AA210,$AC210,$AE210),2)+$B210/2&gt;E210,($G$5/$B$5),0),0))))</f>
        <v/>
      </c>
      <c r="G210" s="141" t="str">
        <f>IF($G$8="Habilitado",IF($A210="","",ROUND(VLOOKUP($A210,'Presupuesto Consolidado'!$Q$9:$V$600,6,FALSE),2)),"")</f>
        <v/>
      </c>
      <c r="H210" s="142" t="str">
        <f t="shared" ref="H210" si="2769">IF($A210="","",IF(G210="","",IF($K$4="Media aritmética",(G210&lt;=$B210)*($G$5/$B$5)+(G210&gt;$B210)*0,IF(ROUND(AVERAGE($C210,$E210,$G210,$I210,$K210,$M210,$O210,$Q210,$S210,$U210,$W210,$Y210,$AA210,$AC210,$AE210),2)-$B210/2&lt;=G210,IF(ROUND(AVERAGE($C210,$E210,$G210,$I210,$K210,$M210,$O210,$Q210,$S210,$U210,$W210,$Y210,$AA210,$AC210,$AE210),2)+$B210/2&gt;G210,($G$5/$B$5),0),0))))</f>
        <v/>
      </c>
      <c r="I210" s="141" t="str">
        <f>IF($I$8="Habilitado",IF($A210="","",ROUND(VLOOKUP($A210,'Presupuesto Consolidado'!$Y$9:$AD$600,6,FALSE),2)),"")</f>
        <v/>
      </c>
      <c r="J210" s="142" t="str">
        <f t="shared" ref="J210" si="2770">IF($A210="","",IF(I210="","",IF($K$4="Media aritmética",(I210&lt;=$B210)*($G$5/$B$5)+(I210&gt;$B210)*0,IF(ROUND(AVERAGE($C210,$E210,$G210,$I210,$K210,$M210,$O210,$Q210,$S210,$U210,$W210,$Y210,$AA210,$AC210,$AE210),2)-$B210/2&lt;=I210,IF(ROUND(AVERAGE($C210,$E210,$G210,$I210,$K210,$M210,$O210,$Q210,$S210,$U210,$W210,$Y210,$AA210,$AC210,$AE210),2)+$B210/2&gt;I210,($G$5/$B$5),0),0))))</f>
        <v/>
      </c>
      <c r="K210" s="141" t="str">
        <f>IF($K$8="Habilitado",IF($A210="","",ROUND(VLOOKUP($A210,'Presupuesto Consolidado'!#REF!,6,FALSE),2)),"")</f>
        <v/>
      </c>
      <c r="L210" s="142" t="str">
        <f t="shared" ref="L210" si="2771">IF($A210="","",IF(K210="","",IF($K$4="Media aritmética",(K210&lt;=$B210)*($G$5/$B$5)+(K210&gt;$B210)*0,IF(ROUND(AVERAGE($C210,$E210,$G210,$I210,$K210,$M210,$O210,$Q210,$S210,$U210,$W210,$Y210,$AA210,$AC210,$AE210),2)-$B210/2&lt;=K210,IF(ROUND(AVERAGE($C210,$E210,$G210,$I210,$K210,$M210,$O210,$Q210,$S210,$U210,$W210,$Y210,$AA210,$AC210,$AE210),2)+$B210/2&gt;K210,($G$5/$B$5),0),0))))</f>
        <v/>
      </c>
      <c r="M210" s="141" t="str">
        <f>IF($M$8="Habilitado",IF($A210="","",ROUND(VLOOKUP($A210,'Presupuesto Consolidado'!#REF!,6,FALSE),2)),"")</f>
        <v/>
      </c>
      <c r="N210" s="142" t="str">
        <f t="shared" ref="N210" si="2772">IF($A210="","",IF(M210="","",IF($K$4="Media aritmética",(M210&lt;=$B210)*($G$5/$B$5)+(M210&gt;$B210)*0,IF(ROUND(AVERAGE($C210,$E210,$G210,$I210,$K210,$M210,$O210,$Q210,$S210,$U210,$W210,$Y210,$AA210,$AC210,$AE210),2)-$B210/2&lt;=M210,IF(ROUND(AVERAGE($C210,$E210,$G210,$I210,$K210,$M210,$O210,$Q210,$S210,$U210,$W210,$Y210,$AA210,$AC210,$AE210),2)+$B210/2&gt;M210,($G$5/$B$5),0),0))))</f>
        <v/>
      </c>
      <c r="O210" s="141" t="str">
        <f>IF($O$8="Habilitado",IF($A210="","",ROUND(VLOOKUP($A210,'Presupuesto Consolidado'!#REF!,6,FALSE),2)),"")</f>
        <v/>
      </c>
      <c r="P210" s="142" t="str">
        <f t="shared" ref="P210" si="2773">IF($A210="","",IF(O210="","",IF($K$4="Media aritmética",(O210&lt;=$B210)*($G$5/$B$5)+(O210&gt;$B210)*0,IF(ROUND(AVERAGE($C210,$E210,$G210,$I210,$K210,$M210,$O210,$Q210,$S210,$U210,$W210,$Y210,$AA210,$AC210,$AE210),2)-$B210/2&lt;=O210,IF(ROUND(AVERAGE($C210,$E210,$G210,$I210,$K210,$M210,$O210,$Q210,$S210,$U210,$W210,$Y210,$AA210,$AC210,$AE210),2)+$B210/2&gt;O210,($G$5/$B$5),0),0))))</f>
        <v/>
      </c>
      <c r="Q210" s="141" t="str">
        <f>IF($Q$8="Habilitado",IF($A210="","",ROUND(VLOOKUP($A210,'Presupuesto Consolidado'!#REF!,6,FALSE),2)),"")</f>
        <v/>
      </c>
      <c r="R210" s="142" t="str">
        <f t="shared" ref="R210" si="2774">IF($A210="","",IF(Q210="","",IF($K$4="Media aritmética",(Q210&lt;=$B210)*($G$5/$B$5)+(Q210&gt;$B210)*0,IF(ROUND(AVERAGE($C210,$E210,$G210,$I210,$K210,$M210,$O210,$Q210,$S210,$U210,$W210,$Y210,$AA210,$AC210,$AE210),2)-$B210/2&lt;=Q210,IF(ROUND(AVERAGE($C210,$E210,$G210,$I210,$K210,$M210,$O210,$Q210,$S210,$U210,$W210,$Y210,$AA210,$AC210,$AE210),2)+$B210/2&gt;Q210,($G$5/$B$5),0),0))))</f>
        <v/>
      </c>
      <c r="S210" s="141" t="str">
        <f>IF($S$8="Habilitado",IF($A210="","",ROUND(VLOOKUP($A210,'Presupuesto Consolidado'!#REF!,6,FALSE),2)),"")</f>
        <v/>
      </c>
      <c r="T210" s="142" t="str">
        <f t="shared" ref="T210" si="2775">IF($A210="","",IF(S210="","",IF($K$4="Media aritmética",(S210&lt;=$B210)*($G$5/$B$5)+(S210&gt;$B210)*0,IF(ROUND(AVERAGE($C210,$E210,$G210,$I210,$K210,$M210,$O210,$Q210,$S210,$U210,$W210,$Y210,$AA210,$AC210,$AE210),2)-$B210/2&lt;=S210,IF(ROUND(AVERAGE($C210,$E210,$G210,$I210,$K210,$M210,$O210,$Q210,$S210,$U210,$W210,$Y210,$AA210,$AC210,$AE210),2)+$B210/2&gt;S210,($G$5/$B$5),0),0))))</f>
        <v/>
      </c>
      <c r="U210" s="141" t="str">
        <f>IF($U$8="Habilitado",IF($A210="","",ROUND(VLOOKUP($A210,'Presupuesto Consolidado'!#REF!,6,FALSE),2)),"")</f>
        <v/>
      </c>
      <c r="V210" s="142" t="str">
        <f t="shared" ref="V210" si="2776">IF($A210="","",IF(U210="","",IF($K$4="Media aritmética",(U210&lt;=$B210)*($G$5/$B$5)+(U210&gt;$B210)*0,IF(ROUND(AVERAGE($C210,$E210,$G210,$I210,$K210,$M210,$O210,$Q210,$S210,$U210,$W210,$Y210,$AA210,$AC210,$AE210),2)-$B210/2&lt;=U210,IF(ROUND(AVERAGE($C210,$E210,$G210,$I210,$K210,$M210,$O210,$Q210,$S210,$U210,$W210,$Y210,$AA210,$AC210,$AE210),2)+$B210/2&gt;U210,($G$5/$B$5),0),0))))</f>
        <v/>
      </c>
      <c r="W210" s="141" t="str">
        <f>IF($W$8="Habilitado",IF($A210="","",ROUND(VLOOKUP($A210,'Presupuesto Consolidado'!#REF!,6,FALSE),2)),"")</f>
        <v/>
      </c>
      <c r="X210" s="142" t="str">
        <f t="shared" ref="X210" si="2777">IF($A210="","",IF(W210="","",IF($K$4="Media aritmética",(W210&lt;=$B210)*($G$5/$B$5)+(W210&gt;$B210)*0,IF(ROUND(AVERAGE($C210,$E210,$G210,$I210,$K210,$M210,$O210,$Q210,$S210,$U210,$W210,$Y210,$AA210,$AC210,$AE210),2)-$B210/2&lt;=W210,IF(ROUND(AVERAGE($C210,$E210,$G210,$I210,$K210,$M210,$O210,$Q210,$S210,$U210,$W210,$Y210,$AA210,$AC210,$AE210),2)+$B210/2&gt;W210,($G$5/$B$5),0),0))))</f>
        <v/>
      </c>
      <c r="Y210" s="141" t="str">
        <f>IF($Y$8="Habilitado",IF($A210="","",ROUND(VLOOKUP($A210,'Presupuesto Consolidado'!#REF!,6,FALSE),2)),"")</f>
        <v/>
      </c>
      <c r="Z210" s="142" t="str">
        <f t="shared" ref="Z210" si="2778">IF($A210="","",IF(Y210="","",IF($K$4="Media aritmética",(Y210&lt;=$B210)*($G$5/$B$5)+(Y210&gt;$B210)*0,IF(ROUND(AVERAGE($C210,$E210,$G210,$I210,$K210,$M210,$O210,$Q210,$S210,$U210,$W210,$Y210,$AA210,$AC210,$AE210),2)-$B210/2&lt;=Y210,IF(ROUND(AVERAGE($C210,$E210,$G210,$I210,$K210,$M210,$O210,$Q210,$S210,$U210,$W210,$Y210,$AA210,$AC210,$AE210),2)+$B210/2&gt;Y210,($G$5/$B$5),0),0))))</f>
        <v/>
      </c>
      <c r="AA210" s="141" t="str">
        <f>IF($AA$8="Habilitado",IF($A210="","",ROUND(VLOOKUP($A210,'Presupuesto Consolidado'!#REF!,6,FALSE),2)),"")</f>
        <v/>
      </c>
      <c r="AB210" s="142" t="str">
        <f t="shared" ref="AB210" si="2779">IF($A210="","",IF(AA210="","",IF($K$4="Media aritmética",(AA210&lt;=$B210)*($G$5/$B$5)+(AA210&gt;$B210)*0,IF(ROUND(AVERAGE($C210,$E210,$G210,$I210,$K210,$M210,$O210,$Q210,$S210,$U210,$W210,$Y210,$AA210,$AC210,$AE210),2)-$B210/2&lt;=AA210,IF(ROUND(AVERAGE($C210,$E210,$G210,$I210,$K210,$M210,$O210,$Q210,$S210,$U210,$W210,$Y210,$AA210,$AC210,$AE210),2)+$B210/2&gt;AA210,($G$5/$B$5),0),0))))</f>
        <v/>
      </c>
      <c r="AC210" s="141" t="str">
        <f>IF($AC$8="Habilitado",IF($A210="","",ROUND(VLOOKUP($A210,'Presupuesto Consolidado'!#REF!,6,FALSE),2)),"")</f>
        <v/>
      </c>
      <c r="AD210" s="142" t="str">
        <f t="shared" ref="AD210" si="2780">IF($A210="","",IF(AC210="","",IF($K$4="Media aritmética",(AC210&lt;=$B210)*($G$5/$B$5)+(AC210&gt;$B210)*0,IF(ROUND(AVERAGE($C210,$E210,$G210,$I210,$K210,$M210,$O210,$Q210,$S210,$U210,$W210,$Y210,$AA210,$AC210,$AE210),2)-$B210/2&lt;=AC210,IF(ROUND(AVERAGE($C210,$E210,$G210,$I210,$K210,$M210,$O210,$Q210,$S210,$U210,$W210,$Y210,$AA210,$AC210,$AE210),2)+$B210/2&gt;AC210,($G$5/$B$5),0),0))))</f>
        <v/>
      </c>
      <c r="AE210" s="141" t="str">
        <f>IF($AE$8="Habilitado",IF($A210="","",ROUND(VLOOKUP($A210,'Presupuesto Consolidado'!#REF!,6,FALSE),2)),"")</f>
        <v/>
      </c>
      <c r="AF210" s="142" t="str">
        <f t="shared" ref="AF210" si="2781">IF($A210="","",IF(AE210="","",IF($K$4="Media aritmética",(AE210&lt;=$B210)*($G$5/$B$5)+(AE210&gt;$B210)*0,IF(ROUND(AVERAGE($C210,$E210,$G210,$I210,$K210,$M210,$O210,$Q210,$S210,$U210,$W210,$Y210,$AA210,$AC210,$AE210),2)-$B210/2&lt;=AE210,IF(ROUND(AVERAGE($C210,$E210,$G210,$I210,$K210,$M210,$O210,$Q210,$S210,$U210,$W210,$Y210,$AA210,$AC210,$AE210),2)+$B210/2&gt;AE210,($G$5/$B$5),0),0))))</f>
        <v/>
      </c>
    </row>
    <row r="211" spans="1:32" s="135" customFormat="1" ht="21" customHeight="1">
      <c r="A211" s="132" t="str">
        <f>+'Presupuesto Consolidado'!A248</f>
        <v>13.8.13</v>
      </c>
      <c r="B211" s="140">
        <f t="shared" ref="B211" si="2782">IF(A211="","",IF($K$4="Media aritmética",ROUND(AVERAGE(C211,E211,G211,I211,K211,M211,O211,Q211,S211,U211,W211,Y211,AA211,AC211,AE211),2),ROUND(_xlfn.STDEV.P(C211,E211,G211,I211,K211,M211,O211,Q211,S211,U211,W211,Y211,AA211,AC211,AE211),2)))</f>
        <v>680328</v>
      </c>
      <c r="C211" s="141">
        <f>IF($C$8="Habilitado",IF($A211="","",ROUND(VLOOKUP($A211,'Presupuesto Consolidado'!$A$9:$F$600,6,FALSE),2)),"")</f>
        <v>680328</v>
      </c>
      <c r="D211" s="142">
        <f t="shared" ref="D211" si="2783">IF($A211="","",IF(C211="","",IF($K$4="Media aritmética",(C211&lt;=$B211)*($G$5/$B$5)+(C211&gt;$B211)*0,IF(ROUND(AVERAGE($C211,$E211,$G211,$I211,$K211,$M211,$O211,$Q211,$S211,$U211,$W211,$Y211,$AA211,$AC211,$AE211),2)-$B211/2&lt;=C211,IF(ROUND(AVERAGE($C211,$E211,$G211,$I211,$K211,$M211,$O211,$Q211,$S211,$U211,$W211,$Y211,$AA211,$AC211,$AE211),2)+$B211/2&gt;C211,($G$5/$B$5),0),0))))</f>
        <v>0.45714285714285713</v>
      </c>
      <c r="E211" s="141" t="str">
        <f>IF($E$8="Habilitado",IF($A211="","",ROUND(VLOOKUP($A211,'Presupuesto Consolidado'!$I$9:$N$600,6,FALSE),2)),"")</f>
        <v/>
      </c>
      <c r="F211" s="142" t="str">
        <f t="shared" ref="F211" si="2784">IF($A211="","",IF(E211="","",IF($K$4="Media aritmética",(E211&lt;=$B211)*($G$5/$B$5)+(E211&gt;$B211)*0,IF(ROUND(AVERAGE($C211,$E211,$G211,$I211,$K211,$M211,$O211,$Q211,$S211,$U211,$W211,$Y211,$AA211,$AC211,$AE211),2)-$B211/2&lt;=E211,IF(ROUND(AVERAGE($C211,$E211,$G211,$I211,$K211,$M211,$O211,$Q211,$S211,$U211,$W211,$Y211,$AA211,$AC211,$AE211),2)+$B211/2&gt;E211,($G$5/$B$5),0),0))))</f>
        <v/>
      </c>
      <c r="G211" s="141" t="str">
        <f>IF($G$8="Habilitado",IF($A211="","",ROUND(VLOOKUP($A211,'Presupuesto Consolidado'!$Q$9:$V$600,6,FALSE),2)),"")</f>
        <v/>
      </c>
      <c r="H211" s="142" t="str">
        <f t="shared" ref="H211" si="2785">IF($A211="","",IF(G211="","",IF($K$4="Media aritmética",(G211&lt;=$B211)*($G$5/$B$5)+(G211&gt;$B211)*0,IF(ROUND(AVERAGE($C211,$E211,$G211,$I211,$K211,$M211,$O211,$Q211,$S211,$U211,$W211,$Y211,$AA211,$AC211,$AE211),2)-$B211/2&lt;=G211,IF(ROUND(AVERAGE($C211,$E211,$G211,$I211,$K211,$M211,$O211,$Q211,$S211,$U211,$W211,$Y211,$AA211,$AC211,$AE211),2)+$B211/2&gt;G211,($G$5/$B$5),0),0))))</f>
        <v/>
      </c>
      <c r="I211" s="141" t="str">
        <f>IF($I$8="Habilitado",IF($A211="","",ROUND(VLOOKUP($A211,'Presupuesto Consolidado'!$Y$9:$AD$600,6,FALSE),2)),"")</f>
        <v/>
      </c>
      <c r="J211" s="142" t="str">
        <f t="shared" ref="J211" si="2786">IF($A211="","",IF(I211="","",IF($K$4="Media aritmética",(I211&lt;=$B211)*($G$5/$B$5)+(I211&gt;$B211)*0,IF(ROUND(AVERAGE($C211,$E211,$G211,$I211,$K211,$M211,$O211,$Q211,$S211,$U211,$W211,$Y211,$AA211,$AC211,$AE211),2)-$B211/2&lt;=I211,IF(ROUND(AVERAGE($C211,$E211,$G211,$I211,$K211,$M211,$O211,$Q211,$S211,$U211,$W211,$Y211,$AA211,$AC211,$AE211),2)+$B211/2&gt;I211,($G$5/$B$5),0),0))))</f>
        <v/>
      </c>
      <c r="K211" s="141" t="str">
        <f>IF($K$8="Habilitado",IF($A211="","",ROUND(VLOOKUP($A211,'Presupuesto Consolidado'!#REF!,6,FALSE),2)),"")</f>
        <v/>
      </c>
      <c r="L211" s="142" t="str">
        <f t="shared" ref="L211" si="2787">IF($A211="","",IF(K211="","",IF($K$4="Media aritmética",(K211&lt;=$B211)*($G$5/$B$5)+(K211&gt;$B211)*0,IF(ROUND(AVERAGE($C211,$E211,$G211,$I211,$K211,$M211,$O211,$Q211,$S211,$U211,$W211,$Y211,$AA211,$AC211,$AE211),2)-$B211/2&lt;=K211,IF(ROUND(AVERAGE($C211,$E211,$G211,$I211,$K211,$M211,$O211,$Q211,$S211,$U211,$W211,$Y211,$AA211,$AC211,$AE211),2)+$B211/2&gt;K211,($G$5/$B$5),0),0))))</f>
        <v/>
      </c>
      <c r="M211" s="141" t="str">
        <f>IF($M$8="Habilitado",IF($A211="","",ROUND(VLOOKUP($A211,'Presupuesto Consolidado'!#REF!,6,FALSE),2)),"")</f>
        <v/>
      </c>
      <c r="N211" s="142" t="str">
        <f t="shared" ref="N211" si="2788">IF($A211="","",IF(M211="","",IF($K$4="Media aritmética",(M211&lt;=$B211)*($G$5/$B$5)+(M211&gt;$B211)*0,IF(ROUND(AVERAGE($C211,$E211,$G211,$I211,$K211,$M211,$O211,$Q211,$S211,$U211,$W211,$Y211,$AA211,$AC211,$AE211),2)-$B211/2&lt;=M211,IF(ROUND(AVERAGE($C211,$E211,$G211,$I211,$K211,$M211,$O211,$Q211,$S211,$U211,$W211,$Y211,$AA211,$AC211,$AE211),2)+$B211/2&gt;M211,($G$5/$B$5),0),0))))</f>
        <v/>
      </c>
      <c r="O211" s="141" t="str">
        <f>IF($O$8="Habilitado",IF($A211="","",ROUND(VLOOKUP($A211,'Presupuesto Consolidado'!#REF!,6,FALSE),2)),"")</f>
        <v/>
      </c>
      <c r="P211" s="142" t="str">
        <f t="shared" ref="P211" si="2789">IF($A211="","",IF(O211="","",IF($K$4="Media aritmética",(O211&lt;=$B211)*($G$5/$B$5)+(O211&gt;$B211)*0,IF(ROUND(AVERAGE($C211,$E211,$G211,$I211,$K211,$M211,$O211,$Q211,$S211,$U211,$W211,$Y211,$AA211,$AC211,$AE211),2)-$B211/2&lt;=O211,IF(ROUND(AVERAGE($C211,$E211,$G211,$I211,$K211,$M211,$O211,$Q211,$S211,$U211,$W211,$Y211,$AA211,$AC211,$AE211),2)+$B211/2&gt;O211,($G$5/$B$5),0),0))))</f>
        <v/>
      </c>
      <c r="Q211" s="141" t="str">
        <f>IF($Q$8="Habilitado",IF($A211="","",ROUND(VLOOKUP($A211,'Presupuesto Consolidado'!#REF!,6,FALSE),2)),"")</f>
        <v/>
      </c>
      <c r="R211" s="142" t="str">
        <f t="shared" ref="R211" si="2790">IF($A211="","",IF(Q211="","",IF($K$4="Media aritmética",(Q211&lt;=$B211)*($G$5/$B$5)+(Q211&gt;$B211)*0,IF(ROUND(AVERAGE($C211,$E211,$G211,$I211,$K211,$M211,$O211,$Q211,$S211,$U211,$W211,$Y211,$AA211,$AC211,$AE211),2)-$B211/2&lt;=Q211,IF(ROUND(AVERAGE($C211,$E211,$G211,$I211,$K211,$M211,$O211,$Q211,$S211,$U211,$W211,$Y211,$AA211,$AC211,$AE211),2)+$B211/2&gt;Q211,($G$5/$B$5),0),0))))</f>
        <v/>
      </c>
      <c r="S211" s="141" t="str">
        <f>IF($S$8="Habilitado",IF($A211="","",ROUND(VLOOKUP($A211,'Presupuesto Consolidado'!#REF!,6,FALSE),2)),"")</f>
        <v/>
      </c>
      <c r="T211" s="142" t="str">
        <f t="shared" ref="T211" si="2791">IF($A211="","",IF(S211="","",IF($K$4="Media aritmética",(S211&lt;=$B211)*($G$5/$B$5)+(S211&gt;$B211)*0,IF(ROUND(AVERAGE($C211,$E211,$G211,$I211,$K211,$M211,$O211,$Q211,$S211,$U211,$W211,$Y211,$AA211,$AC211,$AE211),2)-$B211/2&lt;=S211,IF(ROUND(AVERAGE($C211,$E211,$G211,$I211,$K211,$M211,$O211,$Q211,$S211,$U211,$W211,$Y211,$AA211,$AC211,$AE211),2)+$B211/2&gt;S211,($G$5/$B$5),0),0))))</f>
        <v/>
      </c>
      <c r="U211" s="141" t="str">
        <f>IF($U$8="Habilitado",IF($A211="","",ROUND(VLOOKUP($A211,'Presupuesto Consolidado'!#REF!,6,FALSE),2)),"")</f>
        <v/>
      </c>
      <c r="V211" s="142" t="str">
        <f t="shared" ref="V211" si="2792">IF($A211="","",IF(U211="","",IF($K$4="Media aritmética",(U211&lt;=$B211)*($G$5/$B$5)+(U211&gt;$B211)*0,IF(ROUND(AVERAGE($C211,$E211,$G211,$I211,$K211,$M211,$O211,$Q211,$S211,$U211,$W211,$Y211,$AA211,$AC211,$AE211),2)-$B211/2&lt;=U211,IF(ROUND(AVERAGE($C211,$E211,$G211,$I211,$K211,$M211,$O211,$Q211,$S211,$U211,$W211,$Y211,$AA211,$AC211,$AE211),2)+$B211/2&gt;U211,($G$5/$B$5),0),0))))</f>
        <v/>
      </c>
      <c r="W211" s="141" t="str">
        <f>IF($W$8="Habilitado",IF($A211="","",ROUND(VLOOKUP($A211,'Presupuesto Consolidado'!#REF!,6,FALSE),2)),"")</f>
        <v/>
      </c>
      <c r="X211" s="142" t="str">
        <f t="shared" ref="X211" si="2793">IF($A211="","",IF(W211="","",IF($K$4="Media aritmética",(W211&lt;=$B211)*($G$5/$B$5)+(W211&gt;$B211)*0,IF(ROUND(AVERAGE($C211,$E211,$G211,$I211,$K211,$M211,$O211,$Q211,$S211,$U211,$W211,$Y211,$AA211,$AC211,$AE211),2)-$B211/2&lt;=W211,IF(ROUND(AVERAGE($C211,$E211,$G211,$I211,$K211,$M211,$O211,$Q211,$S211,$U211,$W211,$Y211,$AA211,$AC211,$AE211),2)+$B211/2&gt;W211,($G$5/$B$5),0),0))))</f>
        <v/>
      </c>
      <c r="Y211" s="141" t="str">
        <f>IF($Y$8="Habilitado",IF($A211="","",ROUND(VLOOKUP($A211,'Presupuesto Consolidado'!#REF!,6,FALSE),2)),"")</f>
        <v/>
      </c>
      <c r="Z211" s="142" t="str">
        <f t="shared" ref="Z211" si="2794">IF($A211="","",IF(Y211="","",IF($K$4="Media aritmética",(Y211&lt;=$B211)*($G$5/$B$5)+(Y211&gt;$B211)*0,IF(ROUND(AVERAGE($C211,$E211,$G211,$I211,$K211,$M211,$O211,$Q211,$S211,$U211,$W211,$Y211,$AA211,$AC211,$AE211),2)-$B211/2&lt;=Y211,IF(ROUND(AVERAGE($C211,$E211,$G211,$I211,$K211,$M211,$O211,$Q211,$S211,$U211,$W211,$Y211,$AA211,$AC211,$AE211),2)+$B211/2&gt;Y211,($G$5/$B$5),0),0))))</f>
        <v/>
      </c>
      <c r="AA211" s="141" t="str">
        <f>IF($AA$8="Habilitado",IF($A211="","",ROUND(VLOOKUP($A211,'Presupuesto Consolidado'!#REF!,6,FALSE),2)),"")</f>
        <v/>
      </c>
      <c r="AB211" s="142" t="str">
        <f t="shared" ref="AB211" si="2795">IF($A211="","",IF(AA211="","",IF($K$4="Media aritmética",(AA211&lt;=$B211)*($G$5/$B$5)+(AA211&gt;$B211)*0,IF(ROUND(AVERAGE($C211,$E211,$G211,$I211,$K211,$M211,$O211,$Q211,$S211,$U211,$W211,$Y211,$AA211,$AC211,$AE211),2)-$B211/2&lt;=AA211,IF(ROUND(AVERAGE($C211,$E211,$G211,$I211,$K211,$M211,$O211,$Q211,$S211,$U211,$W211,$Y211,$AA211,$AC211,$AE211),2)+$B211/2&gt;AA211,($G$5/$B$5),0),0))))</f>
        <v/>
      </c>
      <c r="AC211" s="141" t="str">
        <f>IF($AC$8="Habilitado",IF($A211="","",ROUND(VLOOKUP($A211,'Presupuesto Consolidado'!#REF!,6,FALSE),2)),"")</f>
        <v/>
      </c>
      <c r="AD211" s="142" t="str">
        <f t="shared" ref="AD211" si="2796">IF($A211="","",IF(AC211="","",IF($K$4="Media aritmética",(AC211&lt;=$B211)*($G$5/$B$5)+(AC211&gt;$B211)*0,IF(ROUND(AVERAGE($C211,$E211,$G211,$I211,$K211,$M211,$O211,$Q211,$S211,$U211,$W211,$Y211,$AA211,$AC211,$AE211),2)-$B211/2&lt;=AC211,IF(ROUND(AVERAGE($C211,$E211,$G211,$I211,$K211,$M211,$O211,$Q211,$S211,$U211,$W211,$Y211,$AA211,$AC211,$AE211),2)+$B211/2&gt;AC211,($G$5/$B$5),0),0))))</f>
        <v/>
      </c>
      <c r="AE211" s="141" t="str">
        <f>IF($AE$8="Habilitado",IF($A211="","",ROUND(VLOOKUP($A211,'Presupuesto Consolidado'!#REF!,6,FALSE),2)),"")</f>
        <v/>
      </c>
      <c r="AF211" s="142" t="str">
        <f t="shared" ref="AF211" si="2797">IF($A211="","",IF(AE211="","",IF($K$4="Media aritmética",(AE211&lt;=$B211)*($G$5/$B$5)+(AE211&gt;$B211)*0,IF(ROUND(AVERAGE($C211,$E211,$G211,$I211,$K211,$M211,$O211,$Q211,$S211,$U211,$W211,$Y211,$AA211,$AC211,$AE211),2)-$B211/2&lt;=AE211,IF(ROUND(AVERAGE($C211,$E211,$G211,$I211,$K211,$M211,$O211,$Q211,$S211,$U211,$W211,$Y211,$AA211,$AC211,$AE211),2)+$B211/2&gt;AE211,($G$5/$B$5),0),0))))</f>
        <v/>
      </c>
    </row>
    <row r="212" spans="1:32" s="135" customFormat="1" ht="21" customHeight="1">
      <c r="A212" s="132" t="str">
        <f>+'Presupuesto Consolidado'!A249</f>
        <v>13.8.14</v>
      </c>
      <c r="B212" s="140">
        <f t="shared" ref="B212" si="2798">IF(A212="","",IF($K$4="Media aritmética",ROUND(AVERAGE(C212,E212,G212,I212,K212,M212,O212,Q212,S212,U212,W212,Y212,AA212,AC212,AE212),2),ROUND(_xlfn.STDEV.P(C212,E212,G212,I212,K212,M212,O212,Q212,S212,U212,W212,Y212,AA212,AC212,AE212),2)))</f>
        <v>151480</v>
      </c>
      <c r="C212" s="141">
        <f>IF($C$8="Habilitado",IF($A212="","",ROUND(VLOOKUP($A212,'Presupuesto Consolidado'!$A$9:$F$600,6,FALSE),2)),"")</f>
        <v>151480</v>
      </c>
      <c r="D212" s="142">
        <f t="shared" ref="D212" si="2799">IF($A212="","",IF(C212="","",IF($K$4="Media aritmética",(C212&lt;=$B212)*($G$5/$B$5)+(C212&gt;$B212)*0,IF(ROUND(AVERAGE($C212,$E212,$G212,$I212,$K212,$M212,$O212,$Q212,$S212,$U212,$W212,$Y212,$AA212,$AC212,$AE212),2)-$B212/2&lt;=C212,IF(ROUND(AVERAGE($C212,$E212,$G212,$I212,$K212,$M212,$O212,$Q212,$S212,$U212,$W212,$Y212,$AA212,$AC212,$AE212),2)+$B212/2&gt;C212,($G$5/$B$5),0),0))))</f>
        <v>0.45714285714285713</v>
      </c>
      <c r="E212" s="141" t="str">
        <f>IF($E$8="Habilitado",IF($A212="","",ROUND(VLOOKUP($A212,'Presupuesto Consolidado'!$I$9:$N$600,6,FALSE),2)),"")</f>
        <v/>
      </c>
      <c r="F212" s="142" t="str">
        <f t="shared" ref="F212" si="2800">IF($A212="","",IF(E212="","",IF($K$4="Media aritmética",(E212&lt;=$B212)*($G$5/$B$5)+(E212&gt;$B212)*0,IF(ROUND(AVERAGE($C212,$E212,$G212,$I212,$K212,$M212,$O212,$Q212,$S212,$U212,$W212,$Y212,$AA212,$AC212,$AE212),2)-$B212/2&lt;=E212,IF(ROUND(AVERAGE($C212,$E212,$G212,$I212,$K212,$M212,$O212,$Q212,$S212,$U212,$W212,$Y212,$AA212,$AC212,$AE212),2)+$B212/2&gt;E212,($G$5/$B$5),0),0))))</f>
        <v/>
      </c>
      <c r="G212" s="141" t="str">
        <f>IF($G$8="Habilitado",IF($A212="","",ROUND(VLOOKUP($A212,'Presupuesto Consolidado'!$Q$9:$V$600,6,FALSE),2)),"")</f>
        <v/>
      </c>
      <c r="H212" s="142" t="str">
        <f t="shared" ref="H212" si="2801">IF($A212="","",IF(G212="","",IF($K$4="Media aritmética",(G212&lt;=$B212)*($G$5/$B$5)+(G212&gt;$B212)*0,IF(ROUND(AVERAGE($C212,$E212,$G212,$I212,$K212,$M212,$O212,$Q212,$S212,$U212,$W212,$Y212,$AA212,$AC212,$AE212),2)-$B212/2&lt;=G212,IF(ROUND(AVERAGE($C212,$E212,$G212,$I212,$K212,$M212,$O212,$Q212,$S212,$U212,$W212,$Y212,$AA212,$AC212,$AE212),2)+$B212/2&gt;G212,($G$5/$B$5),0),0))))</f>
        <v/>
      </c>
      <c r="I212" s="141" t="str">
        <f>IF($I$8="Habilitado",IF($A212="","",ROUND(VLOOKUP($A212,'Presupuesto Consolidado'!$Y$9:$AD$600,6,FALSE),2)),"")</f>
        <v/>
      </c>
      <c r="J212" s="142" t="str">
        <f t="shared" ref="J212" si="2802">IF($A212="","",IF(I212="","",IF($K$4="Media aritmética",(I212&lt;=$B212)*($G$5/$B$5)+(I212&gt;$B212)*0,IF(ROUND(AVERAGE($C212,$E212,$G212,$I212,$K212,$M212,$O212,$Q212,$S212,$U212,$W212,$Y212,$AA212,$AC212,$AE212),2)-$B212/2&lt;=I212,IF(ROUND(AVERAGE($C212,$E212,$G212,$I212,$K212,$M212,$O212,$Q212,$S212,$U212,$W212,$Y212,$AA212,$AC212,$AE212),2)+$B212/2&gt;I212,($G$5/$B$5),0),0))))</f>
        <v/>
      </c>
      <c r="K212" s="141" t="str">
        <f>IF($K$8="Habilitado",IF($A212="","",ROUND(VLOOKUP($A212,'Presupuesto Consolidado'!#REF!,6,FALSE),2)),"")</f>
        <v/>
      </c>
      <c r="L212" s="142" t="str">
        <f t="shared" ref="L212" si="2803">IF($A212="","",IF(K212="","",IF($K$4="Media aritmética",(K212&lt;=$B212)*($G$5/$B$5)+(K212&gt;$B212)*0,IF(ROUND(AVERAGE($C212,$E212,$G212,$I212,$K212,$M212,$O212,$Q212,$S212,$U212,$W212,$Y212,$AA212,$AC212,$AE212),2)-$B212/2&lt;=K212,IF(ROUND(AVERAGE($C212,$E212,$G212,$I212,$K212,$M212,$O212,$Q212,$S212,$U212,$W212,$Y212,$AA212,$AC212,$AE212),2)+$B212/2&gt;K212,($G$5/$B$5),0),0))))</f>
        <v/>
      </c>
      <c r="M212" s="141" t="str">
        <f>IF($M$8="Habilitado",IF($A212="","",ROUND(VLOOKUP($A212,'Presupuesto Consolidado'!#REF!,6,FALSE),2)),"")</f>
        <v/>
      </c>
      <c r="N212" s="142" t="str">
        <f t="shared" ref="N212" si="2804">IF($A212="","",IF(M212="","",IF($K$4="Media aritmética",(M212&lt;=$B212)*($G$5/$B$5)+(M212&gt;$B212)*0,IF(ROUND(AVERAGE($C212,$E212,$G212,$I212,$K212,$M212,$O212,$Q212,$S212,$U212,$W212,$Y212,$AA212,$AC212,$AE212),2)-$B212/2&lt;=M212,IF(ROUND(AVERAGE($C212,$E212,$G212,$I212,$K212,$M212,$O212,$Q212,$S212,$U212,$W212,$Y212,$AA212,$AC212,$AE212),2)+$B212/2&gt;M212,($G$5/$B$5),0),0))))</f>
        <v/>
      </c>
      <c r="O212" s="141" t="str">
        <f>IF($O$8="Habilitado",IF($A212="","",ROUND(VLOOKUP($A212,'Presupuesto Consolidado'!#REF!,6,FALSE),2)),"")</f>
        <v/>
      </c>
      <c r="P212" s="142" t="str">
        <f t="shared" ref="P212" si="2805">IF($A212="","",IF(O212="","",IF($K$4="Media aritmética",(O212&lt;=$B212)*($G$5/$B$5)+(O212&gt;$B212)*0,IF(ROUND(AVERAGE($C212,$E212,$G212,$I212,$K212,$M212,$O212,$Q212,$S212,$U212,$W212,$Y212,$AA212,$AC212,$AE212),2)-$B212/2&lt;=O212,IF(ROUND(AVERAGE($C212,$E212,$G212,$I212,$K212,$M212,$O212,$Q212,$S212,$U212,$W212,$Y212,$AA212,$AC212,$AE212),2)+$B212/2&gt;O212,($G$5/$B$5),0),0))))</f>
        <v/>
      </c>
      <c r="Q212" s="141" t="str">
        <f>IF($Q$8="Habilitado",IF($A212="","",ROUND(VLOOKUP($A212,'Presupuesto Consolidado'!#REF!,6,FALSE),2)),"")</f>
        <v/>
      </c>
      <c r="R212" s="142" t="str">
        <f t="shared" ref="R212" si="2806">IF($A212="","",IF(Q212="","",IF($K$4="Media aritmética",(Q212&lt;=$B212)*($G$5/$B$5)+(Q212&gt;$B212)*0,IF(ROUND(AVERAGE($C212,$E212,$G212,$I212,$K212,$M212,$O212,$Q212,$S212,$U212,$W212,$Y212,$AA212,$AC212,$AE212),2)-$B212/2&lt;=Q212,IF(ROUND(AVERAGE($C212,$E212,$G212,$I212,$K212,$M212,$O212,$Q212,$S212,$U212,$W212,$Y212,$AA212,$AC212,$AE212),2)+$B212/2&gt;Q212,($G$5/$B$5),0),0))))</f>
        <v/>
      </c>
      <c r="S212" s="141" t="str">
        <f>IF($S$8="Habilitado",IF($A212="","",ROUND(VLOOKUP($A212,'Presupuesto Consolidado'!#REF!,6,FALSE),2)),"")</f>
        <v/>
      </c>
      <c r="T212" s="142" t="str">
        <f t="shared" ref="T212" si="2807">IF($A212="","",IF(S212="","",IF($K$4="Media aritmética",(S212&lt;=$B212)*($G$5/$B$5)+(S212&gt;$B212)*0,IF(ROUND(AVERAGE($C212,$E212,$G212,$I212,$K212,$M212,$O212,$Q212,$S212,$U212,$W212,$Y212,$AA212,$AC212,$AE212),2)-$B212/2&lt;=S212,IF(ROUND(AVERAGE($C212,$E212,$G212,$I212,$K212,$M212,$O212,$Q212,$S212,$U212,$W212,$Y212,$AA212,$AC212,$AE212),2)+$B212/2&gt;S212,($G$5/$B$5),0),0))))</f>
        <v/>
      </c>
      <c r="U212" s="141" t="str">
        <f>IF($U$8="Habilitado",IF($A212="","",ROUND(VLOOKUP($A212,'Presupuesto Consolidado'!#REF!,6,FALSE),2)),"")</f>
        <v/>
      </c>
      <c r="V212" s="142" t="str">
        <f t="shared" ref="V212" si="2808">IF($A212="","",IF(U212="","",IF($K$4="Media aritmética",(U212&lt;=$B212)*($G$5/$B$5)+(U212&gt;$B212)*0,IF(ROUND(AVERAGE($C212,$E212,$G212,$I212,$K212,$M212,$O212,$Q212,$S212,$U212,$W212,$Y212,$AA212,$AC212,$AE212),2)-$B212/2&lt;=U212,IF(ROUND(AVERAGE($C212,$E212,$G212,$I212,$K212,$M212,$O212,$Q212,$S212,$U212,$W212,$Y212,$AA212,$AC212,$AE212),2)+$B212/2&gt;U212,($G$5/$B$5),0),0))))</f>
        <v/>
      </c>
      <c r="W212" s="141" t="str">
        <f>IF($W$8="Habilitado",IF($A212="","",ROUND(VLOOKUP($A212,'Presupuesto Consolidado'!#REF!,6,FALSE),2)),"")</f>
        <v/>
      </c>
      <c r="X212" s="142" t="str">
        <f t="shared" ref="X212" si="2809">IF($A212="","",IF(W212="","",IF($K$4="Media aritmética",(W212&lt;=$B212)*($G$5/$B$5)+(W212&gt;$B212)*0,IF(ROUND(AVERAGE($C212,$E212,$G212,$I212,$K212,$M212,$O212,$Q212,$S212,$U212,$W212,$Y212,$AA212,$AC212,$AE212),2)-$B212/2&lt;=W212,IF(ROUND(AVERAGE($C212,$E212,$G212,$I212,$K212,$M212,$O212,$Q212,$S212,$U212,$W212,$Y212,$AA212,$AC212,$AE212),2)+$B212/2&gt;W212,($G$5/$B$5),0),0))))</f>
        <v/>
      </c>
      <c r="Y212" s="141" t="str">
        <f>IF($Y$8="Habilitado",IF($A212="","",ROUND(VLOOKUP($A212,'Presupuesto Consolidado'!#REF!,6,FALSE),2)),"")</f>
        <v/>
      </c>
      <c r="Z212" s="142" t="str">
        <f t="shared" ref="Z212" si="2810">IF($A212="","",IF(Y212="","",IF($K$4="Media aritmética",(Y212&lt;=$B212)*($G$5/$B$5)+(Y212&gt;$B212)*0,IF(ROUND(AVERAGE($C212,$E212,$G212,$I212,$K212,$M212,$O212,$Q212,$S212,$U212,$W212,$Y212,$AA212,$AC212,$AE212),2)-$B212/2&lt;=Y212,IF(ROUND(AVERAGE($C212,$E212,$G212,$I212,$K212,$M212,$O212,$Q212,$S212,$U212,$W212,$Y212,$AA212,$AC212,$AE212),2)+$B212/2&gt;Y212,($G$5/$B$5),0),0))))</f>
        <v/>
      </c>
      <c r="AA212" s="141" t="str">
        <f>IF($AA$8="Habilitado",IF($A212="","",ROUND(VLOOKUP($A212,'Presupuesto Consolidado'!#REF!,6,FALSE),2)),"")</f>
        <v/>
      </c>
      <c r="AB212" s="142" t="str">
        <f t="shared" ref="AB212" si="2811">IF($A212="","",IF(AA212="","",IF($K$4="Media aritmética",(AA212&lt;=$B212)*($G$5/$B$5)+(AA212&gt;$B212)*0,IF(ROUND(AVERAGE($C212,$E212,$G212,$I212,$K212,$M212,$O212,$Q212,$S212,$U212,$W212,$Y212,$AA212,$AC212,$AE212),2)-$B212/2&lt;=AA212,IF(ROUND(AVERAGE($C212,$E212,$G212,$I212,$K212,$M212,$O212,$Q212,$S212,$U212,$W212,$Y212,$AA212,$AC212,$AE212),2)+$B212/2&gt;AA212,($G$5/$B$5),0),0))))</f>
        <v/>
      </c>
      <c r="AC212" s="141" t="str">
        <f>IF($AC$8="Habilitado",IF($A212="","",ROUND(VLOOKUP($A212,'Presupuesto Consolidado'!#REF!,6,FALSE),2)),"")</f>
        <v/>
      </c>
      <c r="AD212" s="142" t="str">
        <f t="shared" ref="AD212" si="2812">IF($A212="","",IF(AC212="","",IF($K$4="Media aritmética",(AC212&lt;=$B212)*($G$5/$B$5)+(AC212&gt;$B212)*0,IF(ROUND(AVERAGE($C212,$E212,$G212,$I212,$K212,$M212,$O212,$Q212,$S212,$U212,$W212,$Y212,$AA212,$AC212,$AE212),2)-$B212/2&lt;=AC212,IF(ROUND(AVERAGE($C212,$E212,$G212,$I212,$K212,$M212,$O212,$Q212,$S212,$U212,$W212,$Y212,$AA212,$AC212,$AE212),2)+$B212/2&gt;AC212,($G$5/$B$5),0),0))))</f>
        <v/>
      </c>
      <c r="AE212" s="141" t="str">
        <f>IF($AE$8="Habilitado",IF($A212="","",ROUND(VLOOKUP($A212,'Presupuesto Consolidado'!#REF!,6,FALSE),2)),"")</f>
        <v/>
      </c>
      <c r="AF212" s="142" t="str">
        <f t="shared" ref="AF212" si="2813">IF($A212="","",IF(AE212="","",IF($K$4="Media aritmética",(AE212&lt;=$B212)*($G$5/$B$5)+(AE212&gt;$B212)*0,IF(ROUND(AVERAGE($C212,$E212,$G212,$I212,$K212,$M212,$O212,$Q212,$S212,$U212,$W212,$Y212,$AA212,$AC212,$AE212),2)-$B212/2&lt;=AE212,IF(ROUND(AVERAGE($C212,$E212,$G212,$I212,$K212,$M212,$O212,$Q212,$S212,$U212,$W212,$Y212,$AA212,$AC212,$AE212),2)+$B212/2&gt;AE212,($G$5/$B$5),0),0))))</f>
        <v/>
      </c>
    </row>
    <row r="213" spans="1:32" s="135" customFormat="1" ht="21" customHeight="1">
      <c r="A213" s="132" t="str">
        <f>+'Presupuesto Consolidado'!A250</f>
        <v>13.8.15</v>
      </c>
      <c r="B213" s="140">
        <f t="shared" ref="B213" si="2814">IF(A213="","",IF($K$4="Media aritmética",ROUND(AVERAGE(C213,E213,G213,I213,K213,M213,O213,Q213,S213,U213,W213,Y213,AA213,AC213,AE213),2),ROUND(_xlfn.STDEV.P(C213,E213,G213,I213,K213,M213,O213,Q213,S213,U213,W213,Y213,AA213,AC213,AE213),2)))</f>
        <v>193719</v>
      </c>
      <c r="C213" s="141">
        <f>IF($C$8="Habilitado",IF($A213="","",ROUND(VLOOKUP($A213,'Presupuesto Consolidado'!$A$9:$F$600,6,FALSE),2)),"")</f>
        <v>193719</v>
      </c>
      <c r="D213" s="142">
        <f t="shared" ref="D213" si="2815">IF($A213="","",IF(C213="","",IF($K$4="Media aritmética",(C213&lt;=$B213)*($G$5/$B$5)+(C213&gt;$B213)*0,IF(ROUND(AVERAGE($C213,$E213,$G213,$I213,$K213,$M213,$O213,$Q213,$S213,$U213,$W213,$Y213,$AA213,$AC213,$AE213),2)-$B213/2&lt;=C213,IF(ROUND(AVERAGE($C213,$E213,$G213,$I213,$K213,$M213,$O213,$Q213,$S213,$U213,$W213,$Y213,$AA213,$AC213,$AE213),2)+$B213/2&gt;C213,($G$5/$B$5),0),0))))</f>
        <v>0.45714285714285713</v>
      </c>
      <c r="E213" s="141" t="str">
        <f>IF($E$8="Habilitado",IF($A213="","",ROUND(VLOOKUP($A213,'Presupuesto Consolidado'!$I$9:$N$600,6,FALSE),2)),"")</f>
        <v/>
      </c>
      <c r="F213" s="142" t="str">
        <f t="shared" ref="F213" si="2816">IF($A213="","",IF(E213="","",IF($K$4="Media aritmética",(E213&lt;=$B213)*($G$5/$B$5)+(E213&gt;$B213)*0,IF(ROUND(AVERAGE($C213,$E213,$G213,$I213,$K213,$M213,$O213,$Q213,$S213,$U213,$W213,$Y213,$AA213,$AC213,$AE213),2)-$B213/2&lt;=E213,IF(ROUND(AVERAGE($C213,$E213,$G213,$I213,$K213,$M213,$O213,$Q213,$S213,$U213,$W213,$Y213,$AA213,$AC213,$AE213),2)+$B213/2&gt;E213,($G$5/$B$5),0),0))))</f>
        <v/>
      </c>
      <c r="G213" s="141" t="str">
        <f>IF($G$8="Habilitado",IF($A213="","",ROUND(VLOOKUP($A213,'Presupuesto Consolidado'!$Q$9:$V$600,6,FALSE),2)),"")</f>
        <v/>
      </c>
      <c r="H213" s="142" t="str">
        <f t="shared" ref="H213" si="2817">IF($A213="","",IF(G213="","",IF($K$4="Media aritmética",(G213&lt;=$B213)*($G$5/$B$5)+(G213&gt;$B213)*0,IF(ROUND(AVERAGE($C213,$E213,$G213,$I213,$K213,$M213,$O213,$Q213,$S213,$U213,$W213,$Y213,$AA213,$AC213,$AE213),2)-$B213/2&lt;=G213,IF(ROUND(AVERAGE($C213,$E213,$G213,$I213,$K213,$M213,$O213,$Q213,$S213,$U213,$W213,$Y213,$AA213,$AC213,$AE213),2)+$B213/2&gt;G213,($G$5/$B$5),0),0))))</f>
        <v/>
      </c>
      <c r="I213" s="141" t="str">
        <f>IF($I$8="Habilitado",IF($A213="","",ROUND(VLOOKUP($A213,'Presupuesto Consolidado'!$Y$9:$AD$600,6,FALSE),2)),"")</f>
        <v/>
      </c>
      <c r="J213" s="142" t="str">
        <f t="shared" ref="J213" si="2818">IF($A213="","",IF(I213="","",IF($K$4="Media aritmética",(I213&lt;=$B213)*($G$5/$B$5)+(I213&gt;$B213)*0,IF(ROUND(AVERAGE($C213,$E213,$G213,$I213,$K213,$M213,$O213,$Q213,$S213,$U213,$W213,$Y213,$AA213,$AC213,$AE213),2)-$B213/2&lt;=I213,IF(ROUND(AVERAGE($C213,$E213,$G213,$I213,$K213,$M213,$O213,$Q213,$S213,$U213,$W213,$Y213,$AA213,$AC213,$AE213),2)+$B213/2&gt;I213,($G$5/$B$5),0),0))))</f>
        <v/>
      </c>
      <c r="K213" s="141" t="str">
        <f>IF($K$8="Habilitado",IF($A213="","",ROUND(VLOOKUP($A213,'Presupuesto Consolidado'!#REF!,6,FALSE),2)),"")</f>
        <v/>
      </c>
      <c r="L213" s="142" t="str">
        <f t="shared" ref="L213" si="2819">IF($A213="","",IF(K213="","",IF($K$4="Media aritmética",(K213&lt;=$B213)*($G$5/$B$5)+(K213&gt;$B213)*0,IF(ROUND(AVERAGE($C213,$E213,$G213,$I213,$K213,$M213,$O213,$Q213,$S213,$U213,$W213,$Y213,$AA213,$AC213,$AE213),2)-$B213/2&lt;=K213,IF(ROUND(AVERAGE($C213,$E213,$G213,$I213,$K213,$M213,$O213,$Q213,$S213,$U213,$W213,$Y213,$AA213,$AC213,$AE213),2)+$B213/2&gt;K213,($G$5/$B$5),0),0))))</f>
        <v/>
      </c>
      <c r="M213" s="141" t="str">
        <f>IF($M$8="Habilitado",IF($A213="","",ROUND(VLOOKUP($A213,'Presupuesto Consolidado'!#REF!,6,FALSE),2)),"")</f>
        <v/>
      </c>
      <c r="N213" s="142" t="str">
        <f t="shared" ref="N213" si="2820">IF($A213="","",IF(M213="","",IF($K$4="Media aritmética",(M213&lt;=$B213)*($G$5/$B$5)+(M213&gt;$B213)*0,IF(ROUND(AVERAGE($C213,$E213,$G213,$I213,$K213,$M213,$O213,$Q213,$S213,$U213,$W213,$Y213,$AA213,$AC213,$AE213),2)-$B213/2&lt;=M213,IF(ROUND(AVERAGE($C213,$E213,$G213,$I213,$K213,$M213,$O213,$Q213,$S213,$U213,$W213,$Y213,$AA213,$AC213,$AE213),2)+$B213/2&gt;M213,($G$5/$B$5),0),0))))</f>
        <v/>
      </c>
      <c r="O213" s="141" t="str">
        <f>IF($O$8="Habilitado",IF($A213="","",ROUND(VLOOKUP($A213,'Presupuesto Consolidado'!#REF!,6,FALSE),2)),"")</f>
        <v/>
      </c>
      <c r="P213" s="142" t="str">
        <f t="shared" ref="P213" si="2821">IF($A213="","",IF(O213="","",IF($K$4="Media aritmética",(O213&lt;=$B213)*($G$5/$B$5)+(O213&gt;$B213)*0,IF(ROUND(AVERAGE($C213,$E213,$G213,$I213,$K213,$M213,$O213,$Q213,$S213,$U213,$W213,$Y213,$AA213,$AC213,$AE213),2)-$B213/2&lt;=O213,IF(ROUND(AVERAGE($C213,$E213,$G213,$I213,$K213,$M213,$O213,$Q213,$S213,$U213,$W213,$Y213,$AA213,$AC213,$AE213),2)+$B213/2&gt;O213,($G$5/$B$5),0),0))))</f>
        <v/>
      </c>
      <c r="Q213" s="141" t="str">
        <f>IF($Q$8="Habilitado",IF($A213="","",ROUND(VLOOKUP($A213,'Presupuesto Consolidado'!#REF!,6,FALSE),2)),"")</f>
        <v/>
      </c>
      <c r="R213" s="142" t="str">
        <f t="shared" ref="R213" si="2822">IF($A213="","",IF(Q213="","",IF($K$4="Media aritmética",(Q213&lt;=$B213)*($G$5/$B$5)+(Q213&gt;$B213)*0,IF(ROUND(AVERAGE($C213,$E213,$G213,$I213,$K213,$M213,$O213,$Q213,$S213,$U213,$W213,$Y213,$AA213,$AC213,$AE213),2)-$B213/2&lt;=Q213,IF(ROUND(AVERAGE($C213,$E213,$G213,$I213,$K213,$M213,$O213,$Q213,$S213,$U213,$W213,$Y213,$AA213,$AC213,$AE213),2)+$B213/2&gt;Q213,($G$5/$B$5),0),0))))</f>
        <v/>
      </c>
      <c r="S213" s="141" t="str">
        <f>IF($S$8="Habilitado",IF($A213="","",ROUND(VLOOKUP($A213,'Presupuesto Consolidado'!#REF!,6,FALSE),2)),"")</f>
        <v/>
      </c>
      <c r="T213" s="142" t="str">
        <f t="shared" ref="T213" si="2823">IF($A213="","",IF(S213="","",IF($K$4="Media aritmética",(S213&lt;=$B213)*($G$5/$B$5)+(S213&gt;$B213)*0,IF(ROUND(AVERAGE($C213,$E213,$G213,$I213,$K213,$M213,$O213,$Q213,$S213,$U213,$W213,$Y213,$AA213,$AC213,$AE213),2)-$B213/2&lt;=S213,IF(ROUND(AVERAGE($C213,$E213,$G213,$I213,$K213,$M213,$O213,$Q213,$S213,$U213,$W213,$Y213,$AA213,$AC213,$AE213),2)+$B213/2&gt;S213,($G$5/$B$5),0),0))))</f>
        <v/>
      </c>
      <c r="U213" s="141" t="str">
        <f>IF($U$8="Habilitado",IF($A213="","",ROUND(VLOOKUP($A213,'Presupuesto Consolidado'!#REF!,6,FALSE),2)),"")</f>
        <v/>
      </c>
      <c r="V213" s="142" t="str">
        <f t="shared" ref="V213" si="2824">IF($A213="","",IF(U213="","",IF($K$4="Media aritmética",(U213&lt;=$B213)*($G$5/$B$5)+(U213&gt;$B213)*0,IF(ROUND(AVERAGE($C213,$E213,$G213,$I213,$K213,$M213,$O213,$Q213,$S213,$U213,$W213,$Y213,$AA213,$AC213,$AE213),2)-$B213/2&lt;=U213,IF(ROUND(AVERAGE($C213,$E213,$G213,$I213,$K213,$M213,$O213,$Q213,$S213,$U213,$W213,$Y213,$AA213,$AC213,$AE213),2)+$B213/2&gt;U213,($G$5/$B$5),0),0))))</f>
        <v/>
      </c>
      <c r="W213" s="141" t="str">
        <f>IF($W$8="Habilitado",IF($A213="","",ROUND(VLOOKUP($A213,'Presupuesto Consolidado'!#REF!,6,FALSE),2)),"")</f>
        <v/>
      </c>
      <c r="X213" s="142" t="str">
        <f t="shared" ref="X213" si="2825">IF($A213="","",IF(W213="","",IF($K$4="Media aritmética",(W213&lt;=$B213)*($G$5/$B$5)+(W213&gt;$B213)*0,IF(ROUND(AVERAGE($C213,$E213,$G213,$I213,$K213,$M213,$O213,$Q213,$S213,$U213,$W213,$Y213,$AA213,$AC213,$AE213),2)-$B213/2&lt;=W213,IF(ROUND(AVERAGE($C213,$E213,$G213,$I213,$K213,$M213,$O213,$Q213,$S213,$U213,$W213,$Y213,$AA213,$AC213,$AE213),2)+$B213/2&gt;W213,($G$5/$B$5),0),0))))</f>
        <v/>
      </c>
      <c r="Y213" s="141" t="str">
        <f>IF($Y$8="Habilitado",IF($A213="","",ROUND(VLOOKUP($A213,'Presupuesto Consolidado'!#REF!,6,FALSE),2)),"")</f>
        <v/>
      </c>
      <c r="Z213" s="142" t="str">
        <f t="shared" ref="Z213" si="2826">IF($A213="","",IF(Y213="","",IF($K$4="Media aritmética",(Y213&lt;=$B213)*($G$5/$B$5)+(Y213&gt;$B213)*0,IF(ROUND(AVERAGE($C213,$E213,$G213,$I213,$K213,$M213,$O213,$Q213,$S213,$U213,$W213,$Y213,$AA213,$AC213,$AE213),2)-$B213/2&lt;=Y213,IF(ROUND(AVERAGE($C213,$E213,$G213,$I213,$K213,$M213,$O213,$Q213,$S213,$U213,$W213,$Y213,$AA213,$AC213,$AE213),2)+$B213/2&gt;Y213,($G$5/$B$5),0),0))))</f>
        <v/>
      </c>
      <c r="AA213" s="141" t="str">
        <f>IF($AA$8="Habilitado",IF($A213="","",ROUND(VLOOKUP($A213,'Presupuesto Consolidado'!#REF!,6,FALSE),2)),"")</f>
        <v/>
      </c>
      <c r="AB213" s="142" t="str">
        <f t="shared" ref="AB213" si="2827">IF($A213="","",IF(AA213="","",IF($K$4="Media aritmética",(AA213&lt;=$B213)*($G$5/$B$5)+(AA213&gt;$B213)*0,IF(ROUND(AVERAGE($C213,$E213,$G213,$I213,$K213,$M213,$O213,$Q213,$S213,$U213,$W213,$Y213,$AA213,$AC213,$AE213),2)-$B213/2&lt;=AA213,IF(ROUND(AVERAGE($C213,$E213,$G213,$I213,$K213,$M213,$O213,$Q213,$S213,$U213,$W213,$Y213,$AA213,$AC213,$AE213),2)+$B213/2&gt;AA213,($G$5/$B$5),0),0))))</f>
        <v/>
      </c>
      <c r="AC213" s="141" t="str">
        <f>IF($AC$8="Habilitado",IF($A213="","",ROUND(VLOOKUP($A213,'Presupuesto Consolidado'!#REF!,6,FALSE),2)),"")</f>
        <v/>
      </c>
      <c r="AD213" s="142" t="str">
        <f t="shared" ref="AD213" si="2828">IF($A213="","",IF(AC213="","",IF($K$4="Media aritmética",(AC213&lt;=$B213)*($G$5/$B$5)+(AC213&gt;$B213)*0,IF(ROUND(AVERAGE($C213,$E213,$G213,$I213,$K213,$M213,$O213,$Q213,$S213,$U213,$W213,$Y213,$AA213,$AC213,$AE213),2)-$B213/2&lt;=AC213,IF(ROUND(AVERAGE($C213,$E213,$G213,$I213,$K213,$M213,$O213,$Q213,$S213,$U213,$W213,$Y213,$AA213,$AC213,$AE213),2)+$B213/2&gt;AC213,($G$5/$B$5),0),0))))</f>
        <v/>
      </c>
      <c r="AE213" s="141" t="str">
        <f>IF($AE$8="Habilitado",IF($A213="","",ROUND(VLOOKUP($A213,'Presupuesto Consolidado'!#REF!,6,FALSE),2)),"")</f>
        <v/>
      </c>
      <c r="AF213" s="142" t="str">
        <f t="shared" ref="AF213" si="2829">IF($A213="","",IF(AE213="","",IF($K$4="Media aritmética",(AE213&lt;=$B213)*($G$5/$B$5)+(AE213&gt;$B213)*0,IF(ROUND(AVERAGE($C213,$E213,$G213,$I213,$K213,$M213,$O213,$Q213,$S213,$U213,$W213,$Y213,$AA213,$AC213,$AE213),2)-$B213/2&lt;=AE213,IF(ROUND(AVERAGE($C213,$E213,$G213,$I213,$K213,$M213,$O213,$Q213,$S213,$U213,$W213,$Y213,$AA213,$AC213,$AE213),2)+$B213/2&gt;AE213,($G$5/$B$5),0),0))))</f>
        <v/>
      </c>
    </row>
    <row r="214" spans="1:32" s="135" customFormat="1" ht="21" customHeight="1">
      <c r="A214" s="132" t="str">
        <f>+'Presupuesto Consolidado'!A251</f>
        <v>13.8.16</v>
      </c>
      <c r="B214" s="140">
        <f t="shared" ref="B214" si="2830">IF(A214="","",IF($K$4="Media aritmética",ROUND(AVERAGE(C214,E214,G214,I214,K214,M214,O214,Q214,S214,U214,W214,Y214,AA214,AC214,AE214),2),ROUND(_xlfn.STDEV.P(C214,E214,G214,I214,K214,M214,O214,Q214,S214,U214,W214,Y214,AA214,AC214,AE214),2)))</f>
        <v>33797</v>
      </c>
      <c r="C214" s="141">
        <f>IF($C$8="Habilitado",IF($A214="","",ROUND(VLOOKUP($A214,'Presupuesto Consolidado'!$A$9:$F$600,6,FALSE),2)),"")</f>
        <v>33797</v>
      </c>
      <c r="D214" s="142">
        <f t="shared" ref="D214" si="2831">IF($A214="","",IF(C214="","",IF($K$4="Media aritmética",(C214&lt;=$B214)*($G$5/$B$5)+(C214&gt;$B214)*0,IF(ROUND(AVERAGE($C214,$E214,$G214,$I214,$K214,$M214,$O214,$Q214,$S214,$U214,$W214,$Y214,$AA214,$AC214,$AE214),2)-$B214/2&lt;=C214,IF(ROUND(AVERAGE($C214,$E214,$G214,$I214,$K214,$M214,$O214,$Q214,$S214,$U214,$W214,$Y214,$AA214,$AC214,$AE214),2)+$B214/2&gt;C214,($G$5/$B$5),0),0))))</f>
        <v>0.45714285714285713</v>
      </c>
      <c r="E214" s="141" t="str">
        <f>IF($E$8="Habilitado",IF($A214="","",ROUND(VLOOKUP($A214,'Presupuesto Consolidado'!$I$9:$N$600,6,FALSE),2)),"")</f>
        <v/>
      </c>
      <c r="F214" s="142" t="str">
        <f t="shared" ref="F214" si="2832">IF($A214="","",IF(E214="","",IF($K$4="Media aritmética",(E214&lt;=$B214)*($G$5/$B$5)+(E214&gt;$B214)*0,IF(ROUND(AVERAGE($C214,$E214,$G214,$I214,$K214,$M214,$O214,$Q214,$S214,$U214,$W214,$Y214,$AA214,$AC214,$AE214),2)-$B214/2&lt;=E214,IF(ROUND(AVERAGE($C214,$E214,$G214,$I214,$K214,$M214,$O214,$Q214,$S214,$U214,$W214,$Y214,$AA214,$AC214,$AE214),2)+$B214/2&gt;E214,($G$5/$B$5),0),0))))</f>
        <v/>
      </c>
      <c r="G214" s="141" t="str">
        <f>IF($G$8="Habilitado",IF($A214="","",ROUND(VLOOKUP($A214,'Presupuesto Consolidado'!$Q$9:$V$600,6,FALSE),2)),"")</f>
        <v/>
      </c>
      <c r="H214" s="142" t="str">
        <f t="shared" ref="H214" si="2833">IF($A214="","",IF(G214="","",IF($K$4="Media aritmética",(G214&lt;=$B214)*($G$5/$B$5)+(G214&gt;$B214)*0,IF(ROUND(AVERAGE($C214,$E214,$G214,$I214,$K214,$M214,$O214,$Q214,$S214,$U214,$W214,$Y214,$AA214,$AC214,$AE214),2)-$B214/2&lt;=G214,IF(ROUND(AVERAGE($C214,$E214,$G214,$I214,$K214,$M214,$O214,$Q214,$S214,$U214,$W214,$Y214,$AA214,$AC214,$AE214),2)+$B214/2&gt;G214,($G$5/$B$5),0),0))))</f>
        <v/>
      </c>
      <c r="I214" s="141" t="str">
        <f>IF($I$8="Habilitado",IF($A214="","",ROUND(VLOOKUP($A214,'Presupuesto Consolidado'!$Y$9:$AD$600,6,FALSE),2)),"")</f>
        <v/>
      </c>
      <c r="J214" s="142" t="str">
        <f t="shared" ref="J214" si="2834">IF($A214="","",IF(I214="","",IF($K$4="Media aritmética",(I214&lt;=$B214)*($G$5/$B$5)+(I214&gt;$B214)*0,IF(ROUND(AVERAGE($C214,$E214,$G214,$I214,$K214,$M214,$O214,$Q214,$S214,$U214,$W214,$Y214,$AA214,$AC214,$AE214),2)-$B214/2&lt;=I214,IF(ROUND(AVERAGE($C214,$E214,$G214,$I214,$K214,$M214,$O214,$Q214,$S214,$U214,$W214,$Y214,$AA214,$AC214,$AE214),2)+$B214/2&gt;I214,($G$5/$B$5),0),0))))</f>
        <v/>
      </c>
      <c r="K214" s="141" t="str">
        <f>IF($K$8="Habilitado",IF($A214="","",ROUND(VLOOKUP($A214,'Presupuesto Consolidado'!#REF!,6,FALSE),2)),"")</f>
        <v/>
      </c>
      <c r="L214" s="142" t="str">
        <f t="shared" ref="L214" si="2835">IF($A214="","",IF(K214="","",IF($K$4="Media aritmética",(K214&lt;=$B214)*($G$5/$B$5)+(K214&gt;$B214)*0,IF(ROUND(AVERAGE($C214,$E214,$G214,$I214,$K214,$M214,$O214,$Q214,$S214,$U214,$W214,$Y214,$AA214,$AC214,$AE214),2)-$B214/2&lt;=K214,IF(ROUND(AVERAGE($C214,$E214,$G214,$I214,$K214,$M214,$O214,$Q214,$S214,$U214,$W214,$Y214,$AA214,$AC214,$AE214),2)+$B214/2&gt;K214,($G$5/$B$5),0),0))))</f>
        <v/>
      </c>
      <c r="M214" s="141" t="str">
        <f>IF($M$8="Habilitado",IF($A214="","",ROUND(VLOOKUP($A214,'Presupuesto Consolidado'!#REF!,6,FALSE),2)),"")</f>
        <v/>
      </c>
      <c r="N214" s="142" t="str">
        <f t="shared" ref="N214" si="2836">IF($A214="","",IF(M214="","",IF($K$4="Media aritmética",(M214&lt;=$B214)*($G$5/$B$5)+(M214&gt;$B214)*0,IF(ROUND(AVERAGE($C214,$E214,$G214,$I214,$K214,$M214,$O214,$Q214,$S214,$U214,$W214,$Y214,$AA214,$AC214,$AE214),2)-$B214/2&lt;=M214,IF(ROUND(AVERAGE($C214,$E214,$G214,$I214,$K214,$M214,$O214,$Q214,$S214,$U214,$W214,$Y214,$AA214,$AC214,$AE214),2)+$B214/2&gt;M214,($G$5/$B$5),0),0))))</f>
        <v/>
      </c>
      <c r="O214" s="141" t="str">
        <f>IF($O$8="Habilitado",IF($A214="","",ROUND(VLOOKUP($A214,'Presupuesto Consolidado'!#REF!,6,FALSE),2)),"")</f>
        <v/>
      </c>
      <c r="P214" s="142" t="str">
        <f t="shared" ref="P214" si="2837">IF($A214="","",IF(O214="","",IF($K$4="Media aritmética",(O214&lt;=$B214)*($G$5/$B$5)+(O214&gt;$B214)*0,IF(ROUND(AVERAGE($C214,$E214,$G214,$I214,$K214,$M214,$O214,$Q214,$S214,$U214,$W214,$Y214,$AA214,$AC214,$AE214),2)-$B214/2&lt;=O214,IF(ROUND(AVERAGE($C214,$E214,$G214,$I214,$K214,$M214,$O214,$Q214,$S214,$U214,$W214,$Y214,$AA214,$AC214,$AE214),2)+$B214/2&gt;O214,($G$5/$B$5),0),0))))</f>
        <v/>
      </c>
      <c r="Q214" s="141" t="str">
        <f>IF($Q$8="Habilitado",IF($A214="","",ROUND(VLOOKUP($A214,'Presupuesto Consolidado'!#REF!,6,FALSE),2)),"")</f>
        <v/>
      </c>
      <c r="R214" s="142" t="str">
        <f t="shared" ref="R214" si="2838">IF($A214="","",IF(Q214="","",IF($K$4="Media aritmética",(Q214&lt;=$B214)*($G$5/$B$5)+(Q214&gt;$B214)*0,IF(ROUND(AVERAGE($C214,$E214,$G214,$I214,$K214,$M214,$O214,$Q214,$S214,$U214,$W214,$Y214,$AA214,$AC214,$AE214),2)-$B214/2&lt;=Q214,IF(ROUND(AVERAGE($C214,$E214,$G214,$I214,$K214,$M214,$O214,$Q214,$S214,$U214,$W214,$Y214,$AA214,$AC214,$AE214),2)+$B214/2&gt;Q214,($G$5/$B$5),0),0))))</f>
        <v/>
      </c>
      <c r="S214" s="141" t="str">
        <f>IF($S$8="Habilitado",IF($A214="","",ROUND(VLOOKUP($A214,'Presupuesto Consolidado'!#REF!,6,FALSE),2)),"")</f>
        <v/>
      </c>
      <c r="T214" s="142" t="str">
        <f t="shared" ref="T214" si="2839">IF($A214="","",IF(S214="","",IF($K$4="Media aritmética",(S214&lt;=$B214)*($G$5/$B$5)+(S214&gt;$B214)*0,IF(ROUND(AVERAGE($C214,$E214,$G214,$I214,$K214,$M214,$O214,$Q214,$S214,$U214,$W214,$Y214,$AA214,$AC214,$AE214),2)-$B214/2&lt;=S214,IF(ROUND(AVERAGE($C214,$E214,$G214,$I214,$K214,$M214,$O214,$Q214,$S214,$U214,$W214,$Y214,$AA214,$AC214,$AE214),2)+$B214/2&gt;S214,($G$5/$B$5),0),0))))</f>
        <v/>
      </c>
      <c r="U214" s="141" t="str">
        <f>IF($U$8="Habilitado",IF($A214="","",ROUND(VLOOKUP($A214,'Presupuesto Consolidado'!#REF!,6,FALSE),2)),"")</f>
        <v/>
      </c>
      <c r="V214" s="142" t="str">
        <f t="shared" ref="V214" si="2840">IF($A214="","",IF(U214="","",IF($K$4="Media aritmética",(U214&lt;=$B214)*($G$5/$B$5)+(U214&gt;$B214)*0,IF(ROUND(AVERAGE($C214,$E214,$G214,$I214,$K214,$M214,$O214,$Q214,$S214,$U214,$W214,$Y214,$AA214,$AC214,$AE214),2)-$B214/2&lt;=U214,IF(ROUND(AVERAGE($C214,$E214,$G214,$I214,$K214,$M214,$O214,$Q214,$S214,$U214,$W214,$Y214,$AA214,$AC214,$AE214),2)+$B214/2&gt;U214,($G$5/$B$5),0),0))))</f>
        <v/>
      </c>
      <c r="W214" s="141" t="str">
        <f>IF($W$8="Habilitado",IF($A214="","",ROUND(VLOOKUP($A214,'Presupuesto Consolidado'!#REF!,6,FALSE),2)),"")</f>
        <v/>
      </c>
      <c r="X214" s="142" t="str">
        <f t="shared" ref="X214" si="2841">IF($A214="","",IF(W214="","",IF($K$4="Media aritmética",(W214&lt;=$B214)*($G$5/$B$5)+(W214&gt;$B214)*0,IF(ROUND(AVERAGE($C214,$E214,$G214,$I214,$K214,$M214,$O214,$Q214,$S214,$U214,$W214,$Y214,$AA214,$AC214,$AE214),2)-$B214/2&lt;=W214,IF(ROUND(AVERAGE($C214,$E214,$G214,$I214,$K214,$M214,$O214,$Q214,$S214,$U214,$W214,$Y214,$AA214,$AC214,$AE214),2)+$B214/2&gt;W214,($G$5/$B$5),0),0))))</f>
        <v/>
      </c>
      <c r="Y214" s="141" t="str">
        <f>IF($Y$8="Habilitado",IF($A214="","",ROUND(VLOOKUP($A214,'Presupuesto Consolidado'!#REF!,6,FALSE),2)),"")</f>
        <v/>
      </c>
      <c r="Z214" s="142" t="str">
        <f t="shared" ref="Z214" si="2842">IF($A214="","",IF(Y214="","",IF($K$4="Media aritmética",(Y214&lt;=$B214)*($G$5/$B$5)+(Y214&gt;$B214)*0,IF(ROUND(AVERAGE($C214,$E214,$G214,$I214,$K214,$M214,$O214,$Q214,$S214,$U214,$W214,$Y214,$AA214,$AC214,$AE214),2)-$B214/2&lt;=Y214,IF(ROUND(AVERAGE($C214,$E214,$G214,$I214,$K214,$M214,$O214,$Q214,$S214,$U214,$W214,$Y214,$AA214,$AC214,$AE214),2)+$B214/2&gt;Y214,($G$5/$B$5),0),0))))</f>
        <v/>
      </c>
      <c r="AA214" s="141" t="str">
        <f>IF($AA$8="Habilitado",IF($A214="","",ROUND(VLOOKUP($A214,'Presupuesto Consolidado'!#REF!,6,FALSE),2)),"")</f>
        <v/>
      </c>
      <c r="AB214" s="142" t="str">
        <f t="shared" ref="AB214" si="2843">IF($A214="","",IF(AA214="","",IF($K$4="Media aritmética",(AA214&lt;=$B214)*($G$5/$B$5)+(AA214&gt;$B214)*0,IF(ROUND(AVERAGE($C214,$E214,$G214,$I214,$K214,$M214,$O214,$Q214,$S214,$U214,$W214,$Y214,$AA214,$AC214,$AE214),2)-$B214/2&lt;=AA214,IF(ROUND(AVERAGE($C214,$E214,$G214,$I214,$K214,$M214,$O214,$Q214,$S214,$U214,$W214,$Y214,$AA214,$AC214,$AE214),2)+$B214/2&gt;AA214,($G$5/$B$5),0),0))))</f>
        <v/>
      </c>
      <c r="AC214" s="141" t="str">
        <f>IF($AC$8="Habilitado",IF($A214="","",ROUND(VLOOKUP($A214,'Presupuesto Consolidado'!#REF!,6,FALSE),2)),"")</f>
        <v/>
      </c>
      <c r="AD214" s="142" t="str">
        <f t="shared" ref="AD214" si="2844">IF($A214="","",IF(AC214="","",IF($K$4="Media aritmética",(AC214&lt;=$B214)*($G$5/$B$5)+(AC214&gt;$B214)*0,IF(ROUND(AVERAGE($C214,$E214,$G214,$I214,$K214,$M214,$O214,$Q214,$S214,$U214,$W214,$Y214,$AA214,$AC214,$AE214),2)-$B214/2&lt;=AC214,IF(ROUND(AVERAGE($C214,$E214,$G214,$I214,$K214,$M214,$O214,$Q214,$S214,$U214,$W214,$Y214,$AA214,$AC214,$AE214),2)+$B214/2&gt;AC214,($G$5/$B$5),0),0))))</f>
        <v/>
      </c>
      <c r="AE214" s="141" t="str">
        <f>IF($AE$8="Habilitado",IF($A214="","",ROUND(VLOOKUP($A214,'Presupuesto Consolidado'!#REF!,6,FALSE),2)),"")</f>
        <v/>
      </c>
      <c r="AF214" s="142" t="str">
        <f t="shared" ref="AF214" si="2845">IF($A214="","",IF(AE214="","",IF($K$4="Media aritmética",(AE214&lt;=$B214)*($G$5/$B$5)+(AE214&gt;$B214)*0,IF(ROUND(AVERAGE($C214,$E214,$G214,$I214,$K214,$M214,$O214,$Q214,$S214,$U214,$W214,$Y214,$AA214,$AC214,$AE214),2)-$B214/2&lt;=AE214,IF(ROUND(AVERAGE($C214,$E214,$G214,$I214,$K214,$M214,$O214,$Q214,$S214,$U214,$W214,$Y214,$AA214,$AC214,$AE214),2)+$B214/2&gt;AE214,($G$5/$B$5),0),0))))</f>
        <v/>
      </c>
    </row>
    <row r="215" spans="1:32" s="135" customFormat="1" ht="21" customHeight="1">
      <c r="A215" s="132" t="str">
        <f>+'Presupuesto Consolidado'!A253</f>
        <v>13.9.1</v>
      </c>
      <c r="B215" s="140">
        <f t="shared" ref="B215" si="2846">IF(A215="","",IF($K$4="Media aritmética",ROUND(AVERAGE(C215,E215,G215,I215,K215,M215,O215,Q215,S215,U215,W215,Y215,AA215,AC215,AE215),2),ROUND(_xlfn.STDEV.P(C215,E215,G215,I215,K215,M215,O215,Q215,S215,U215,W215,Y215,AA215,AC215,AE215),2)))</f>
        <v>15525</v>
      </c>
      <c r="C215" s="141">
        <f>IF($C$8="Habilitado",IF($A215="","",ROUND(VLOOKUP($A215,'Presupuesto Consolidado'!$A$9:$F$600,6,FALSE),2)),"")</f>
        <v>15525</v>
      </c>
      <c r="D215" s="142">
        <f t="shared" ref="D215" si="2847">IF($A215="","",IF(C215="","",IF($K$4="Media aritmética",(C215&lt;=$B215)*($G$5/$B$5)+(C215&gt;$B215)*0,IF(ROUND(AVERAGE($C215,$E215,$G215,$I215,$K215,$M215,$O215,$Q215,$S215,$U215,$W215,$Y215,$AA215,$AC215,$AE215),2)-$B215/2&lt;=C215,IF(ROUND(AVERAGE($C215,$E215,$G215,$I215,$K215,$M215,$O215,$Q215,$S215,$U215,$W215,$Y215,$AA215,$AC215,$AE215),2)+$B215/2&gt;C215,($G$5/$B$5),0),0))))</f>
        <v>0.45714285714285713</v>
      </c>
      <c r="E215" s="141" t="str">
        <f>IF($E$8="Habilitado",IF($A215="","",ROUND(VLOOKUP($A215,'Presupuesto Consolidado'!$I$9:$N$600,6,FALSE),2)),"")</f>
        <v/>
      </c>
      <c r="F215" s="142" t="str">
        <f t="shared" ref="F215" si="2848">IF($A215="","",IF(E215="","",IF($K$4="Media aritmética",(E215&lt;=$B215)*($G$5/$B$5)+(E215&gt;$B215)*0,IF(ROUND(AVERAGE($C215,$E215,$G215,$I215,$K215,$M215,$O215,$Q215,$S215,$U215,$W215,$Y215,$AA215,$AC215,$AE215),2)-$B215/2&lt;=E215,IF(ROUND(AVERAGE($C215,$E215,$G215,$I215,$K215,$M215,$O215,$Q215,$S215,$U215,$W215,$Y215,$AA215,$AC215,$AE215),2)+$B215/2&gt;E215,($G$5/$B$5),0),0))))</f>
        <v/>
      </c>
      <c r="G215" s="141" t="str">
        <f>IF($G$8="Habilitado",IF($A215="","",ROUND(VLOOKUP($A215,'Presupuesto Consolidado'!$Q$9:$V$600,6,FALSE),2)),"")</f>
        <v/>
      </c>
      <c r="H215" s="142" t="str">
        <f t="shared" ref="H215" si="2849">IF($A215="","",IF(G215="","",IF($K$4="Media aritmética",(G215&lt;=$B215)*($G$5/$B$5)+(G215&gt;$B215)*0,IF(ROUND(AVERAGE($C215,$E215,$G215,$I215,$K215,$M215,$O215,$Q215,$S215,$U215,$W215,$Y215,$AA215,$AC215,$AE215),2)-$B215/2&lt;=G215,IF(ROUND(AVERAGE($C215,$E215,$G215,$I215,$K215,$M215,$O215,$Q215,$S215,$U215,$W215,$Y215,$AA215,$AC215,$AE215),2)+$B215/2&gt;G215,($G$5/$B$5),0),0))))</f>
        <v/>
      </c>
      <c r="I215" s="141" t="str">
        <f>IF($I$8="Habilitado",IF($A215="","",ROUND(VLOOKUP($A215,'Presupuesto Consolidado'!$Y$9:$AD$600,6,FALSE),2)),"")</f>
        <v/>
      </c>
      <c r="J215" s="142" t="str">
        <f t="shared" ref="J215" si="2850">IF($A215="","",IF(I215="","",IF($K$4="Media aritmética",(I215&lt;=$B215)*($G$5/$B$5)+(I215&gt;$B215)*0,IF(ROUND(AVERAGE($C215,$E215,$G215,$I215,$K215,$M215,$O215,$Q215,$S215,$U215,$W215,$Y215,$AA215,$AC215,$AE215),2)-$B215/2&lt;=I215,IF(ROUND(AVERAGE($C215,$E215,$G215,$I215,$K215,$M215,$O215,$Q215,$S215,$U215,$W215,$Y215,$AA215,$AC215,$AE215),2)+$B215/2&gt;I215,($G$5/$B$5),0),0))))</f>
        <v/>
      </c>
      <c r="K215" s="141" t="str">
        <f>IF($K$8="Habilitado",IF($A215="","",ROUND(VLOOKUP($A215,'Presupuesto Consolidado'!#REF!,6,FALSE),2)),"")</f>
        <v/>
      </c>
      <c r="L215" s="142" t="str">
        <f t="shared" ref="L215" si="2851">IF($A215="","",IF(K215="","",IF($K$4="Media aritmética",(K215&lt;=$B215)*($G$5/$B$5)+(K215&gt;$B215)*0,IF(ROUND(AVERAGE($C215,$E215,$G215,$I215,$K215,$M215,$O215,$Q215,$S215,$U215,$W215,$Y215,$AA215,$AC215,$AE215),2)-$B215/2&lt;=K215,IF(ROUND(AVERAGE($C215,$E215,$G215,$I215,$K215,$M215,$O215,$Q215,$S215,$U215,$W215,$Y215,$AA215,$AC215,$AE215),2)+$B215/2&gt;K215,($G$5/$B$5),0),0))))</f>
        <v/>
      </c>
      <c r="M215" s="141" t="str">
        <f>IF($M$8="Habilitado",IF($A215="","",ROUND(VLOOKUP($A215,'Presupuesto Consolidado'!#REF!,6,FALSE),2)),"")</f>
        <v/>
      </c>
      <c r="N215" s="142" t="str">
        <f t="shared" ref="N215" si="2852">IF($A215="","",IF(M215="","",IF($K$4="Media aritmética",(M215&lt;=$B215)*($G$5/$B$5)+(M215&gt;$B215)*0,IF(ROUND(AVERAGE($C215,$E215,$G215,$I215,$K215,$M215,$O215,$Q215,$S215,$U215,$W215,$Y215,$AA215,$AC215,$AE215),2)-$B215/2&lt;=M215,IF(ROUND(AVERAGE($C215,$E215,$G215,$I215,$K215,$M215,$O215,$Q215,$S215,$U215,$W215,$Y215,$AA215,$AC215,$AE215),2)+$B215/2&gt;M215,($G$5/$B$5),0),0))))</f>
        <v/>
      </c>
      <c r="O215" s="141" t="str">
        <f>IF($O$8="Habilitado",IF($A215="","",ROUND(VLOOKUP($A215,'Presupuesto Consolidado'!#REF!,6,FALSE),2)),"")</f>
        <v/>
      </c>
      <c r="P215" s="142" t="str">
        <f t="shared" ref="P215" si="2853">IF($A215="","",IF(O215="","",IF($K$4="Media aritmética",(O215&lt;=$B215)*($G$5/$B$5)+(O215&gt;$B215)*0,IF(ROUND(AVERAGE($C215,$E215,$G215,$I215,$K215,$M215,$O215,$Q215,$S215,$U215,$W215,$Y215,$AA215,$AC215,$AE215),2)-$B215/2&lt;=O215,IF(ROUND(AVERAGE($C215,$E215,$G215,$I215,$K215,$M215,$O215,$Q215,$S215,$U215,$W215,$Y215,$AA215,$AC215,$AE215),2)+$B215/2&gt;O215,($G$5/$B$5),0),0))))</f>
        <v/>
      </c>
      <c r="Q215" s="141" t="str">
        <f>IF($Q$8="Habilitado",IF($A215="","",ROUND(VLOOKUP($A215,'Presupuesto Consolidado'!#REF!,6,FALSE),2)),"")</f>
        <v/>
      </c>
      <c r="R215" s="142" t="str">
        <f t="shared" ref="R215" si="2854">IF($A215="","",IF(Q215="","",IF($K$4="Media aritmética",(Q215&lt;=$B215)*($G$5/$B$5)+(Q215&gt;$B215)*0,IF(ROUND(AVERAGE($C215,$E215,$G215,$I215,$K215,$M215,$O215,$Q215,$S215,$U215,$W215,$Y215,$AA215,$AC215,$AE215),2)-$B215/2&lt;=Q215,IF(ROUND(AVERAGE($C215,$E215,$G215,$I215,$K215,$M215,$O215,$Q215,$S215,$U215,$W215,$Y215,$AA215,$AC215,$AE215),2)+$B215/2&gt;Q215,($G$5/$B$5),0),0))))</f>
        <v/>
      </c>
      <c r="S215" s="141" t="str">
        <f>IF($S$8="Habilitado",IF($A215="","",ROUND(VLOOKUP($A215,'Presupuesto Consolidado'!#REF!,6,FALSE),2)),"")</f>
        <v/>
      </c>
      <c r="T215" s="142" t="str">
        <f t="shared" ref="T215" si="2855">IF($A215="","",IF(S215="","",IF($K$4="Media aritmética",(S215&lt;=$B215)*($G$5/$B$5)+(S215&gt;$B215)*0,IF(ROUND(AVERAGE($C215,$E215,$G215,$I215,$K215,$M215,$O215,$Q215,$S215,$U215,$W215,$Y215,$AA215,$AC215,$AE215),2)-$B215/2&lt;=S215,IF(ROUND(AVERAGE($C215,$E215,$G215,$I215,$K215,$M215,$O215,$Q215,$S215,$U215,$W215,$Y215,$AA215,$AC215,$AE215),2)+$B215/2&gt;S215,($G$5/$B$5),0),0))))</f>
        <v/>
      </c>
      <c r="U215" s="141" t="str">
        <f>IF($U$8="Habilitado",IF($A215="","",ROUND(VLOOKUP($A215,'Presupuesto Consolidado'!#REF!,6,FALSE),2)),"")</f>
        <v/>
      </c>
      <c r="V215" s="142" t="str">
        <f t="shared" ref="V215" si="2856">IF($A215="","",IF(U215="","",IF($K$4="Media aritmética",(U215&lt;=$B215)*($G$5/$B$5)+(U215&gt;$B215)*0,IF(ROUND(AVERAGE($C215,$E215,$G215,$I215,$K215,$M215,$O215,$Q215,$S215,$U215,$W215,$Y215,$AA215,$AC215,$AE215),2)-$B215/2&lt;=U215,IF(ROUND(AVERAGE($C215,$E215,$G215,$I215,$K215,$M215,$O215,$Q215,$S215,$U215,$W215,$Y215,$AA215,$AC215,$AE215),2)+$B215/2&gt;U215,($G$5/$B$5),0),0))))</f>
        <v/>
      </c>
      <c r="W215" s="141" t="str">
        <f>IF($W$8="Habilitado",IF($A215="","",ROUND(VLOOKUP($A215,'Presupuesto Consolidado'!#REF!,6,FALSE),2)),"")</f>
        <v/>
      </c>
      <c r="X215" s="142" t="str">
        <f t="shared" ref="X215" si="2857">IF($A215="","",IF(W215="","",IF($K$4="Media aritmética",(W215&lt;=$B215)*($G$5/$B$5)+(W215&gt;$B215)*0,IF(ROUND(AVERAGE($C215,$E215,$G215,$I215,$K215,$M215,$O215,$Q215,$S215,$U215,$W215,$Y215,$AA215,$AC215,$AE215),2)-$B215/2&lt;=W215,IF(ROUND(AVERAGE($C215,$E215,$G215,$I215,$K215,$M215,$O215,$Q215,$S215,$U215,$W215,$Y215,$AA215,$AC215,$AE215),2)+$B215/2&gt;W215,($G$5/$B$5),0),0))))</f>
        <v/>
      </c>
      <c r="Y215" s="141" t="str">
        <f>IF($Y$8="Habilitado",IF($A215="","",ROUND(VLOOKUP($A215,'Presupuesto Consolidado'!#REF!,6,FALSE),2)),"")</f>
        <v/>
      </c>
      <c r="Z215" s="142" t="str">
        <f t="shared" ref="Z215" si="2858">IF($A215="","",IF(Y215="","",IF($K$4="Media aritmética",(Y215&lt;=$B215)*($G$5/$B$5)+(Y215&gt;$B215)*0,IF(ROUND(AVERAGE($C215,$E215,$G215,$I215,$K215,$M215,$O215,$Q215,$S215,$U215,$W215,$Y215,$AA215,$AC215,$AE215),2)-$B215/2&lt;=Y215,IF(ROUND(AVERAGE($C215,$E215,$G215,$I215,$K215,$M215,$O215,$Q215,$S215,$U215,$W215,$Y215,$AA215,$AC215,$AE215),2)+$B215/2&gt;Y215,($G$5/$B$5),0),0))))</f>
        <v/>
      </c>
      <c r="AA215" s="141" t="str">
        <f>IF($AA$8="Habilitado",IF($A215="","",ROUND(VLOOKUP($A215,'Presupuesto Consolidado'!#REF!,6,FALSE),2)),"")</f>
        <v/>
      </c>
      <c r="AB215" s="142" t="str">
        <f t="shared" ref="AB215" si="2859">IF($A215="","",IF(AA215="","",IF($K$4="Media aritmética",(AA215&lt;=$B215)*($G$5/$B$5)+(AA215&gt;$B215)*0,IF(ROUND(AVERAGE($C215,$E215,$G215,$I215,$K215,$M215,$O215,$Q215,$S215,$U215,$W215,$Y215,$AA215,$AC215,$AE215),2)-$B215/2&lt;=AA215,IF(ROUND(AVERAGE($C215,$E215,$G215,$I215,$K215,$M215,$O215,$Q215,$S215,$U215,$W215,$Y215,$AA215,$AC215,$AE215),2)+$B215/2&gt;AA215,($G$5/$B$5),0),0))))</f>
        <v/>
      </c>
      <c r="AC215" s="141" t="str">
        <f>IF($AC$8="Habilitado",IF($A215="","",ROUND(VLOOKUP($A215,'Presupuesto Consolidado'!#REF!,6,FALSE),2)),"")</f>
        <v/>
      </c>
      <c r="AD215" s="142" t="str">
        <f t="shared" ref="AD215" si="2860">IF($A215="","",IF(AC215="","",IF($K$4="Media aritmética",(AC215&lt;=$B215)*($G$5/$B$5)+(AC215&gt;$B215)*0,IF(ROUND(AVERAGE($C215,$E215,$G215,$I215,$K215,$M215,$O215,$Q215,$S215,$U215,$W215,$Y215,$AA215,$AC215,$AE215),2)-$B215/2&lt;=AC215,IF(ROUND(AVERAGE($C215,$E215,$G215,$I215,$K215,$M215,$O215,$Q215,$S215,$U215,$W215,$Y215,$AA215,$AC215,$AE215),2)+$B215/2&gt;AC215,($G$5/$B$5),0),0))))</f>
        <v/>
      </c>
      <c r="AE215" s="141" t="str">
        <f>IF($AE$8="Habilitado",IF($A215="","",ROUND(VLOOKUP($A215,'Presupuesto Consolidado'!#REF!,6,FALSE),2)),"")</f>
        <v/>
      </c>
      <c r="AF215" s="142" t="str">
        <f t="shared" ref="AF215" si="2861">IF($A215="","",IF(AE215="","",IF($K$4="Media aritmética",(AE215&lt;=$B215)*($G$5/$B$5)+(AE215&gt;$B215)*0,IF(ROUND(AVERAGE($C215,$E215,$G215,$I215,$K215,$M215,$O215,$Q215,$S215,$U215,$W215,$Y215,$AA215,$AC215,$AE215),2)-$B215/2&lt;=AE215,IF(ROUND(AVERAGE($C215,$E215,$G215,$I215,$K215,$M215,$O215,$Q215,$S215,$U215,$W215,$Y215,$AA215,$AC215,$AE215),2)+$B215/2&gt;AE215,($G$5/$B$5),0),0))))</f>
        <v/>
      </c>
    </row>
    <row r="216" spans="1:32" s="135" customFormat="1" ht="21" customHeight="1">
      <c r="A216" s="132" t="str">
        <f>+'Presupuesto Consolidado'!A254</f>
        <v>13.9.2</v>
      </c>
      <c r="B216" s="140">
        <f t="shared" ref="B216" si="2862">IF(A216="","",IF($K$4="Media aritmética",ROUND(AVERAGE(C216,E216,G216,I216,K216,M216,O216,Q216,S216,U216,W216,Y216,AA216,AC216,AE216),2),ROUND(_xlfn.STDEV.P(C216,E216,G216,I216,K216,M216,O216,Q216,S216,U216,W216,Y216,AA216,AC216,AE216),2)))</f>
        <v>621000</v>
      </c>
      <c r="C216" s="141">
        <f>IF($C$8="Habilitado",IF($A216="","",ROUND(VLOOKUP($A216,'Presupuesto Consolidado'!$A$9:$F$600,6,FALSE),2)),"")</f>
        <v>621000</v>
      </c>
      <c r="D216" s="142">
        <f t="shared" ref="D216" si="2863">IF($A216="","",IF(C216="","",IF($K$4="Media aritmética",(C216&lt;=$B216)*($G$5/$B$5)+(C216&gt;$B216)*0,IF(ROUND(AVERAGE($C216,$E216,$G216,$I216,$K216,$M216,$O216,$Q216,$S216,$U216,$W216,$Y216,$AA216,$AC216,$AE216),2)-$B216/2&lt;=C216,IF(ROUND(AVERAGE($C216,$E216,$G216,$I216,$K216,$M216,$O216,$Q216,$S216,$U216,$W216,$Y216,$AA216,$AC216,$AE216),2)+$B216/2&gt;C216,($G$5/$B$5),0),0))))</f>
        <v>0.45714285714285713</v>
      </c>
      <c r="E216" s="141" t="str">
        <f>IF($E$8="Habilitado",IF($A216="","",ROUND(VLOOKUP($A216,'Presupuesto Consolidado'!$I$9:$N$600,6,FALSE),2)),"")</f>
        <v/>
      </c>
      <c r="F216" s="142" t="str">
        <f t="shared" ref="F216" si="2864">IF($A216="","",IF(E216="","",IF($K$4="Media aritmética",(E216&lt;=$B216)*($G$5/$B$5)+(E216&gt;$B216)*0,IF(ROUND(AVERAGE($C216,$E216,$G216,$I216,$K216,$M216,$O216,$Q216,$S216,$U216,$W216,$Y216,$AA216,$AC216,$AE216),2)-$B216/2&lt;=E216,IF(ROUND(AVERAGE($C216,$E216,$G216,$I216,$K216,$M216,$O216,$Q216,$S216,$U216,$W216,$Y216,$AA216,$AC216,$AE216),2)+$B216/2&gt;E216,($G$5/$B$5),0),0))))</f>
        <v/>
      </c>
      <c r="G216" s="141" t="str">
        <f>IF($G$8="Habilitado",IF($A216="","",ROUND(VLOOKUP($A216,'Presupuesto Consolidado'!$Q$9:$V$600,6,FALSE),2)),"")</f>
        <v/>
      </c>
      <c r="H216" s="142" t="str">
        <f t="shared" ref="H216" si="2865">IF($A216="","",IF(G216="","",IF($K$4="Media aritmética",(G216&lt;=$B216)*($G$5/$B$5)+(G216&gt;$B216)*0,IF(ROUND(AVERAGE($C216,$E216,$G216,$I216,$K216,$M216,$O216,$Q216,$S216,$U216,$W216,$Y216,$AA216,$AC216,$AE216),2)-$B216/2&lt;=G216,IF(ROUND(AVERAGE($C216,$E216,$G216,$I216,$K216,$M216,$O216,$Q216,$S216,$U216,$W216,$Y216,$AA216,$AC216,$AE216),2)+$B216/2&gt;G216,($G$5/$B$5),0),0))))</f>
        <v/>
      </c>
      <c r="I216" s="141" t="str">
        <f>IF($I$8="Habilitado",IF($A216="","",ROUND(VLOOKUP($A216,'Presupuesto Consolidado'!$Y$9:$AD$600,6,FALSE),2)),"")</f>
        <v/>
      </c>
      <c r="J216" s="142" t="str">
        <f t="shared" ref="J216" si="2866">IF($A216="","",IF(I216="","",IF($K$4="Media aritmética",(I216&lt;=$B216)*($G$5/$B$5)+(I216&gt;$B216)*0,IF(ROUND(AVERAGE($C216,$E216,$G216,$I216,$K216,$M216,$O216,$Q216,$S216,$U216,$W216,$Y216,$AA216,$AC216,$AE216),2)-$B216/2&lt;=I216,IF(ROUND(AVERAGE($C216,$E216,$G216,$I216,$K216,$M216,$O216,$Q216,$S216,$U216,$W216,$Y216,$AA216,$AC216,$AE216),2)+$B216/2&gt;I216,($G$5/$B$5),0),0))))</f>
        <v/>
      </c>
      <c r="K216" s="141" t="str">
        <f>IF($K$8="Habilitado",IF($A216="","",ROUND(VLOOKUP($A216,'Presupuesto Consolidado'!#REF!,6,FALSE),2)),"")</f>
        <v/>
      </c>
      <c r="L216" s="142" t="str">
        <f t="shared" ref="L216" si="2867">IF($A216="","",IF(K216="","",IF($K$4="Media aritmética",(K216&lt;=$B216)*($G$5/$B$5)+(K216&gt;$B216)*0,IF(ROUND(AVERAGE($C216,$E216,$G216,$I216,$K216,$M216,$O216,$Q216,$S216,$U216,$W216,$Y216,$AA216,$AC216,$AE216),2)-$B216/2&lt;=K216,IF(ROUND(AVERAGE($C216,$E216,$G216,$I216,$K216,$M216,$O216,$Q216,$S216,$U216,$W216,$Y216,$AA216,$AC216,$AE216),2)+$B216/2&gt;K216,($G$5/$B$5),0),0))))</f>
        <v/>
      </c>
      <c r="M216" s="141" t="str">
        <f>IF($M$8="Habilitado",IF($A216="","",ROUND(VLOOKUP($A216,'Presupuesto Consolidado'!#REF!,6,FALSE),2)),"")</f>
        <v/>
      </c>
      <c r="N216" s="142" t="str">
        <f t="shared" ref="N216" si="2868">IF($A216="","",IF(M216="","",IF($K$4="Media aritmética",(M216&lt;=$B216)*($G$5/$B$5)+(M216&gt;$B216)*0,IF(ROUND(AVERAGE($C216,$E216,$G216,$I216,$K216,$M216,$O216,$Q216,$S216,$U216,$W216,$Y216,$AA216,$AC216,$AE216),2)-$B216/2&lt;=M216,IF(ROUND(AVERAGE($C216,$E216,$G216,$I216,$K216,$M216,$O216,$Q216,$S216,$U216,$W216,$Y216,$AA216,$AC216,$AE216),2)+$B216/2&gt;M216,($G$5/$B$5),0),0))))</f>
        <v/>
      </c>
      <c r="O216" s="141" t="str">
        <f>IF($O$8="Habilitado",IF($A216="","",ROUND(VLOOKUP($A216,'Presupuesto Consolidado'!#REF!,6,FALSE),2)),"")</f>
        <v/>
      </c>
      <c r="P216" s="142" t="str">
        <f t="shared" ref="P216" si="2869">IF($A216="","",IF(O216="","",IF($K$4="Media aritmética",(O216&lt;=$B216)*($G$5/$B$5)+(O216&gt;$B216)*0,IF(ROUND(AVERAGE($C216,$E216,$G216,$I216,$K216,$M216,$O216,$Q216,$S216,$U216,$W216,$Y216,$AA216,$AC216,$AE216),2)-$B216/2&lt;=O216,IF(ROUND(AVERAGE($C216,$E216,$G216,$I216,$K216,$M216,$O216,$Q216,$S216,$U216,$W216,$Y216,$AA216,$AC216,$AE216),2)+$B216/2&gt;O216,($G$5/$B$5),0),0))))</f>
        <v/>
      </c>
      <c r="Q216" s="141" t="str">
        <f>IF($Q$8="Habilitado",IF($A216="","",ROUND(VLOOKUP($A216,'Presupuesto Consolidado'!#REF!,6,FALSE),2)),"")</f>
        <v/>
      </c>
      <c r="R216" s="142" t="str">
        <f t="shared" ref="R216" si="2870">IF($A216="","",IF(Q216="","",IF($K$4="Media aritmética",(Q216&lt;=$B216)*($G$5/$B$5)+(Q216&gt;$B216)*0,IF(ROUND(AVERAGE($C216,$E216,$G216,$I216,$K216,$M216,$O216,$Q216,$S216,$U216,$W216,$Y216,$AA216,$AC216,$AE216),2)-$B216/2&lt;=Q216,IF(ROUND(AVERAGE($C216,$E216,$G216,$I216,$K216,$M216,$O216,$Q216,$S216,$U216,$W216,$Y216,$AA216,$AC216,$AE216),2)+$B216/2&gt;Q216,($G$5/$B$5),0),0))))</f>
        <v/>
      </c>
      <c r="S216" s="141" t="str">
        <f>IF($S$8="Habilitado",IF($A216="","",ROUND(VLOOKUP($A216,'Presupuesto Consolidado'!#REF!,6,FALSE),2)),"")</f>
        <v/>
      </c>
      <c r="T216" s="142" t="str">
        <f t="shared" ref="T216" si="2871">IF($A216="","",IF(S216="","",IF($K$4="Media aritmética",(S216&lt;=$B216)*($G$5/$B$5)+(S216&gt;$B216)*0,IF(ROUND(AVERAGE($C216,$E216,$G216,$I216,$K216,$M216,$O216,$Q216,$S216,$U216,$W216,$Y216,$AA216,$AC216,$AE216),2)-$B216/2&lt;=S216,IF(ROUND(AVERAGE($C216,$E216,$G216,$I216,$K216,$M216,$O216,$Q216,$S216,$U216,$W216,$Y216,$AA216,$AC216,$AE216),2)+$B216/2&gt;S216,($G$5/$B$5),0),0))))</f>
        <v/>
      </c>
      <c r="U216" s="141" t="str">
        <f>IF($U$8="Habilitado",IF($A216="","",ROUND(VLOOKUP($A216,'Presupuesto Consolidado'!#REF!,6,FALSE),2)),"")</f>
        <v/>
      </c>
      <c r="V216" s="142" t="str">
        <f t="shared" ref="V216" si="2872">IF($A216="","",IF(U216="","",IF($K$4="Media aritmética",(U216&lt;=$B216)*($G$5/$B$5)+(U216&gt;$B216)*0,IF(ROUND(AVERAGE($C216,$E216,$G216,$I216,$K216,$M216,$O216,$Q216,$S216,$U216,$W216,$Y216,$AA216,$AC216,$AE216),2)-$B216/2&lt;=U216,IF(ROUND(AVERAGE($C216,$E216,$G216,$I216,$K216,$M216,$O216,$Q216,$S216,$U216,$W216,$Y216,$AA216,$AC216,$AE216),2)+$B216/2&gt;U216,($G$5/$B$5),0),0))))</f>
        <v/>
      </c>
      <c r="W216" s="141" t="str">
        <f>IF($W$8="Habilitado",IF($A216="","",ROUND(VLOOKUP($A216,'Presupuesto Consolidado'!#REF!,6,FALSE),2)),"")</f>
        <v/>
      </c>
      <c r="X216" s="142" t="str">
        <f t="shared" ref="X216" si="2873">IF($A216="","",IF(W216="","",IF($K$4="Media aritmética",(W216&lt;=$B216)*($G$5/$B$5)+(W216&gt;$B216)*0,IF(ROUND(AVERAGE($C216,$E216,$G216,$I216,$K216,$M216,$O216,$Q216,$S216,$U216,$W216,$Y216,$AA216,$AC216,$AE216),2)-$B216/2&lt;=W216,IF(ROUND(AVERAGE($C216,$E216,$G216,$I216,$K216,$M216,$O216,$Q216,$S216,$U216,$W216,$Y216,$AA216,$AC216,$AE216),2)+$B216/2&gt;W216,($G$5/$B$5),0),0))))</f>
        <v/>
      </c>
      <c r="Y216" s="141" t="str">
        <f>IF($Y$8="Habilitado",IF($A216="","",ROUND(VLOOKUP($A216,'Presupuesto Consolidado'!#REF!,6,FALSE),2)),"")</f>
        <v/>
      </c>
      <c r="Z216" s="142" t="str">
        <f t="shared" ref="Z216" si="2874">IF($A216="","",IF(Y216="","",IF($K$4="Media aritmética",(Y216&lt;=$B216)*($G$5/$B$5)+(Y216&gt;$B216)*0,IF(ROUND(AVERAGE($C216,$E216,$G216,$I216,$K216,$M216,$O216,$Q216,$S216,$U216,$W216,$Y216,$AA216,$AC216,$AE216),2)-$B216/2&lt;=Y216,IF(ROUND(AVERAGE($C216,$E216,$G216,$I216,$K216,$M216,$O216,$Q216,$S216,$U216,$W216,$Y216,$AA216,$AC216,$AE216),2)+$B216/2&gt;Y216,($G$5/$B$5),0),0))))</f>
        <v/>
      </c>
      <c r="AA216" s="141" t="str">
        <f>IF($AA$8="Habilitado",IF($A216="","",ROUND(VLOOKUP($A216,'Presupuesto Consolidado'!#REF!,6,FALSE),2)),"")</f>
        <v/>
      </c>
      <c r="AB216" s="142" t="str">
        <f t="shared" ref="AB216" si="2875">IF($A216="","",IF(AA216="","",IF($K$4="Media aritmética",(AA216&lt;=$B216)*($G$5/$B$5)+(AA216&gt;$B216)*0,IF(ROUND(AVERAGE($C216,$E216,$G216,$I216,$K216,$M216,$O216,$Q216,$S216,$U216,$W216,$Y216,$AA216,$AC216,$AE216),2)-$B216/2&lt;=AA216,IF(ROUND(AVERAGE($C216,$E216,$G216,$I216,$K216,$M216,$O216,$Q216,$S216,$U216,$W216,$Y216,$AA216,$AC216,$AE216),2)+$B216/2&gt;AA216,($G$5/$B$5),0),0))))</f>
        <v/>
      </c>
      <c r="AC216" s="141" t="str">
        <f>IF($AC$8="Habilitado",IF($A216="","",ROUND(VLOOKUP($A216,'Presupuesto Consolidado'!#REF!,6,FALSE),2)),"")</f>
        <v/>
      </c>
      <c r="AD216" s="142" t="str">
        <f t="shared" ref="AD216" si="2876">IF($A216="","",IF(AC216="","",IF($K$4="Media aritmética",(AC216&lt;=$B216)*($G$5/$B$5)+(AC216&gt;$B216)*0,IF(ROUND(AVERAGE($C216,$E216,$G216,$I216,$K216,$M216,$O216,$Q216,$S216,$U216,$W216,$Y216,$AA216,$AC216,$AE216),2)-$B216/2&lt;=AC216,IF(ROUND(AVERAGE($C216,$E216,$G216,$I216,$K216,$M216,$O216,$Q216,$S216,$U216,$W216,$Y216,$AA216,$AC216,$AE216),2)+$B216/2&gt;AC216,($G$5/$B$5),0),0))))</f>
        <v/>
      </c>
      <c r="AE216" s="141" t="str">
        <f>IF($AE$8="Habilitado",IF($A216="","",ROUND(VLOOKUP($A216,'Presupuesto Consolidado'!#REF!,6,FALSE),2)),"")</f>
        <v/>
      </c>
      <c r="AF216" s="142" t="str">
        <f t="shared" ref="AF216" si="2877">IF($A216="","",IF(AE216="","",IF($K$4="Media aritmética",(AE216&lt;=$B216)*($G$5/$B$5)+(AE216&gt;$B216)*0,IF(ROUND(AVERAGE($C216,$E216,$G216,$I216,$K216,$M216,$O216,$Q216,$S216,$U216,$W216,$Y216,$AA216,$AC216,$AE216),2)-$B216/2&lt;=AE216,IF(ROUND(AVERAGE($C216,$E216,$G216,$I216,$K216,$M216,$O216,$Q216,$S216,$U216,$W216,$Y216,$AA216,$AC216,$AE216),2)+$B216/2&gt;AE216,($G$5/$B$5),0),0))))</f>
        <v/>
      </c>
    </row>
    <row r="217" spans="1:32" s="135" customFormat="1" ht="21" customHeight="1">
      <c r="A217" s="132" t="str">
        <f>+'Presupuesto Consolidado'!A255</f>
        <v>13.9.3</v>
      </c>
      <c r="B217" s="140">
        <f t="shared" ref="B217" si="2878">IF(A217="","",IF($K$4="Media aritmética",ROUND(AVERAGE(C217,E217,G217,I217,K217,M217,O217,Q217,S217,U217,W217,Y217,AA217,AC217,AE217),2),ROUND(_xlfn.STDEV.P(C217,E217,G217,I217,K217,M217,O217,Q217,S217,U217,W217,Y217,AA217,AC217,AE217),2)))</f>
        <v>310500</v>
      </c>
      <c r="C217" s="141">
        <f>IF($C$8="Habilitado",IF($A217="","",ROUND(VLOOKUP($A217,'Presupuesto Consolidado'!$A$9:$F$600,6,FALSE),2)),"")</f>
        <v>310500</v>
      </c>
      <c r="D217" s="142">
        <f t="shared" ref="D217" si="2879">IF($A217="","",IF(C217="","",IF($K$4="Media aritmética",(C217&lt;=$B217)*($G$5/$B$5)+(C217&gt;$B217)*0,IF(ROUND(AVERAGE($C217,$E217,$G217,$I217,$K217,$M217,$O217,$Q217,$S217,$U217,$W217,$Y217,$AA217,$AC217,$AE217),2)-$B217/2&lt;=C217,IF(ROUND(AVERAGE($C217,$E217,$G217,$I217,$K217,$M217,$O217,$Q217,$S217,$U217,$W217,$Y217,$AA217,$AC217,$AE217),2)+$B217/2&gt;C217,($G$5/$B$5),0),0))))</f>
        <v>0.45714285714285713</v>
      </c>
      <c r="E217" s="141" t="str">
        <f>IF($E$8="Habilitado",IF($A217="","",ROUND(VLOOKUP($A217,'Presupuesto Consolidado'!$I$9:$N$600,6,FALSE),2)),"")</f>
        <v/>
      </c>
      <c r="F217" s="142" t="str">
        <f t="shared" ref="F217" si="2880">IF($A217="","",IF(E217="","",IF($K$4="Media aritmética",(E217&lt;=$B217)*($G$5/$B$5)+(E217&gt;$B217)*0,IF(ROUND(AVERAGE($C217,$E217,$G217,$I217,$K217,$M217,$O217,$Q217,$S217,$U217,$W217,$Y217,$AA217,$AC217,$AE217),2)-$B217/2&lt;=E217,IF(ROUND(AVERAGE($C217,$E217,$G217,$I217,$K217,$M217,$O217,$Q217,$S217,$U217,$W217,$Y217,$AA217,$AC217,$AE217),2)+$B217/2&gt;E217,($G$5/$B$5),0),0))))</f>
        <v/>
      </c>
      <c r="G217" s="141" t="str">
        <f>IF($G$8="Habilitado",IF($A217="","",ROUND(VLOOKUP($A217,'Presupuesto Consolidado'!$Q$9:$V$600,6,FALSE),2)),"")</f>
        <v/>
      </c>
      <c r="H217" s="142" t="str">
        <f t="shared" ref="H217" si="2881">IF($A217="","",IF(G217="","",IF($K$4="Media aritmética",(G217&lt;=$B217)*($G$5/$B$5)+(G217&gt;$B217)*0,IF(ROUND(AVERAGE($C217,$E217,$G217,$I217,$K217,$M217,$O217,$Q217,$S217,$U217,$W217,$Y217,$AA217,$AC217,$AE217),2)-$B217/2&lt;=G217,IF(ROUND(AVERAGE($C217,$E217,$G217,$I217,$K217,$M217,$O217,$Q217,$S217,$U217,$W217,$Y217,$AA217,$AC217,$AE217),2)+$B217/2&gt;G217,($G$5/$B$5),0),0))))</f>
        <v/>
      </c>
      <c r="I217" s="141" t="str">
        <f>IF($I$8="Habilitado",IF($A217="","",ROUND(VLOOKUP($A217,'Presupuesto Consolidado'!$Y$9:$AD$600,6,FALSE),2)),"")</f>
        <v/>
      </c>
      <c r="J217" s="142" t="str">
        <f t="shared" ref="J217" si="2882">IF($A217="","",IF(I217="","",IF($K$4="Media aritmética",(I217&lt;=$B217)*($G$5/$B$5)+(I217&gt;$B217)*0,IF(ROUND(AVERAGE($C217,$E217,$G217,$I217,$K217,$M217,$O217,$Q217,$S217,$U217,$W217,$Y217,$AA217,$AC217,$AE217),2)-$B217/2&lt;=I217,IF(ROUND(AVERAGE($C217,$E217,$G217,$I217,$K217,$M217,$O217,$Q217,$S217,$U217,$W217,$Y217,$AA217,$AC217,$AE217),2)+$B217/2&gt;I217,($G$5/$B$5),0),0))))</f>
        <v/>
      </c>
      <c r="K217" s="141" t="str">
        <f>IF($K$8="Habilitado",IF($A217="","",ROUND(VLOOKUP($A217,'Presupuesto Consolidado'!#REF!,6,FALSE),2)),"")</f>
        <v/>
      </c>
      <c r="L217" s="142" t="str">
        <f t="shared" ref="L217" si="2883">IF($A217="","",IF(K217="","",IF($K$4="Media aritmética",(K217&lt;=$B217)*($G$5/$B$5)+(K217&gt;$B217)*0,IF(ROUND(AVERAGE($C217,$E217,$G217,$I217,$K217,$M217,$O217,$Q217,$S217,$U217,$W217,$Y217,$AA217,$AC217,$AE217),2)-$B217/2&lt;=K217,IF(ROUND(AVERAGE($C217,$E217,$G217,$I217,$K217,$M217,$O217,$Q217,$S217,$U217,$W217,$Y217,$AA217,$AC217,$AE217),2)+$B217/2&gt;K217,($G$5/$B$5),0),0))))</f>
        <v/>
      </c>
      <c r="M217" s="141" t="str">
        <f>IF($M$8="Habilitado",IF($A217="","",ROUND(VLOOKUP($A217,'Presupuesto Consolidado'!#REF!,6,FALSE),2)),"")</f>
        <v/>
      </c>
      <c r="N217" s="142" t="str">
        <f t="shared" ref="N217" si="2884">IF($A217="","",IF(M217="","",IF($K$4="Media aritmética",(M217&lt;=$B217)*($G$5/$B$5)+(M217&gt;$B217)*0,IF(ROUND(AVERAGE($C217,$E217,$G217,$I217,$K217,$M217,$O217,$Q217,$S217,$U217,$W217,$Y217,$AA217,$AC217,$AE217),2)-$B217/2&lt;=M217,IF(ROUND(AVERAGE($C217,$E217,$G217,$I217,$K217,$M217,$O217,$Q217,$S217,$U217,$W217,$Y217,$AA217,$AC217,$AE217),2)+$B217/2&gt;M217,($G$5/$B$5),0),0))))</f>
        <v/>
      </c>
      <c r="O217" s="141" t="str">
        <f>IF($O$8="Habilitado",IF($A217="","",ROUND(VLOOKUP($A217,'Presupuesto Consolidado'!#REF!,6,FALSE),2)),"")</f>
        <v/>
      </c>
      <c r="P217" s="142" t="str">
        <f t="shared" ref="P217" si="2885">IF($A217="","",IF(O217="","",IF($K$4="Media aritmética",(O217&lt;=$B217)*($G$5/$B$5)+(O217&gt;$B217)*0,IF(ROUND(AVERAGE($C217,$E217,$G217,$I217,$K217,$M217,$O217,$Q217,$S217,$U217,$W217,$Y217,$AA217,$AC217,$AE217),2)-$B217/2&lt;=O217,IF(ROUND(AVERAGE($C217,$E217,$G217,$I217,$K217,$M217,$O217,$Q217,$S217,$U217,$W217,$Y217,$AA217,$AC217,$AE217),2)+$B217/2&gt;O217,($G$5/$B$5),0),0))))</f>
        <v/>
      </c>
      <c r="Q217" s="141" t="str">
        <f>IF($Q$8="Habilitado",IF($A217="","",ROUND(VLOOKUP($A217,'Presupuesto Consolidado'!#REF!,6,FALSE),2)),"")</f>
        <v/>
      </c>
      <c r="R217" s="142" t="str">
        <f t="shared" ref="R217" si="2886">IF($A217="","",IF(Q217="","",IF($K$4="Media aritmética",(Q217&lt;=$B217)*($G$5/$B$5)+(Q217&gt;$B217)*0,IF(ROUND(AVERAGE($C217,$E217,$G217,$I217,$K217,$M217,$O217,$Q217,$S217,$U217,$W217,$Y217,$AA217,$AC217,$AE217),2)-$B217/2&lt;=Q217,IF(ROUND(AVERAGE($C217,$E217,$G217,$I217,$K217,$M217,$O217,$Q217,$S217,$U217,$W217,$Y217,$AA217,$AC217,$AE217),2)+$B217/2&gt;Q217,($G$5/$B$5),0),0))))</f>
        <v/>
      </c>
      <c r="S217" s="141" t="str">
        <f>IF($S$8="Habilitado",IF($A217="","",ROUND(VLOOKUP($A217,'Presupuesto Consolidado'!#REF!,6,FALSE),2)),"")</f>
        <v/>
      </c>
      <c r="T217" s="142" t="str">
        <f t="shared" ref="T217" si="2887">IF($A217="","",IF(S217="","",IF($K$4="Media aritmética",(S217&lt;=$B217)*($G$5/$B$5)+(S217&gt;$B217)*0,IF(ROUND(AVERAGE($C217,$E217,$G217,$I217,$K217,$M217,$O217,$Q217,$S217,$U217,$W217,$Y217,$AA217,$AC217,$AE217),2)-$B217/2&lt;=S217,IF(ROUND(AVERAGE($C217,$E217,$G217,$I217,$K217,$M217,$O217,$Q217,$S217,$U217,$W217,$Y217,$AA217,$AC217,$AE217),2)+$B217/2&gt;S217,($G$5/$B$5),0),0))))</f>
        <v/>
      </c>
      <c r="U217" s="141" t="str">
        <f>IF($U$8="Habilitado",IF($A217="","",ROUND(VLOOKUP($A217,'Presupuesto Consolidado'!#REF!,6,FALSE),2)),"")</f>
        <v/>
      </c>
      <c r="V217" s="142" t="str">
        <f t="shared" ref="V217" si="2888">IF($A217="","",IF(U217="","",IF($K$4="Media aritmética",(U217&lt;=$B217)*($G$5/$B$5)+(U217&gt;$B217)*0,IF(ROUND(AVERAGE($C217,$E217,$G217,$I217,$K217,$M217,$O217,$Q217,$S217,$U217,$W217,$Y217,$AA217,$AC217,$AE217),2)-$B217/2&lt;=U217,IF(ROUND(AVERAGE($C217,$E217,$G217,$I217,$K217,$M217,$O217,$Q217,$S217,$U217,$W217,$Y217,$AA217,$AC217,$AE217),2)+$B217/2&gt;U217,($G$5/$B$5),0),0))))</f>
        <v/>
      </c>
      <c r="W217" s="141" t="str">
        <f>IF($W$8="Habilitado",IF($A217="","",ROUND(VLOOKUP($A217,'Presupuesto Consolidado'!#REF!,6,FALSE),2)),"")</f>
        <v/>
      </c>
      <c r="X217" s="142" t="str">
        <f t="shared" ref="X217" si="2889">IF($A217="","",IF(W217="","",IF($K$4="Media aritmética",(W217&lt;=$B217)*($G$5/$B$5)+(W217&gt;$B217)*0,IF(ROUND(AVERAGE($C217,$E217,$G217,$I217,$K217,$M217,$O217,$Q217,$S217,$U217,$W217,$Y217,$AA217,$AC217,$AE217),2)-$B217/2&lt;=W217,IF(ROUND(AVERAGE($C217,$E217,$G217,$I217,$K217,$M217,$O217,$Q217,$S217,$U217,$W217,$Y217,$AA217,$AC217,$AE217),2)+$B217/2&gt;W217,($G$5/$B$5),0),0))))</f>
        <v/>
      </c>
      <c r="Y217" s="141" t="str">
        <f>IF($Y$8="Habilitado",IF($A217="","",ROUND(VLOOKUP($A217,'Presupuesto Consolidado'!#REF!,6,FALSE),2)),"")</f>
        <v/>
      </c>
      <c r="Z217" s="142" t="str">
        <f t="shared" ref="Z217" si="2890">IF($A217="","",IF(Y217="","",IF($K$4="Media aritmética",(Y217&lt;=$B217)*($G$5/$B$5)+(Y217&gt;$B217)*0,IF(ROUND(AVERAGE($C217,$E217,$G217,$I217,$K217,$M217,$O217,$Q217,$S217,$U217,$W217,$Y217,$AA217,$AC217,$AE217),2)-$B217/2&lt;=Y217,IF(ROUND(AVERAGE($C217,$E217,$G217,$I217,$K217,$M217,$O217,$Q217,$S217,$U217,$W217,$Y217,$AA217,$AC217,$AE217),2)+$B217/2&gt;Y217,($G$5/$B$5),0),0))))</f>
        <v/>
      </c>
      <c r="AA217" s="141" t="str">
        <f>IF($AA$8="Habilitado",IF($A217="","",ROUND(VLOOKUP($A217,'Presupuesto Consolidado'!#REF!,6,FALSE),2)),"")</f>
        <v/>
      </c>
      <c r="AB217" s="142" t="str">
        <f t="shared" ref="AB217" si="2891">IF($A217="","",IF(AA217="","",IF($K$4="Media aritmética",(AA217&lt;=$B217)*($G$5/$B$5)+(AA217&gt;$B217)*0,IF(ROUND(AVERAGE($C217,$E217,$G217,$I217,$K217,$M217,$O217,$Q217,$S217,$U217,$W217,$Y217,$AA217,$AC217,$AE217),2)-$B217/2&lt;=AA217,IF(ROUND(AVERAGE($C217,$E217,$G217,$I217,$K217,$M217,$O217,$Q217,$S217,$U217,$W217,$Y217,$AA217,$AC217,$AE217),2)+$B217/2&gt;AA217,($G$5/$B$5),0),0))))</f>
        <v/>
      </c>
      <c r="AC217" s="141" t="str">
        <f>IF($AC$8="Habilitado",IF($A217="","",ROUND(VLOOKUP($A217,'Presupuesto Consolidado'!#REF!,6,FALSE),2)),"")</f>
        <v/>
      </c>
      <c r="AD217" s="142" t="str">
        <f t="shared" ref="AD217" si="2892">IF($A217="","",IF(AC217="","",IF($K$4="Media aritmética",(AC217&lt;=$B217)*($G$5/$B$5)+(AC217&gt;$B217)*0,IF(ROUND(AVERAGE($C217,$E217,$G217,$I217,$K217,$M217,$O217,$Q217,$S217,$U217,$W217,$Y217,$AA217,$AC217,$AE217),2)-$B217/2&lt;=AC217,IF(ROUND(AVERAGE($C217,$E217,$G217,$I217,$K217,$M217,$O217,$Q217,$S217,$U217,$W217,$Y217,$AA217,$AC217,$AE217),2)+$B217/2&gt;AC217,($G$5/$B$5),0),0))))</f>
        <v/>
      </c>
      <c r="AE217" s="141" t="str">
        <f>IF($AE$8="Habilitado",IF($A217="","",ROUND(VLOOKUP($A217,'Presupuesto Consolidado'!#REF!,6,FALSE),2)),"")</f>
        <v/>
      </c>
      <c r="AF217" s="142" t="str">
        <f t="shared" ref="AF217" si="2893">IF($A217="","",IF(AE217="","",IF($K$4="Media aritmética",(AE217&lt;=$B217)*($G$5/$B$5)+(AE217&gt;$B217)*0,IF(ROUND(AVERAGE($C217,$E217,$G217,$I217,$K217,$M217,$O217,$Q217,$S217,$U217,$W217,$Y217,$AA217,$AC217,$AE217),2)-$B217/2&lt;=AE217,IF(ROUND(AVERAGE($C217,$E217,$G217,$I217,$K217,$M217,$O217,$Q217,$S217,$U217,$W217,$Y217,$AA217,$AC217,$AE217),2)+$B217/2&gt;AE217,($G$5/$B$5),0),0))))</f>
        <v/>
      </c>
    </row>
    <row r="218" spans="1:32" s="135" customFormat="1" ht="21" customHeight="1">
      <c r="A218" s="132" t="str">
        <f>+'Presupuesto Consolidado'!A256</f>
        <v>13.9.4</v>
      </c>
      <c r="B218" s="140">
        <f t="shared" ref="B218" si="2894">IF(A218="","",IF($K$4="Media aritmética",ROUND(AVERAGE(C218,E218,G218,I218,K218,M218,O218,Q218,S218,U218,W218,Y218,AA218,AC218,AE218),2),ROUND(_xlfn.STDEV.P(C218,E218,G218,I218,K218,M218,O218,Q218,S218,U218,W218,Y218,AA218,AC218,AE218),2)))</f>
        <v>248400</v>
      </c>
      <c r="C218" s="141">
        <f>IF($C$8="Habilitado",IF($A218="","",ROUND(VLOOKUP($A218,'Presupuesto Consolidado'!$A$9:$F$600,6,FALSE),2)),"")</f>
        <v>248400</v>
      </c>
      <c r="D218" s="142">
        <f t="shared" ref="D218" si="2895">IF($A218="","",IF(C218="","",IF($K$4="Media aritmética",(C218&lt;=$B218)*($G$5/$B$5)+(C218&gt;$B218)*0,IF(ROUND(AVERAGE($C218,$E218,$G218,$I218,$K218,$M218,$O218,$Q218,$S218,$U218,$W218,$Y218,$AA218,$AC218,$AE218),2)-$B218/2&lt;=C218,IF(ROUND(AVERAGE($C218,$E218,$G218,$I218,$K218,$M218,$O218,$Q218,$S218,$U218,$W218,$Y218,$AA218,$AC218,$AE218),2)+$B218/2&gt;C218,($G$5/$B$5),0),0))))</f>
        <v>0.45714285714285713</v>
      </c>
      <c r="E218" s="141" t="str">
        <f>IF($E$8="Habilitado",IF($A218="","",ROUND(VLOOKUP($A218,'Presupuesto Consolidado'!$I$9:$N$600,6,FALSE),2)),"")</f>
        <v/>
      </c>
      <c r="F218" s="142" t="str">
        <f t="shared" ref="F218" si="2896">IF($A218="","",IF(E218="","",IF($K$4="Media aritmética",(E218&lt;=$B218)*($G$5/$B$5)+(E218&gt;$B218)*0,IF(ROUND(AVERAGE($C218,$E218,$G218,$I218,$K218,$M218,$O218,$Q218,$S218,$U218,$W218,$Y218,$AA218,$AC218,$AE218),2)-$B218/2&lt;=E218,IF(ROUND(AVERAGE($C218,$E218,$G218,$I218,$K218,$M218,$O218,$Q218,$S218,$U218,$W218,$Y218,$AA218,$AC218,$AE218),2)+$B218/2&gt;E218,($G$5/$B$5),0),0))))</f>
        <v/>
      </c>
      <c r="G218" s="141" t="str">
        <f>IF($G$8="Habilitado",IF($A218="","",ROUND(VLOOKUP($A218,'Presupuesto Consolidado'!$Q$9:$V$600,6,FALSE),2)),"")</f>
        <v/>
      </c>
      <c r="H218" s="142" t="str">
        <f t="shared" ref="H218" si="2897">IF($A218="","",IF(G218="","",IF($K$4="Media aritmética",(G218&lt;=$B218)*($G$5/$B$5)+(G218&gt;$B218)*0,IF(ROUND(AVERAGE($C218,$E218,$G218,$I218,$K218,$M218,$O218,$Q218,$S218,$U218,$W218,$Y218,$AA218,$AC218,$AE218),2)-$B218/2&lt;=G218,IF(ROUND(AVERAGE($C218,$E218,$G218,$I218,$K218,$M218,$O218,$Q218,$S218,$U218,$W218,$Y218,$AA218,$AC218,$AE218),2)+$B218/2&gt;G218,($G$5/$B$5),0),0))))</f>
        <v/>
      </c>
      <c r="I218" s="141" t="str">
        <f>IF($I$8="Habilitado",IF($A218="","",ROUND(VLOOKUP($A218,'Presupuesto Consolidado'!$Y$9:$AD$600,6,FALSE),2)),"")</f>
        <v/>
      </c>
      <c r="J218" s="142" t="str">
        <f t="shared" ref="J218" si="2898">IF($A218="","",IF(I218="","",IF($K$4="Media aritmética",(I218&lt;=$B218)*($G$5/$B$5)+(I218&gt;$B218)*0,IF(ROUND(AVERAGE($C218,$E218,$G218,$I218,$K218,$M218,$O218,$Q218,$S218,$U218,$W218,$Y218,$AA218,$AC218,$AE218),2)-$B218/2&lt;=I218,IF(ROUND(AVERAGE($C218,$E218,$G218,$I218,$K218,$M218,$O218,$Q218,$S218,$U218,$W218,$Y218,$AA218,$AC218,$AE218),2)+$B218/2&gt;I218,($G$5/$B$5),0),0))))</f>
        <v/>
      </c>
      <c r="K218" s="141" t="str">
        <f>IF($K$8="Habilitado",IF($A218="","",ROUND(VLOOKUP($A218,'Presupuesto Consolidado'!#REF!,6,FALSE),2)),"")</f>
        <v/>
      </c>
      <c r="L218" s="142" t="str">
        <f t="shared" ref="L218" si="2899">IF($A218="","",IF(K218="","",IF($K$4="Media aritmética",(K218&lt;=$B218)*($G$5/$B$5)+(K218&gt;$B218)*0,IF(ROUND(AVERAGE($C218,$E218,$G218,$I218,$K218,$M218,$O218,$Q218,$S218,$U218,$W218,$Y218,$AA218,$AC218,$AE218),2)-$B218/2&lt;=K218,IF(ROUND(AVERAGE($C218,$E218,$G218,$I218,$K218,$M218,$O218,$Q218,$S218,$U218,$W218,$Y218,$AA218,$AC218,$AE218),2)+$B218/2&gt;K218,($G$5/$B$5),0),0))))</f>
        <v/>
      </c>
      <c r="M218" s="141" t="str">
        <f>IF($M$8="Habilitado",IF($A218="","",ROUND(VLOOKUP($A218,'Presupuesto Consolidado'!#REF!,6,FALSE),2)),"")</f>
        <v/>
      </c>
      <c r="N218" s="142" t="str">
        <f t="shared" ref="N218" si="2900">IF($A218="","",IF(M218="","",IF($K$4="Media aritmética",(M218&lt;=$B218)*($G$5/$B$5)+(M218&gt;$B218)*0,IF(ROUND(AVERAGE($C218,$E218,$G218,$I218,$K218,$M218,$O218,$Q218,$S218,$U218,$W218,$Y218,$AA218,$AC218,$AE218),2)-$B218/2&lt;=M218,IF(ROUND(AVERAGE($C218,$E218,$G218,$I218,$K218,$M218,$O218,$Q218,$S218,$U218,$W218,$Y218,$AA218,$AC218,$AE218),2)+$B218/2&gt;M218,($G$5/$B$5),0),0))))</f>
        <v/>
      </c>
      <c r="O218" s="141" t="str">
        <f>IF($O$8="Habilitado",IF($A218="","",ROUND(VLOOKUP($A218,'Presupuesto Consolidado'!#REF!,6,FALSE),2)),"")</f>
        <v/>
      </c>
      <c r="P218" s="142" t="str">
        <f t="shared" ref="P218" si="2901">IF($A218="","",IF(O218="","",IF($K$4="Media aritmética",(O218&lt;=$B218)*($G$5/$B$5)+(O218&gt;$B218)*0,IF(ROUND(AVERAGE($C218,$E218,$G218,$I218,$K218,$M218,$O218,$Q218,$S218,$U218,$W218,$Y218,$AA218,$AC218,$AE218),2)-$B218/2&lt;=O218,IF(ROUND(AVERAGE($C218,$E218,$G218,$I218,$K218,$M218,$O218,$Q218,$S218,$U218,$W218,$Y218,$AA218,$AC218,$AE218),2)+$B218/2&gt;O218,($G$5/$B$5),0),0))))</f>
        <v/>
      </c>
      <c r="Q218" s="141" t="str">
        <f>IF($Q$8="Habilitado",IF($A218="","",ROUND(VLOOKUP($A218,'Presupuesto Consolidado'!#REF!,6,FALSE),2)),"")</f>
        <v/>
      </c>
      <c r="R218" s="142" t="str">
        <f t="shared" ref="R218" si="2902">IF($A218="","",IF(Q218="","",IF($K$4="Media aritmética",(Q218&lt;=$B218)*($G$5/$B$5)+(Q218&gt;$B218)*0,IF(ROUND(AVERAGE($C218,$E218,$G218,$I218,$K218,$M218,$O218,$Q218,$S218,$U218,$W218,$Y218,$AA218,$AC218,$AE218),2)-$B218/2&lt;=Q218,IF(ROUND(AVERAGE($C218,$E218,$G218,$I218,$K218,$M218,$O218,$Q218,$S218,$U218,$W218,$Y218,$AA218,$AC218,$AE218),2)+$B218/2&gt;Q218,($G$5/$B$5),0),0))))</f>
        <v/>
      </c>
      <c r="S218" s="141" t="str">
        <f>IF($S$8="Habilitado",IF($A218="","",ROUND(VLOOKUP($A218,'Presupuesto Consolidado'!#REF!,6,FALSE),2)),"")</f>
        <v/>
      </c>
      <c r="T218" s="142" t="str">
        <f t="shared" ref="T218" si="2903">IF($A218="","",IF(S218="","",IF($K$4="Media aritmética",(S218&lt;=$B218)*($G$5/$B$5)+(S218&gt;$B218)*0,IF(ROUND(AVERAGE($C218,$E218,$G218,$I218,$K218,$M218,$O218,$Q218,$S218,$U218,$W218,$Y218,$AA218,$AC218,$AE218),2)-$B218/2&lt;=S218,IF(ROUND(AVERAGE($C218,$E218,$G218,$I218,$K218,$M218,$O218,$Q218,$S218,$U218,$W218,$Y218,$AA218,$AC218,$AE218),2)+$B218/2&gt;S218,($G$5/$B$5),0),0))))</f>
        <v/>
      </c>
      <c r="U218" s="141" t="str">
        <f>IF($U$8="Habilitado",IF($A218="","",ROUND(VLOOKUP($A218,'Presupuesto Consolidado'!#REF!,6,FALSE),2)),"")</f>
        <v/>
      </c>
      <c r="V218" s="142" t="str">
        <f t="shared" ref="V218" si="2904">IF($A218="","",IF(U218="","",IF($K$4="Media aritmética",(U218&lt;=$B218)*($G$5/$B$5)+(U218&gt;$B218)*0,IF(ROUND(AVERAGE($C218,$E218,$G218,$I218,$K218,$M218,$O218,$Q218,$S218,$U218,$W218,$Y218,$AA218,$AC218,$AE218),2)-$B218/2&lt;=U218,IF(ROUND(AVERAGE($C218,$E218,$G218,$I218,$K218,$M218,$O218,$Q218,$S218,$U218,$W218,$Y218,$AA218,$AC218,$AE218),2)+$B218/2&gt;U218,($G$5/$B$5),0),0))))</f>
        <v/>
      </c>
      <c r="W218" s="141" t="str">
        <f>IF($W$8="Habilitado",IF($A218="","",ROUND(VLOOKUP($A218,'Presupuesto Consolidado'!#REF!,6,FALSE),2)),"")</f>
        <v/>
      </c>
      <c r="X218" s="142" t="str">
        <f t="shared" ref="X218" si="2905">IF($A218="","",IF(W218="","",IF($K$4="Media aritmética",(W218&lt;=$B218)*($G$5/$B$5)+(W218&gt;$B218)*0,IF(ROUND(AVERAGE($C218,$E218,$G218,$I218,$K218,$M218,$O218,$Q218,$S218,$U218,$W218,$Y218,$AA218,$AC218,$AE218),2)-$B218/2&lt;=W218,IF(ROUND(AVERAGE($C218,$E218,$G218,$I218,$K218,$M218,$O218,$Q218,$S218,$U218,$W218,$Y218,$AA218,$AC218,$AE218),2)+$B218/2&gt;W218,($G$5/$B$5),0),0))))</f>
        <v/>
      </c>
      <c r="Y218" s="141" t="str">
        <f>IF($Y$8="Habilitado",IF($A218="","",ROUND(VLOOKUP($A218,'Presupuesto Consolidado'!#REF!,6,FALSE),2)),"")</f>
        <v/>
      </c>
      <c r="Z218" s="142" t="str">
        <f t="shared" ref="Z218" si="2906">IF($A218="","",IF(Y218="","",IF($K$4="Media aritmética",(Y218&lt;=$B218)*($G$5/$B$5)+(Y218&gt;$B218)*0,IF(ROUND(AVERAGE($C218,$E218,$G218,$I218,$K218,$M218,$O218,$Q218,$S218,$U218,$W218,$Y218,$AA218,$AC218,$AE218),2)-$B218/2&lt;=Y218,IF(ROUND(AVERAGE($C218,$E218,$G218,$I218,$K218,$M218,$O218,$Q218,$S218,$U218,$W218,$Y218,$AA218,$AC218,$AE218),2)+$B218/2&gt;Y218,($G$5/$B$5),0),0))))</f>
        <v/>
      </c>
      <c r="AA218" s="141" t="str">
        <f>IF($AA$8="Habilitado",IF($A218="","",ROUND(VLOOKUP($A218,'Presupuesto Consolidado'!#REF!,6,FALSE),2)),"")</f>
        <v/>
      </c>
      <c r="AB218" s="142" t="str">
        <f t="shared" ref="AB218" si="2907">IF($A218="","",IF(AA218="","",IF($K$4="Media aritmética",(AA218&lt;=$B218)*($G$5/$B$5)+(AA218&gt;$B218)*0,IF(ROUND(AVERAGE($C218,$E218,$G218,$I218,$K218,$M218,$O218,$Q218,$S218,$U218,$W218,$Y218,$AA218,$AC218,$AE218),2)-$B218/2&lt;=AA218,IF(ROUND(AVERAGE($C218,$E218,$G218,$I218,$K218,$M218,$O218,$Q218,$S218,$U218,$W218,$Y218,$AA218,$AC218,$AE218),2)+$B218/2&gt;AA218,($G$5/$B$5),0),0))))</f>
        <v/>
      </c>
      <c r="AC218" s="141" t="str">
        <f>IF($AC$8="Habilitado",IF($A218="","",ROUND(VLOOKUP($A218,'Presupuesto Consolidado'!#REF!,6,FALSE),2)),"")</f>
        <v/>
      </c>
      <c r="AD218" s="142" t="str">
        <f t="shared" ref="AD218" si="2908">IF($A218="","",IF(AC218="","",IF($K$4="Media aritmética",(AC218&lt;=$B218)*($G$5/$B$5)+(AC218&gt;$B218)*0,IF(ROUND(AVERAGE($C218,$E218,$G218,$I218,$K218,$M218,$O218,$Q218,$S218,$U218,$W218,$Y218,$AA218,$AC218,$AE218),2)-$B218/2&lt;=AC218,IF(ROUND(AVERAGE($C218,$E218,$G218,$I218,$K218,$M218,$O218,$Q218,$S218,$U218,$W218,$Y218,$AA218,$AC218,$AE218),2)+$B218/2&gt;AC218,($G$5/$B$5),0),0))))</f>
        <v/>
      </c>
      <c r="AE218" s="141" t="str">
        <f>IF($AE$8="Habilitado",IF($A218="","",ROUND(VLOOKUP($A218,'Presupuesto Consolidado'!#REF!,6,FALSE),2)),"")</f>
        <v/>
      </c>
      <c r="AF218" s="142" t="str">
        <f t="shared" ref="AF218" si="2909">IF($A218="","",IF(AE218="","",IF($K$4="Media aritmética",(AE218&lt;=$B218)*($G$5/$B$5)+(AE218&gt;$B218)*0,IF(ROUND(AVERAGE($C218,$E218,$G218,$I218,$K218,$M218,$O218,$Q218,$S218,$U218,$W218,$Y218,$AA218,$AC218,$AE218),2)-$B218/2&lt;=AE218,IF(ROUND(AVERAGE($C218,$E218,$G218,$I218,$K218,$M218,$O218,$Q218,$S218,$U218,$W218,$Y218,$AA218,$AC218,$AE218),2)+$B218/2&gt;AE218,($G$5/$B$5),0),0))))</f>
        <v/>
      </c>
    </row>
    <row r="219" spans="1:32" s="135" customFormat="1" ht="21" customHeight="1">
      <c r="A219" s="132" t="str">
        <f>+'Presupuesto Consolidado'!A257</f>
        <v>13.9.5</v>
      </c>
      <c r="B219" s="140">
        <f t="shared" ref="B219" si="2910">IF(A219="","",IF($K$4="Media aritmética",ROUND(AVERAGE(C219,E219,G219,I219,K219,M219,O219,Q219,S219,U219,W219,Y219,AA219,AC219,AE219),2),ROUND(_xlfn.STDEV.P(C219,E219,G219,I219,K219,M219,O219,Q219,S219,U219,W219,Y219,AA219,AC219,AE219),2)))</f>
        <v>103500</v>
      </c>
      <c r="C219" s="141">
        <f>IF($C$8="Habilitado",IF($A219="","",ROUND(VLOOKUP($A219,'Presupuesto Consolidado'!$A$9:$F$600,6,FALSE),2)),"")</f>
        <v>103500</v>
      </c>
      <c r="D219" s="142">
        <f t="shared" ref="D219" si="2911">IF($A219="","",IF(C219="","",IF($K$4="Media aritmética",(C219&lt;=$B219)*($G$5/$B$5)+(C219&gt;$B219)*0,IF(ROUND(AVERAGE($C219,$E219,$G219,$I219,$K219,$M219,$O219,$Q219,$S219,$U219,$W219,$Y219,$AA219,$AC219,$AE219),2)-$B219/2&lt;=C219,IF(ROUND(AVERAGE($C219,$E219,$G219,$I219,$K219,$M219,$O219,$Q219,$S219,$U219,$W219,$Y219,$AA219,$AC219,$AE219),2)+$B219/2&gt;C219,($G$5/$B$5),0),0))))</f>
        <v>0.45714285714285713</v>
      </c>
      <c r="E219" s="141" t="str">
        <f>IF($E$8="Habilitado",IF($A219="","",ROUND(VLOOKUP($A219,'Presupuesto Consolidado'!$I$9:$N$600,6,FALSE),2)),"")</f>
        <v/>
      </c>
      <c r="F219" s="142" t="str">
        <f t="shared" ref="F219" si="2912">IF($A219="","",IF(E219="","",IF($K$4="Media aritmética",(E219&lt;=$B219)*($G$5/$B$5)+(E219&gt;$B219)*0,IF(ROUND(AVERAGE($C219,$E219,$G219,$I219,$K219,$M219,$O219,$Q219,$S219,$U219,$W219,$Y219,$AA219,$AC219,$AE219),2)-$B219/2&lt;=E219,IF(ROUND(AVERAGE($C219,$E219,$G219,$I219,$K219,$M219,$O219,$Q219,$S219,$U219,$W219,$Y219,$AA219,$AC219,$AE219),2)+$B219/2&gt;E219,($G$5/$B$5),0),0))))</f>
        <v/>
      </c>
      <c r="G219" s="141" t="str">
        <f>IF($G$8="Habilitado",IF($A219="","",ROUND(VLOOKUP($A219,'Presupuesto Consolidado'!$Q$9:$V$600,6,FALSE),2)),"")</f>
        <v/>
      </c>
      <c r="H219" s="142" t="str">
        <f t="shared" ref="H219" si="2913">IF($A219="","",IF(G219="","",IF($K$4="Media aritmética",(G219&lt;=$B219)*($G$5/$B$5)+(G219&gt;$B219)*0,IF(ROUND(AVERAGE($C219,$E219,$G219,$I219,$K219,$M219,$O219,$Q219,$S219,$U219,$W219,$Y219,$AA219,$AC219,$AE219),2)-$B219/2&lt;=G219,IF(ROUND(AVERAGE($C219,$E219,$G219,$I219,$K219,$M219,$O219,$Q219,$S219,$U219,$W219,$Y219,$AA219,$AC219,$AE219),2)+$B219/2&gt;G219,($G$5/$B$5),0),0))))</f>
        <v/>
      </c>
      <c r="I219" s="141" t="str">
        <f>IF($I$8="Habilitado",IF($A219="","",ROUND(VLOOKUP($A219,'Presupuesto Consolidado'!$Y$9:$AD$600,6,FALSE),2)),"")</f>
        <v/>
      </c>
      <c r="J219" s="142" t="str">
        <f t="shared" ref="J219" si="2914">IF($A219="","",IF(I219="","",IF($K$4="Media aritmética",(I219&lt;=$B219)*($G$5/$B$5)+(I219&gt;$B219)*0,IF(ROUND(AVERAGE($C219,$E219,$G219,$I219,$K219,$M219,$O219,$Q219,$S219,$U219,$W219,$Y219,$AA219,$AC219,$AE219),2)-$B219/2&lt;=I219,IF(ROUND(AVERAGE($C219,$E219,$G219,$I219,$K219,$M219,$O219,$Q219,$S219,$U219,$W219,$Y219,$AA219,$AC219,$AE219),2)+$B219/2&gt;I219,($G$5/$B$5),0),0))))</f>
        <v/>
      </c>
      <c r="K219" s="141" t="str">
        <f>IF($K$8="Habilitado",IF($A219="","",ROUND(VLOOKUP($A219,'Presupuesto Consolidado'!#REF!,6,FALSE),2)),"")</f>
        <v/>
      </c>
      <c r="L219" s="142" t="str">
        <f t="shared" ref="L219" si="2915">IF($A219="","",IF(K219="","",IF($K$4="Media aritmética",(K219&lt;=$B219)*($G$5/$B$5)+(K219&gt;$B219)*0,IF(ROUND(AVERAGE($C219,$E219,$G219,$I219,$K219,$M219,$O219,$Q219,$S219,$U219,$W219,$Y219,$AA219,$AC219,$AE219),2)-$B219/2&lt;=K219,IF(ROUND(AVERAGE($C219,$E219,$G219,$I219,$K219,$M219,$O219,$Q219,$S219,$U219,$W219,$Y219,$AA219,$AC219,$AE219),2)+$B219/2&gt;K219,($G$5/$B$5),0),0))))</f>
        <v/>
      </c>
      <c r="M219" s="141" t="str">
        <f>IF($M$8="Habilitado",IF($A219="","",ROUND(VLOOKUP($A219,'Presupuesto Consolidado'!#REF!,6,FALSE),2)),"")</f>
        <v/>
      </c>
      <c r="N219" s="142" t="str">
        <f t="shared" ref="N219" si="2916">IF($A219="","",IF(M219="","",IF($K$4="Media aritmética",(M219&lt;=$B219)*($G$5/$B$5)+(M219&gt;$B219)*0,IF(ROUND(AVERAGE($C219,$E219,$G219,$I219,$K219,$M219,$O219,$Q219,$S219,$U219,$W219,$Y219,$AA219,$AC219,$AE219),2)-$B219/2&lt;=M219,IF(ROUND(AVERAGE($C219,$E219,$G219,$I219,$K219,$M219,$O219,$Q219,$S219,$U219,$W219,$Y219,$AA219,$AC219,$AE219),2)+$B219/2&gt;M219,($G$5/$B$5),0),0))))</f>
        <v/>
      </c>
      <c r="O219" s="141" t="str">
        <f>IF($O$8="Habilitado",IF($A219="","",ROUND(VLOOKUP($A219,'Presupuesto Consolidado'!#REF!,6,FALSE),2)),"")</f>
        <v/>
      </c>
      <c r="P219" s="142" t="str">
        <f t="shared" ref="P219" si="2917">IF($A219="","",IF(O219="","",IF($K$4="Media aritmética",(O219&lt;=$B219)*($G$5/$B$5)+(O219&gt;$B219)*0,IF(ROUND(AVERAGE($C219,$E219,$G219,$I219,$K219,$M219,$O219,$Q219,$S219,$U219,$W219,$Y219,$AA219,$AC219,$AE219),2)-$B219/2&lt;=O219,IF(ROUND(AVERAGE($C219,$E219,$G219,$I219,$K219,$M219,$O219,$Q219,$S219,$U219,$W219,$Y219,$AA219,$AC219,$AE219),2)+$B219/2&gt;O219,($G$5/$B$5),0),0))))</f>
        <v/>
      </c>
      <c r="Q219" s="141" t="str">
        <f>IF($Q$8="Habilitado",IF($A219="","",ROUND(VLOOKUP($A219,'Presupuesto Consolidado'!#REF!,6,FALSE),2)),"")</f>
        <v/>
      </c>
      <c r="R219" s="142" t="str">
        <f t="shared" ref="R219" si="2918">IF($A219="","",IF(Q219="","",IF($K$4="Media aritmética",(Q219&lt;=$B219)*($G$5/$B$5)+(Q219&gt;$B219)*0,IF(ROUND(AVERAGE($C219,$E219,$G219,$I219,$K219,$M219,$O219,$Q219,$S219,$U219,$W219,$Y219,$AA219,$AC219,$AE219),2)-$B219/2&lt;=Q219,IF(ROUND(AVERAGE($C219,$E219,$G219,$I219,$K219,$M219,$O219,$Q219,$S219,$U219,$W219,$Y219,$AA219,$AC219,$AE219),2)+$B219/2&gt;Q219,($G$5/$B$5),0),0))))</f>
        <v/>
      </c>
      <c r="S219" s="141" t="str">
        <f>IF($S$8="Habilitado",IF($A219="","",ROUND(VLOOKUP($A219,'Presupuesto Consolidado'!#REF!,6,FALSE),2)),"")</f>
        <v/>
      </c>
      <c r="T219" s="142" t="str">
        <f t="shared" ref="T219" si="2919">IF($A219="","",IF(S219="","",IF($K$4="Media aritmética",(S219&lt;=$B219)*($G$5/$B$5)+(S219&gt;$B219)*0,IF(ROUND(AVERAGE($C219,$E219,$G219,$I219,$K219,$M219,$O219,$Q219,$S219,$U219,$W219,$Y219,$AA219,$AC219,$AE219),2)-$B219/2&lt;=S219,IF(ROUND(AVERAGE($C219,$E219,$G219,$I219,$K219,$M219,$O219,$Q219,$S219,$U219,$W219,$Y219,$AA219,$AC219,$AE219),2)+$B219/2&gt;S219,($G$5/$B$5),0),0))))</f>
        <v/>
      </c>
      <c r="U219" s="141" t="str">
        <f>IF($U$8="Habilitado",IF($A219="","",ROUND(VLOOKUP($A219,'Presupuesto Consolidado'!#REF!,6,FALSE),2)),"")</f>
        <v/>
      </c>
      <c r="V219" s="142" t="str">
        <f t="shared" ref="V219" si="2920">IF($A219="","",IF(U219="","",IF($K$4="Media aritmética",(U219&lt;=$B219)*($G$5/$B$5)+(U219&gt;$B219)*0,IF(ROUND(AVERAGE($C219,$E219,$G219,$I219,$K219,$M219,$O219,$Q219,$S219,$U219,$W219,$Y219,$AA219,$AC219,$AE219),2)-$B219/2&lt;=U219,IF(ROUND(AVERAGE($C219,$E219,$G219,$I219,$K219,$M219,$O219,$Q219,$S219,$U219,$W219,$Y219,$AA219,$AC219,$AE219),2)+$B219/2&gt;U219,($G$5/$B$5),0),0))))</f>
        <v/>
      </c>
      <c r="W219" s="141" t="str">
        <f>IF($W$8="Habilitado",IF($A219="","",ROUND(VLOOKUP($A219,'Presupuesto Consolidado'!#REF!,6,FALSE),2)),"")</f>
        <v/>
      </c>
      <c r="X219" s="142" t="str">
        <f t="shared" ref="X219" si="2921">IF($A219="","",IF(W219="","",IF($K$4="Media aritmética",(W219&lt;=$B219)*($G$5/$B$5)+(W219&gt;$B219)*0,IF(ROUND(AVERAGE($C219,$E219,$G219,$I219,$K219,$M219,$O219,$Q219,$S219,$U219,$W219,$Y219,$AA219,$AC219,$AE219),2)-$B219/2&lt;=W219,IF(ROUND(AVERAGE($C219,$E219,$G219,$I219,$K219,$M219,$O219,$Q219,$S219,$U219,$W219,$Y219,$AA219,$AC219,$AE219),2)+$B219/2&gt;W219,($G$5/$B$5),0),0))))</f>
        <v/>
      </c>
      <c r="Y219" s="141" t="str">
        <f>IF($Y$8="Habilitado",IF($A219="","",ROUND(VLOOKUP($A219,'Presupuesto Consolidado'!#REF!,6,FALSE),2)),"")</f>
        <v/>
      </c>
      <c r="Z219" s="142" t="str">
        <f t="shared" ref="Z219" si="2922">IF($A219="","",IF(Y219="","",IF($K$4="Media aritmética",(Y219&lt;=$B219)*($G$5/$B$5)+(Y219&gt;$B219)*0,IF(ROUND(AVERAGE($C219,$E219,$G219,$I219,$K219,$M219,$O219,$Q219,$S219,$U219,$W219,$Y219,$AA219,$AC219,$AE219),2)-$B219/2&lt;=Y219,IF(ROUND(AVERAGE($C219,$E219,$G219,$I219,$K219,$M219,$O219,$Q219,$S219,$U219,$W219,$Y219,$AA219,$AC219,$AE219),2)+$B219/2&gt;Y219,($G$5/$B$5),0),0))))</f>
        <v/>
      </c>
      <c r="AA219" s="141" t="str">
        <f>IF($AA$8="Habilitado",IF($A219="","",ROUND(VLOOKUP($A219,'Presupuesto Consolidado'!#REF!,6,FALSE),2)),"")</f>
        <v/>
      </c>
      <c r="AB219" s="142" t="str">
        <f t="shared" ref="AB219" si="2923">IF($A219="","",IF(AA219="","",IF($K$4="Media aritmética",(AA219&lt;=$B219)*($G$5/$B$5)+(AA219&gt;$B219)*0,IF(ROUND(AVERAGE($C219,$E219,$G219,$I219,$K219,$M219,$O219,$Q219,$S219,$U219,$W219,$Y219,$AA219,$AC219,$AE219),2)-$B219/2&lt;=AA219,IF(ROUND(AVERAGE($C219,$E219,$G219,$I219,$K219,$M219,$O219,$Q219,$S219,$U219,$W219,$Y219,$AA219,$AC219,$AE219),2)+$B219/2&gt;AA219,($G$5/$B$5),0),0))))</f>
        <v/>
      </c>
      <c r="AC219" s="141" t="str">
        <f>IF($AC$8="Habilitado",IF($A219="","",ROUND(VLOOKUP($A219,'Presupuesto Consolidado'!#REF!,6,FALSE),2)),"")</f>
        <v/>
      </c>
      <c r="AD219" s="142" t="str">
        <f t="shared" ref="AD219" si="2924">IF($A219="","",IF(AC219="","",IF($K$4="Media aritmética",(AC219&lt;=$B219)*($G$5/$B$5)+(AC219&gt;$B219)*0,IF(ROUND(AVERAGE($C219,$E219,$G219,$I219,$K219,$M219,$O219,$Q219,$S219,$U219,$W219,$Y219,$AA219,$AC219,$AE219),2)-$B219/2&lt;=AC219,IF(ROUND(AVERAGE($C219,$E219,$G219,$I219,$K219,$M219,$O219,$Q219,$S219,$U219,$W219,$Y219,$AA219,$AC219,$AE219),2)+$B219/2&gt;AC219,($G$5/$B$5),0),0))))</f>
        <v/>
      </c>
      <c r="AE219" s="141" t="str">
        <f>IF($AE$8="Habilitado",IF($A219="","",ROUND(VLOOKUP($A219,'Presupuesto Consolidado'!#REF!,6,FALSE),2)),"")</f>
        <v/>
      </c>
      <c r="AF219" s="142" t="str">
        <f t="shared" ref="AF219" si="2925">IF($A219="","",IF(AE219="","",IF($K$4="Media aritmética",(AE219&lt;=$B219)*($G$5/$B$5)+(AE219&gt;$B219)*0,IF(ROUND(AVERAGE($C219,$E219,$G219,$I219,$K219,$M219,$O219,$Q219,$S219,$U219,$W219,$Y219,$AA219,$AC219,$AE219),2)-$B219/2&lt;=AE219,IF(ROUND(AVERAGE($C219,$E219,$G219,$I219,$K219,$M219,$O219,$Q219,$S219,$U219,$W219,$Y219,$AA219,$AC219,$AE219),2)+$B219/2&gt;AE219,($G$5/$B$5),0),0))))</f>
        <v/>
      </c>
    </row>
    <row r="220" spans="1:32" s="135" customFormat="1" ht="21" customHeight="1">
      <c r="A220" s="132" t="str">
        <f>+'Presupuesto Consolidado'!A258</f>
        <v>13.9.6</v>
      </c>
      <c r="B220" s="140">
        <f t="shared" ref="B220" si="2926">IF(A220="","",IF($K$4="Media aritmética",ROUND(AVERAGE(C220,E220,G220,I220,K220,M220,O220,Q220,S220,U220,W220,Y220,AA220,AC220,AE220),2),ROUND(_xlfn.STDEV.P(C220,E220,G220,I220,K220,M220,O220,Q220,S220,U220,W220,Y220,AA220,AC220,AE220),2)))</f>
        <v>155250</v>
      </c>
      <c r="C220" s="141">
        <f>IF($C$8="Habilitado",IF($A220="","",ROUND(VLOOKUP($A220,'Presupuesto Consolidado'!$A$9:$F$600,6,FALSE),2)),"")</f>
        <v>155250</v>
      </c>
      <c r="D220" s="142">
        <f t="shared" ref="D220" si="2927">IF($A220="","",IF(C220="","",IF($K$4="Media aritmética",(C220&lt;=$B220)*($G$5/$B$5)+(C220&gt;$B220)*0,IF(ROUND(AVERAGE($C220,$E220,$G220,$I220,$K220,$M220,$O220,$Q220,$S220,$U220,$W220,$Y220,$AA220,$AC220,$AE220),2)-$B220/2&lt;=C220,IF(ROUND(AVERAGE($C220,$E220,$G220,$I220,$K220,$M220,$O220,$Q220,$S220,$U220,$W220,$Y220,$AA220,$AC220,$AE220),2)+$B220/2&gt;C220,($G$5/$B$5),0),0))))</f>
        <v>0.45714285714285713</v>
      </c>
      <c r="E220" s="141" t="str">
        <f>IF($E$8="Habilitado",IF($A220="","",ROUND(VLOOKUP($A220,'Presupuesto Consolidado'!$I$9:$N$600,6,FALSE),2)),"")</f>
        <v/>
      </c>
      <c r="F220" s="142" t="str">
        <f t="shared" ref="F220" si="2928">IF($A220="","",IF(E220="","",IF($K$4="Media aritmética",(E220&lt;=$B220)*($G$5/$B$5)+(E220&gt;$B220)*0,IF(ROUND(AVERAGE($C220,$E220,$G220,$I220,$K220,$M220,$O220,$Q220,$S220,$U220,$W220,$Y220,$AA220,$AC220,$AE220),2)-$B220/2&lt;=E220,IF(ROUND(AVERAGE($C220,$E220,$G220,$I220,$K220,$M220,$O220,$Q220,$S220,$U220,$W220,$Y220,$AA220,$AC220,$AE220),2)+$B220/2&gt;E220,($G$5/$B$5),0),0))))</f>
        <v/>
      </c>
      <c r="G220" s="141" t="str">
        <f>IF($G$8="Habilitado",IF($A220="","",ROUND(VLOOKUP($A220,'Presupuesto Consolidado'!$Q$9:$V$600,6,FALSE),2)),"")</f>
        <v/>
      </c>
      <c r="H220" s="142" t="str">
        <f t="shared" ref="H220" si="2929">IF($A220="","",IF(G220="","",IF($K$4="Media aritmética",(G220&lt;=$B220)*($G$5/$B$5)+(G220&gt;$B220)*0,IF(ROUND(AVERAGE($C220,$E220,$G220,$I220,$K220,$M220,$O220,$Q220,$S220,$U220,$W220,$Y220,$AA220,$AC220,$AE220),2)-$B220/2&lt;=G220,IF(ROUND(AVERAGE($C220,$E220,$G220,$I220,$K220,$M220,$O220,$Q220,$S220,$U220,$W220,$Y220,$AA220,$AC220,$AE220),2)+$B220/2&gt;G220,($G$5/$B$5),0),0))))</f>
        <v/>
      </c>
      <c r="I220" s="141" t="str">
        <f>IF($I$8="Habilitado",IF($A220="","",ROUND(VLOOKUP($A220,'Presupuesto Consolidado'!$Y$9:$AD$600,6,FALSE),2)),"")</f>
        <v/>
      </c>
      <c r="J220" s="142" t="str">
        <f t="shared" ref="J220" si="2930">IF($A220="","",IF(I220="","",IF($K$4="Media aritmética",(I220&lt;=$B220)*($G$5/$B$5)+(I220&gt;$B220)*0,IF(ROUND(AVERAGE($C220,$E220,$G220,$I220,$K220,$M220,$O220,$Q220,$S220,$U220,$W220,$Y220,$AA220,$AC220,$AE220),2)-$B220/2&lt;=I220,IF(ROUND(AVERAGE($C220,$E220,$G220,$I220,$K220,$M220,$O220,$Q220,$S220,$U220,$W220,$Y220,$AA220,$AC220,$AE220),2)+$B220/2&gt;I220,($G$5/$B$5),0),0))))</f>
        <v/>
      </c>
      <c r="K220" s="141" t="str">
        <f>IF($K$8="Habilitado",IF($A220="","",ROUND(VLOOKUP($A220,'Presupuesto Consolidado'!#REF!,6,FALSE),2)),"")</f>
        <v/>
      </c>
      <c r="L220" s="142" t="str">
        <f t="shared" ref="L220" si="2931">IF($A220="","",IF(K220="","",IF($K$4="Media aritmética",(K220&lt;=$B220)*($G$5/$B$5)+(K220&gt;$B220)*0,IF(ROUND(AVERAGE($C220,$E220,$G220,$I220,$K220,$M220,$O220,$Q220,$S220,$U220,$W220,$Y220,$AA220,$AC220,$AE220),2)-$B220/2&lt;=K220,IF(ROUND(AVERAGE($C220,$E220,$G220,$I220,$K220,$M220,$O220,$Q220,$S220,$U220,$W220,$Y220,$AA220,$AC220,$AE220),2)+$B220/2&gt;K220,($G$5/$B$5),0),0))))</f>
        <v/>
      </c>
      <c r="M220" s="141" t="str">
        <f>IF($M$8="Habilitado",IF($A220="","",ROUND(VLOOKUP($A220,'Presupuesto Consolidado'!#REF!,6,FALSE),2)),"")</f>
        <v/>
      </c>
      <c r="N220" s="142" t="str">
        <f t="shared" ref="N220" si="2932">IF($A220="","",IF(M220="","",IF($K$4="Media aritmética",(M220&lt;=$B220)*($G$5/$B$5)+(M220&gt;$B220)*0,IF(ROUND(AVERAGE($C220,$E220,$G220,$I220,$K220,$M220,$O220,$Q220,$S220,$U220,$W220,$Y220,$AA220,$AC220,$AE220),2)-$B220/2&lt;=M220,IF(ROUND(AVERAGE($C220,$E220,$G220,$I220,$K220,$M220,$O220,$Q220,$S220,$U220,$W220,$Y220,$AA220,$AC220,$AE220),2)+$B220/2&gt;M220,($G$5/$B$5),0),0))))</f>
        <v/>
      </c>
      <c r="O220" s="141" t="str">
        <f>IF($O$8="Habilitado",IF($A220="","",ROUND(VLOOKUP($A220,'Presupuesto Consolidado'!#REF!,6,FALSE),2)),"")</f>
        <v/>
      </c>
      <c r="P220" s="142" t="str">
        <f t="shared" ref="P220" si="2933">IF($A220="","",IF(O220="","",IF($K$4="Media aritmética",(O220&lt;=$B220)*($G$5/$B$5)+(O220&gt;$B220)*0,IF(ROUND(AVERAGE($C220,$E220,$G220,$I220,$K220,$M220,$O220,$Q220,$S220,$U220,$W220,$Y220,$AA220,$AC220,$AE220),2)-$B220/2&lt;=O220,IF(ROUND(AVERAGE($C220,$E220,$G220,$I220,$K220,$M220,$O220,$Q220,$S220,$U220,$W220,$Y220,$AA220,$AC220,$AE220),2)+$B220/2&gt;O220,($G$5/$B$5),0),0))))</f>
        <v/>
      </c>
      <c r="Q220" s="141" t="str">
        <f>IF($Q$8="Habilitado",IF($A220="","",ROUND(VLOOKUP($A220,'Presupuesto Consolidado'!#REF!,6,FALSE),2)),"")</f>
        <v/>
      </c>
      <c r="R220" s="142" t="str">
        <f t="shared" ref="R220" si="2934">IF($A220="","",IF(Q220="","",IF($K$4="Media aritmética",(Q220&lt;=$B220)*($G$5/$B$5)+(Q220&gt;$B220)*0,IF(ROUND(AVERAGE($C220,$E220,$G220,$I220,$K220,$M220,$O220,$Q220,$S220,$U220,$W220,$Y220,$AA220,$AC220,$AE220),2)-$B220/2&lt;=Q220,IF(ROUND(AVERAGE($C220,$E220,$G220,$I220,$K220,$M220,$O220,$Q220,$S220,$U220,$W220,$Y220,$AA220,$AC220,$AE220),2)+$B220/2&gt;Q220,($G$5/$B$5),0),0))))</f>
        <v/>
      </c>
      <c r="S220" s="141" t="str">
        <f>IF($S$8="Habilitado",IF($A220="","",ROUND(VLOOKUP($A220,'Presupuesto Consolidado'!#REF!,6,FALSE),2)),"")</f>
        <v/>
      </c>
      <c r="T220" s="142" t="str">
        <f t="shared" ref="T220" si="2935">IF($A220="","",IF(S220="","",IF($K$4="Media aritmética",(S220&lt;=$B220)*($G$5/$B$5)+(S220&gt;$B220)*0,IF(ROUND(AVERAGE($C220,$E220,$G220,$I220,$K220,$M220,$O220,$Q220,$S220,$U220,$W220,$Y220,$AA220,$AC220,$AE220),2)-$B220/2&lt;=S220,IF(ROUND(AVERAGE($C220,$E220,$G220,$I220,$K220,$M220,$O220,$Q220,$S220,$U220,$W220,$Y220,$AA220,$AC220,$AE220),2)+$B220/2&gt;S220,($G$5/$B$5),0),0))))</f>
        <v/>
      </c>
      <c r="U220" s="141" t="str">
        <f>IF($U$8="Habilitado",IF($A220="","",ROUND(VLOOKUP($A220,'Presupuesto Consolidado'!#REF!,6,FALSE),2)),"")</f>
        <v/>
      </c>
      <c r="V220" s="142" t="str">
        <f t="shared" ref="V220" si="2936">IF($A220="","",IF(U220="","",IF($K$4="Media aritmética",(U220&lt;=$B220)*($G$5/$B$5)+(U220&gt;$B220)*0,IF(ROUND(AVERAGE($C220,$E220,$G220,$I220,$K220,$M220,$O220,$Q220,$S220,$U220,$W220,$Y220,$AA220,$AC220,$AE220),2)-$B220/2&lt;=U220,IF(ROUND(AVERAGE($C220,$E220,$G220,$I220,$K220,$M220,$O220,$Q220,$S220,$U220,$W220,$Y220,$AA220,$AC220,$AE220),2)+$B220/2&gt;U220,($G$5/$B$5),0),0))))</f>
        <v/>
      </c>
      <c r="W220" s="141" t="str">
        <f>IF($W$8="Habilitado",IF($A220="","",ROUND(VLOOKUP($A220,'Presupuesto Consolidado'!#REF!,6,FALSE),2)),"")</f>
        <v/>
      </c>
      <c r="X220" s="142" t="str">
        <f t="shared" ref="X220" si="2937">IF($A220="","",IF(W220="","",IF($K$4="Media aritmética",(W220&lt;=$B220)*($G$5/$B$5)+(W220&gt;$B220)*0,IF(ROUND(AVERAGE($C220,$E220,$G220,$I220,$K220,$M220,$O220,$Q220,$S220,$U220,$W220,$Y220,$AA220,$AC220,$AE220),2)-$B220/2&lt;=W220,IF(ROUND(AVERAGE($C220,$E220,$G220,$I220,$K220,$M220,$O220,$Q220,$S220,$U220,$W220,$Y220,$AA220,$AC220,$AE220),2)+$B220/2&gt;W220,($G$5/$B$5),0),0))))</f>
        <v/>
      </c>
      <c r="Y220" s="141" t="str">
        <f>IF($Y$8="Habilitado",IF($A220="","",ROUND(VLOOKUP($A220,'Presupuesto Consolidado'!#REF!,6,FALSE),2)),"")</f>
        <v/>
      </c>
      <c r="Z220" s="142" t="str">
        <f t="shared" ref="Z220" si="2938">IF($A220="","",IF(Y220="","",IF($K$4="Media aritmética",(Y220&lt;=$B220)*($G$5/$B$5)+(Y220&gt;$B220)*0,IF(ROUND(AVERAGE($C220,$E220,$G220,$I220,$K220,$M220,$O220,$Q220,$S220,$U220,$W220,$Y220,$AA220,$AC220,$AE220),2)-$B220/2&lt;=Y220,IF(ROUND(AVERAGE($C220,$E220,$G220,$I220,$K220,$M220,$O220,$Q220,$S220,$U220,$W220,$Y220,$AA220,$AC220,$AE220),2)+$B220/2&gt;Y220,($G$5/$B$5),0),0))))</f>
        <v/>
      </c>
      <c r="AA220" s="141" t="str">
        <f>IF($AA$8="Habilitado",IF($A220="","",ROUND(VLOOKUP($A220,'Presupuesto Consolidado'!#REF!,6,FALSE),2)),"")</f>
        <v/>
      </c>
      <c r="AB220" s="142" t="str">
        <f t="shared" ref="AB220" si="2939">IF($A220="","",IF(AA220="","",IF($K$4="Media aritmética",(AA220&lt;=$B220)*($G$5/$B$5)+(AA220&gt;$B220)*0,IF(ROUND(AVERAGE($C220,$E220,$G220,$I220,$K220,$M220,$O220,$Q220,$S220,$U220,$W220,$Y220,$AA220,$AC220,$AE220),2)-$B220/2&lt;=AA220,IF(ROUND(AVERAGE($C220,$E220,$G220,$I220,$K220,$M220,$O220,$Q220,$S220,$U220,$W220,$Y220,$AA220,$AC220,$AE220),2)+$B220/2&gt;AA220,($G$5/$B$5),0),0))))</f>
        <v/>
      </c>
      <c r="AC220" s="141" t="str">
        <f>IF($AC$8="Habilitado",IF($A220="","",ROUND(VLOOKUP($A220,'Presupuesto Consolidado'!#REF!,6,FALSE),2)),"")</f>
        <v/>
      </c>
      <c r="AD220" s="142" t="str">
        <f t="shared" ref="AD220" si="2940">IF($A220="","",IF(AC220="","",IF($K$4="Media aritmética",(AC220&lt;=$B220)*($G$5/$B$5)+(AC220&gt;$B220)*0,IF(ROUND(AVERAGE($C220,$E220,$G220,$I220,$K220,$M220,$O220,$Q220,$S220,$U220,$W220,$Y220,$AA220,$AC220,$AE220),2)-$B220/2&lt;=AC220,IF(ROUND(AVERAGE($C220,$E220,$G220,$I220,$K220,$M220,$O220,$Q220,$S220,$U220,$W220,$Y220,$AA220,$AC220,$AE220),2)+$B220/2&gt;AC220,($G$5/$B$5),0),0))))</f>
        <v/>
      </c>
      <c r="AE220" s="141" t="str">
        <f>IF($AE$8="Habilitado",IF($A220="","",ROUND(VLOOKUP($A220,'Presupuesto Consolidado'!#REF!,6,FALSE),2)),"")</f>
        <v/>
      </c>
      <c r="AF220" s="142" t="str">
        <f t="shared" ref="AF220" si="2941">IF($A220="","",IF(AE220="","",IF($K$4="Media aritmética",(AE220&lt;=$B220)*($G$5/$B$5)+(AE220&gt;$B220)*0,IF(ROUND(AVERAGE($C220,$E220,$G220,$I220,$K220,$M220,$O220,$Q220,$S220,$U220,$W220,$Y220,$AA220,$AC220,$AE220),2)-$B220/2&lt;=AE220,IF(ROUND(AVERAGE($C220,$E220,$G220,$I220,$K220,$M220,$O220,$Q220,$S220,$U220,$W220,$Y220,$AA220,$AC220,$AE220),2)+$B220/2&gt;AE220,($G$5/$B$5),0),0))))</f>
        <v/>
      </c>
    </row>
    <row r="221" spans="1:32" s="135" customFormat="1" ht="21" customHeight="1">
      <c r="A221" s="132" t="str">
        <f>+'Presupuesto Consolidado'!A259</f>
        <v>13.9.7</v>
      </c>
      <c r="B221" s="140">
        <f t="shared" ref="B221" si="2942">IF(A221="","",IF($K$4="Media aritmética",ROUND(AVERAGE(C221,E221,G221,I221,K221,M221,O221,Q221,S221,U221,W221,Y221,AA221,AC221,AE221),2),ROUND(_xlfn.STDEV.P(C221,E221,G221,I221,K221,M221,O221,Q221,S221,U221,W221,Y221,AA221,AC221,AE221),2)))</f>
        <v>724500</v>
      </c>
      <c r="C221" s="141">
        <f>IF($C$8="Habilitado",IF($A221="","",ROUND(VLOOKUP($A221,'Presupuesto Consolidado'!$A$9:$F$600,6,FALSE),2)),"")</f>
        <v>724500</v>
      </c>
      <c r="D221" s="142">
        <f t="shared" ref="D221" si="2943">IF($A221="","",IF(C221="","",IF($K$4="Media aritmética",(C221&lt;=$B221)*($G$5/$B$5)+(C221&gt;$B221)*0,IF(ROUND(AVERAGE($C221,$E221,$G221,$I221,$K221,$M221,$O221,$Q221,$S221,$U221,$W221,$Y221,$AA221,$AC221,$AE221),2)-$B221/2&lt;=C221,IF(ROUND(AVERAGE($C221,$E221,$G221,$I221,$K221,$M221,$O221,$Q221,$S221,$U221,$W221,$Y221,$AA221,$AC221,$AE221),2)+$B221/2&gt;C221,($G$5/$B$5),0),0))))</f>
        <v>0.45714285714285713</v>
      </c>
      <c r="E221" s="141" t="str">
        <f>IF($E$8="Habilitado",IF($A221="","",ROUND(VLOOKUP($A221,'Presupuesto Consolidado'!$I$9:$N$600,6,FALSE),2)),"")</f>
        <v/>
      </c>
      <c r="F221" s="142" t="str">
        <f t="shared" ref="F221" si="2944">IF($A221="","",IF(E221="","",IF($K$4="Media aritmética",(E221&lt;=$B221)*($G$5/$B$5)+(E221&gt;$B221)*0,IF(ROUND(AVERAGE($C221,$E221,$G221,$I221,$K221,$M221,$O221,$Q221,$S221,$U221,$W221,$Y221,$AA221,$AC221,$AE221),2)-$B221/2&lt;=E221,IF(ROUND(AVERAGE($C221,$E221,$G221,$I221,$K221,$M221,$O221,$Q221,$S221,$U221,$W221,$Y221,$AA221,$AC221,$AE221),2)+$B221/2&gt;E221,($G$5/$B$5),0),0))))</f>
        <v/>
      </c>
      <c r="G221" s="141" t="str">
        <f>IF($G$8="Habilitado",IF($A221="","",ROUND(VLOOKUP($A221,'Presupuesto Consolidado'!$Q$9:$V$600,6,FALSE),2)),"")</f>
        <v/>
      </c>
      <c r="H221" s="142" t="str">
        <f t="shared" ref="H221" si="2945">IF($A221="","",IF(G221="","",IF($K$4="Media aritmética",(G221&lt;=$B221)*($G$5/$B$5)+(G221&gt;$B221)*0,IF(ROUND(AVERAGE($C221,$E221,$G221,$I221,$K221,$M221,$O221,$Q221,$S221,$U221,$W221,$Y221,$AA221,$AC221,$AE221),2)-$B221/2&lt;=G221,IF(ROUND(AVERAGE($C221,$E221,$G221,$I221,$K221,$M221,$O221,$Q221,$S221,$U221,$W221,$Y221,$AA221,$AC221,$AE221),2)+$B221/2&gt;G221,($G$5/$B$5),0),0))))</f>
        <v/>
      </c>
      <c r="I221" s="141" t="str">
        <f>IF($I$8="Habilitado",IF($A221="","",ROUND(VLOOKUP($A221,'Presupuesto Consolidado'!$Y$9:$AD$600,6,FALSE),2)),"")</f>
        <v/>
      </c>
      <c r="J221" s="142" t="str">
        <f t="shared" ref="J221" si="2946">IF($A221="","",IF(I221="","",IF($K$4="Media aritmética",(I221&lt;=$B221)*($G$5/$B$5)+(I221&gt;$B221)*0,IF(ROUND(AVERAGE($C221,$E221,$G221,$I221,$K221,$M221,$O221,$Q221,$S221,$U221,$W221,$Y221,$AA221,$AC221,$AE221),2)-$B221/2&lt;=I221,IF(ROUND(AVERAGE($C221,$E221,$G221,$I221,$K221,$M221,$O221,$Q221,$S221,$U221,$W221,$Y221,$AA221,$AC221,$AE221),2)+$B221/2&gt;I221,($G$5/$B$5),0),0))))</f>
        <v/>
      </c>
      <c r="K221" s="141" t="str">
        <f>IF($K$8="Habilitado",IF($A221="","",ROUND(VLOOKUP($A221,'Presupuesto Consolidado'!#REF!,6,FALSE),2)),"")</f>
        <v/>
      </c>
      <c r="L221" s="142" t="str">
        <f t="shared" ref="L221" si="2947">IF($A221="","",IF(K221="","",IF($K$4="Media aritmética",(K221&lt;=$B221)*($G$5/$B$5)+(K221&gt;$B221)*0,IF(ROUND(AVERAGE($C221,$E221,$G221,$I221,$K221,$M221,$O221,$Q221,$S221,$U221,$W221,$Y221,$AA221,$AC221,$AE221),2)-$B221/2&lt;=K221,IF(ROUND(AVERAGE($C221,$E221,$G221,$I221,$K221,$M221,$O221,$Q221,$S221,$U221,$W221,$Y221,$AA221,$AC221,$AE221),2)+$B221/2&gt;K221,($G$5/$B$5),0),0))))</f>
        <v/>
      </c>
      <c r="M221" s="141" t="str">
        <f>IF($M$8="Habilitado",IF($A221="","",ROUND(VLOOKUP($A221,'Presupuesto Consolidado'!#REF!,6,FALSE),2)),"")</f>
        <v/>
      </c>
      <c r="N221" s="142" t="str">
        <f t="shared" ref="N221" si="2948">IF($A221="","",IF(M221="","",IF($K$4="Media aritmética",(M221&lt;=$B221)*($G$5/$B$5)+(M221&gt;$B221)*0,IF(ROUND(AVERAGE($C221,$E221,$G221,$I221,$K221,$M221,$O221,$Q221,$S221,$U221,$W221,$Y221,$AA221,$AC221,$AE221),2)-$B221/2&lt;=M221,IF(ROUND(AVERAGE($C221,$E221,$G221,$I221,$K221,$M221,$O221,$Q221,$S221,$U221,$W221,$Y221,$AA221,$AC221,$AE221),2)+$B221/2&gt;M221,($G$5/$B$5),0),0))))</f>
        <v/>
      </c>
      <c r="O221" s="141" t="str">
        <f>IF($O$8="Habilitado",IF($A221="","",ROUND(VLOOKUP($A221,'Presupuesto Consolidado'!#REF!,6,FALSE),2)),"")</f>
        <v/>
      </c>
      <c r="P221" s="142" t="str">
        <f t="shared" ref="P221" si="2949">IF($A221="","",IF(O221="","",IF($K$4="Media aritmética",(O221&lt;=$B221)*($G$5/$B$5)+(O221&gt;$B221)*0,IF(ROUND(AVERAGE($C221,$E221,$G221,$I221,$K221,$M221,$O221,$Q221,$S221,$U221,$W221,$Y221,$AA221,$AC221,$AE221),2)-$B221/2&lt;=O221,IF(ROUND(AVERAGE($C221,$E221,$G221,$I221,$K221,$M221,$O221,$Q221,$S221,$U221,$W221,$Y221,$AA221,$AC221,$AE221),2)+$B221/2&gt;O221,($G$5/$B$5),0),0))))</f>
        <v/>
      </c>
      <c r="Q221" s="141" t="str">
        <f>IF($Q$8="Habilitado",IF($A221="","",ROUND(VLOOKUP($A221,'Presupuesto Consolidado'!#REF!,6,FALSE),2)),"")</f>
        <v/>
      </c>
      <c r="R221" s="142" t="str">
        <f t="shared" ref="R221" si="2950">IF($A221="","",IF(Q221="","",IF($K$4="Media aritmética",(Q221&lt;=$B221)*($G$5/$B$5)+(Q221&gt;$B221)*0,IF(ROUND(AVERAGE($C221,$E221,$G221,$I221,$K221,$M221,$O221,$Q221,$S221,$U221,$W221,$Y221,$AA221,$AC221,$AE221),2)-$B221/2&lt;=Q221,IF(ROUND(AVERAGE($C221,$E221,$G221,$I221,$K221,$M221,$O221,$Q221,$S221,$U221,$W221,$Y221,$AA221,$AC221,$AE221),2)+$B221/2&gt;Q221,($G$5/$B$5),0),0))))</f>
        <v/>
      </c>
      <c r="S221" s="141" t="str">
        <f>IF($S$8="Habilitado",IF($A221="","",ROUND(VLOOKUP($A221,'Presupuesto Consolidado'!#REF!,6,FALSE),2)),"")</f>
        <v/>
      </c>
      <c r="T221" s="142" t="str">
        <f t="shared" ref="T221" si="2951">IF($A221="","",IF(S221="","",IF($K$4="Media aritmética",(S221&lt;=$B221)*($G$5/$B$5)+(S221&gt;$B221)*0,IF(ROUND(AVERAGE($C221,$E221,$G221,$I221,$K221,$M221,$O221,$Q221,$S221,$U221,$W221,$Y221,$AA221,$AC221,$AE221),2)-$B221/2&lt;=S221,IF(ROUND(AVERAGE($C221,$E221,$G221,$I221,$K221,$M221,$O221,$Q221,$S221,$U221,$W221,$Y221,$AA221,$AC221,$AE221),2)+$B221/2&gt;S221,($G$5/$B$5),0),0))))</f>
        <v/>
      </c>
      <c r="U221" s="141" t="str">
        <f>IF($U$8="Habilitado",IF($A221="","",ROUND(VLOOKUP($A221,'Presupuesto Consolidado'!#REF!,6,FALSE),2)),"")</f>
        <v/>
      </c>
      <c r="V221" s="142" t="str">
        <f t="shared" ref="V221" si="2952">IF($A221="","",IF(U221="","",IF($K$4="Media aritmética",(U221&lt;=$B221)*($G$5/$B$5)+(U221&gt;$B221)*0,IF(ROUND(AVERAGE($C221,$E221,$G221,$I221,$K221,$M221,$O221,$Q221,$S221,$U221,$W221,$Y221,$AA221,$AC221,$AE221),2)-$B221/2&lt;=U221,IF(ROUND(AVERAGE($C221,$E221,$G221,$I221,$K221,$M221,$O221,$Q221,$S221,$U221,$W221,$Y221,$AA221,$AC221,$AE221),2)+$B221/2&gt;U221,($G$5/$B$5),0),0))))</f>
        <v/>
      </c>
      <c r="W221" s="141" t="str">
        <f>IF($W$8="Habilitado",IF($A221="","",ROUND(VLOOKUP($A221,'Presupuesto Consolidado'!#REF!,6,FALSE),2)),"")</f>
        <v/>
      </c>
      <c r="X221" s="142" t="str">
        <f t="shared" ref="X221" si="2953">IF($A221="","",IF(W221="","",IF($K$4="Media aritmética",(W221&lt;=$B221)*($G$5/$B$5)+(W221&gt;$B221)*0,IF(ROUND(AVERAGE($C221,$E221,$G221,$I221,$K221,$M221,$O221,$Q221,$S221,$U221,$W221,$Y221,$AA221,$AC221,$AE221),2)-$B221/2&lt;=W221,IF(ROUND(AVERAGE($C221,$E221,$G221,$I221,$K221,$M221,$O221,$Q221,$S221,$U221,$W221,$Y221,$AA221,$AC221,$AE221),2)+$B221/2&gt;W221,($G$5/$B$5),0),0))))</f>
        <v/>
      </c>
      <c r="Y221" s="141" t="str">
        <f>IF($Y$8="Habilitado",IF($A221="","",ROUND(VLOOKUP($A221,'Presupuesto Consolidado'!#REF!,6,FALSE),2)),"")</f>
        <v/>
      </c>
      <c r="Z221" s="142" t="str">
        <f t="shared" ref="Z221" si="2954">IF($A221="","",IF(Y221="","",IF($K$4="Media aritmética",(Y221&lt;=$B221)*($G$5/$B$5)+(Y221&gt;$B221)*0,IF(ROUND(AVERAGE($C221,$E221,$G221,$I221,$K221,$M221,$O221,$Q221,$S221,$U221,$W221,$Y221,$AA221,$AC221,$AE221),2)-$B221/2&lt;=Y221,IF(ROUND(AVERAGE($C221,$E221,$G221,$I221,$K221,$M221,$O221,$Q221,$S221,$U221,$W221,$Y221,$AA221,$AC221,$AE221),2)+$B221/2&gt;Y221,($G$5/$B$5),0),0))))</f>
        <v/>
      </c>
      <c r="AA221" s="141" t="str">
        <f>IF($AA$8="Habilitado",IF($A221="","",ROUND(VLOOKUP($A221,'Presupuesto Consolidado'!#REF!,6,FALSE),2)),"")</f>
        <v/>
      </c>
      <c r="AB221" s="142" t="str">
        <f t="shared" ref="AB221" si="2955">IF($A221="","",IF(AA221="","",IF($K$4="Media aritmética",(AA221&lt;=$B221)*($G$5/$B$5)+(AA221&gt;$B221)*0,IF(ROUND(AVERAGE($C221,$E221,$G221,$I221,$K221,$M221,$O221,$Q221,$S221,$U221,$W221,$Y221,$AA221,$AC221,$AE221),2)-$B221/2&lt;=AA221,IF(ROUND(AVERAGE($C221,$E221,$G221,$I221,$K221,$M221,$O221,$Q221,$S221,$U221,$W221,$Y221,$AA221,$AC221,$AE221),2)+$B221/2&gt;AA221,($G$5/$B$5),0),0))))</f>
        <v/>
      </c>
      <c r="AC221" s="141" t="str">
        <f>IF($AC$8="Habilitado",IF($A221="","",ROUND(VLOOKUP($A221,'Presupuesto Consolidado'!#REF!,6,FALSE),2)),"")</f>
        <v/>
      </c>
      <c r="AD221" s="142" t="str">
        <f t="shared" ref="AD221" si="2956">IF($A221="","",IF(AC221="","",IF($K$4="Media aritmética",(AC221&lt;=$B221)*($G$5/$B$5)+(AC221&gt;$B221)*0,IF(ROUND(AVERAGE($C221,$E221,$G221,$I221,$K221,$M221,$O221,$Q221,$S221,$U221,$W221,$Y221,$AA221,$AC221,$AE221),2)-$B221/2&lt;=AC221,IF(ROUND(AVERAGE($C221,$E221,$G221,$I221,$K221,$M221,$O221,$Q221,$S221,$U221,$W221,$Y221,$AA221,$AC221,$AE221),2)+$B221/2&gt;AC221,($G$5/$B$5),0),0))))</f>
        <v/>
      </c>
      <c r="AE221" s="141" t="str">
        <f>IF($AE$8="Habilitado",IF($A221="","",ROUND(VLOOKUP($A221,'Presupuesto Consolidado'!#REF!,6,FALSE),2)),"")</f>
        <v/>
      </c>
      <c r="AF221" s="142" t="str">
        <f t="shared" ref="AF221" si="2957">IF($A221="","",IF(AE221="","",IF($K$4="Media aritmética",(AE221&lt;=$B221)*($G$5/$B$5)+(AE221&gt;$B221)*0,IF(ROUND(AVERAGE($C221,$E221,$G221,$I221,$K221,$M221,$O221,$Q221,$S221,$U221,$W221,$Y221,$AA221,$AC221,$AE221),2)-$B221/2&lt;=AE221,IF(ROUND(AVERAGE($C221,$E221,$G221,$I221,$K221,$M221,$O221,$Q221,$S221,$U221,$W221,$Y221,$AA221,$AC221,$AE221),2)+$B221/2&gt;AE221,($G$5/$B$5),0),0))))</f>
        <v/>
      </c>
    </row>
  </sheetData>
  <sheetProtection algorithmName="SHA-512" hashValue="zrJVfSyERC65nPwBpjhOOmWBbXoPabNQMyloMGF9+SD4JxKdStZ0kmfJWs+lEWYn6siGAifZbGCr8QQ+79urXQ==" saltValue="uBprIz9yFgDEu0LrwRpSPQ==" spinCount="100000" sheet="1" objects="1" scenarios="1" selectLockedCells="1" selectUnlockedCells="1"/>
  <mergeCells count="90">
    <mergeCell ref="A10:B10"/>
    <mergeCell ref="W9:X9"/>
    <mergeCell ref="Y9:Z9"/>
    <mergeCell ref="AA9:AB9"/>
    <mergeCell ref="AC9:AD9"/>
    <mergeCell ref="A9:B9"/>
    <mergeCell ref="K10:L10"/>
    <mergeCell ref="M10:N10"/>
    <mergeCell ref="O10:P10"/>
    <mergeCell ref="Q10:R10"/>
    <mergeCell ref="S10:T10"/>
    <mergeCell ref="W10:X10"/>
    <mergeCell ref="Y10:Z10"/>
    <mergeCell ref="AA10:AB10"/>
    <mergeCell ref="AC10:AD10"/>
    <mergeCell ref="C9:D9"/>
    <mergeCell ref="Q9:R9"/>
    <mergeCell ref="S9:T9"/>
    <mergeCell ref="A13:AF13"/>
    <mergeCell ref="A46:AF46"/>
    <mergeCell ref="A11:B11"/>
    <mergeCell ref="C11:D11"/>
    <mergeCell ref="E11:F11"/>
    <mergeCell ref="G11:H11"/>
    <mergeCell ref="I11:J11"/>
    <mergeCell ref="K11:L11"/>
    <mergeCell ref="M11:N11"/>
    <mergeCell ref="O11:P11"/>
    <mergeCell ref="Q11:R11"/>
    <mergeCell ref="S11:T11"/>
    <mergeCell ref="W11:X11"/>
    <mergeCell ref="Y11:Z11"/>
    <mergeCell ref="C10:D10"/>
    <mergeCell ref="E10:F10"/>
    <mergeCell ref="K9:L9"/>
    <mergeCell ref="M9:N9"/>
    <mergeCell ref="O9:P9"/>
    <mergeCell ref="E9:F9"/>
    <mergeCell ref="G9:H9"/>
    <mergeCell ref="I9:J9"/>
    <mergeCell ref="G10:H10"/>
    <mergeCell ref="I10:J10"/>
    <mergeCell ref="AE7:AF7"/>
    <mergeCell ref="Y7:Z7"/>
    <mergeCell ref="AA7:AB7"/>
    <mergeCell ref="AA11:AB11"/>
    <mergeCell ref="U9:V9"/>
    <mergeCell ref="AC11:AD11"/>
    <mergeCell ref="AE11:AF11"/>
    <mergeCell ref="AE9:AF9"/>
    <mergeCell ref="AE10:AF10"/>
    <mergeCell ref="AC7:AD7"/>
    <mergeCell ref="AC8:AD8"/>
    <mergeCell ref="AE8:AF8"/>
    <mergeCell ref="Y8:Z8"/>
    <mergeCell ref="AA8:AB8"/>
    <mergeCell ref="U10:V10"/>
    <mergeCell ref="U11:V11"/>
    <mergeCell ref="S7:T7"/>
    <mergeCell ref="U7:V7"/>
    <mergeCell ref="W7:X7"/>
    <mergeCell ref="S8:T8"/>
    <mergeCell ref="U8:V8"/>
    <mergeCell ref="W8:X8"/>
    <mergeCell ref="Q8:R8"/>
    <mergeCell ref="A3:B3"/>
    <mergeCell ref="A1:AF1"/>
    <mergeCell ref="E5:F5"/>
    <mergeCell ref="E4:F4"/>
    <mergeCell ref="G4:H4"/>
    <mergeCell ref="G5:H5"/>
    <mergeCell ref="E3:H3"/>
    <mergeCell ref="K3:M3"/>
    <mergeCell ref="K4:M5"/>
    <mergeCell ref="A7:A8"/>
    <mergeCell ref="Q7:R7"/>
    <mergeCell ref="G7:H7"/>
    <mergeCell ref="I7:J7"/>
    <mergeCell ref="K7:L7"/>
    <mergeCell ref="M7:N7"/>
    <mergeCell ref="O7:P7"/>
    <mergeCell ref="E8:F8"/>
    <mergeCell ref="E7:F7"/>
    <mergeCell ref="C8:D8"/>
    <mergeCell ref="C7:D7"/>
    <mergeCell ref="G8:H8"/>
    <mergeCell ref="I8:J8"/>
    <mergeCell ref="K8:L8"/>
    <mergeCell ref="M8:N8"/>
    <mergeCell ref="O8:P8"/>
  </mergeCells>
  <printOptions horizontalCentered="1"/>
  <pageMargins left="0.39370078740157483" right="0.19685039370078741" top="0.39370078740157483" bottom="0.19685039370078741" header="0.31496062992125984" footer="0.31496062992125984"/>
  <pageSetup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outlinePr summaryBelow="0" summaryRight="0"/>
    <pageSetUpPr fitToPage="1"/>
  </sheetPr>
  <dimension ref="A1:AF276"/>
  <sheetViews>
    <sheetView showGridLines="0" zoomScale="85" zoomScaleNormal="85" zoomScaleSheetLayoutView="96" zoomScalePageLayoutView="96" workbookViewId="0">
      <pane ySplit="1" topLeftCell="A2" activePane="bottomLeft" state="frozen"/>
      <selection pane="bottomLeft" activeCell="M262" sqref="M262"/>
    </sheetView>
  </sheetViews>
  <sheetFormatPr baseColWidth="10" defaultColWidth="11.42578125" defaultRowHeight="12.75" outlineLevelRow="2"/>
  <cols>
    <col min="1" max="1" width="8.85546875" style="238" customWidth="1"/>
    <col min="2" max="2" width="71.42578125" style="231" customWidth="1"/>
    <col min="3" max="4" width="14.140625" style="231" customWidth="1"/>
    <col min="5" max="5" width="18.140625" style="231" customWidth="1"/>
    <col min="6" max="7" width="22.5703125" style="231" customWidth="1"/>
    <col min="8" max="8" width="4" style="244" customWidth="1"/>
    <col min="9" max="9" width="8.85546875" style="238" customWidth="1"/>
    <col min="10" max="10" width="71.42578125" style="231" customWidth="1"/>
    <col min="11" max="11" width="19.140625" style="231" customWidth="1"/>
    <col min="12" max="12" width="17" style="231" customWidth="1"/>
    <col min="13" max="15" width="22.28515625" style="231" customWidth="1"/>
    <col min="16" max="16" width="4" style="230" customWidth="1"/>
    <col min="17" max="17" width="8.85546875" style="238" customWidth="1"/>
    <col min="18" max="18" width="71.42578125" style="231" customWidth="1"/>
    <col min="19" max="19" width="19.140625" style="231" customWidth="1"/>
    <col min="20" max="20" width="17" style="231" customWidth="1"/>
    <col min="21" max="23" width="22.28515625" style="231" customWidth="1"/>
    <col min="24" max="24" width="4" style="230" customWidth="1"/>
    <col min="25" max="25" width="8.85546875" style="238" customWidth="1"/>
    <col min="26" max="26" width="71.42578125" style="231" customWidth="1"/>
    <col min="27" max="27" width="19.140625" style="231" customWidth="1"/>
    <col min="28" max="28" width="17" style="231" customWidth="1"/>
    <col min="29" max="31" width="22.28515625" style="231" customWidth="1"/>
    <col min="32" max="32" width="4" style="230" customWidth="1"/>
    <col min="33" max="16384" width="11.42578125" style="231"/>
  </cols>
  <sheetData>
    <row r="1" spans="1:32" ht="21" thickBot="1">
      <c r="A1" s="229">
        <f>IF(ENTREGA!A7="","",ENTREGA!A7)</f>
        <v>1</v>
      </c>
      <c r="B1" s="688" t="str">
        <f>IF(A1="","",VLOOKUP(A1,ENTREGA!$A$7:$B$21,2,FALSE))</f>
        <v xml:space="preserve">GUSTAVO ADOLFO CARMONA ALARCÓN </v>
      </c>
      <c r="C1" s="688"/>
      <c r="D1" s="688"/>
      <c r="E1" s="688"/>
      <c r="F1" s="688"/>
      <c r="G1" s="255"/>
      <c r="I1" s="229">
        <f>IF(ENTREGA!A8="","",ENTREGA!A8)</f>
        <v>2</v>
      </c>
      <c r="J1" s="688" t="str">
        <f>IF(I1="","",VLOOKUP(I1,ENTREGA!$A$7:$B$21,2,FALSE))</f>
        <v>CONSTRUCTORES E INGENIEROS UNIDOS S.A.S (CONINSAS)</v>
      </c>
      <c r="K1" s="688"/>
      <c r="L1" s="688"/>
      <c r="M1" s="688"/>
      <c r="N1" s="688"/>
      <c r="O1" s="255"/>
      <c r="Q1" s="229">
        <f>IF(ENTREGA!A9="","",ENTREGA!A9)</f>
        <v>3</v>
      </c>
      <c r="R1" s="688" t="str">
        <f>IF(Q1="","",VLOOKUP(Q1,ENTREGA!$A$7:$B$21,2,FALSE))</f>
        <v>ADMINISTRACCIÓN PUBLICA COOPERATIVA DE DEPARTAMENTOS Y MUNICIPIOS DE COLOMBIA (CODENCO)</v>
      </c>
      <c r="S1" s="688"/>
      <c r="T1" s="688"/>
      <c r="U1" s="688"/>
      <c r="V1" s="688"/>
      <c r="W1" s="255"/>
      <c r="Y1" s="229">
        <f>IF(ENTREGA!A10="","",ENTREGA!A10)</f>
        <v>4</v>
      </c>
      <c r="Z1" s="688" t="str">
        <f>IF(Y1="","",VLOOKUP(Y1,ENTREGA!$A$7:$B$21,2,FALSE))</f>
        <v>GUSTAVO ENRIQUE CARDONA VERGARA</v>
      </c>
      <c r="AA1" s="688"/>
      <c r="AB1" s="688"/>
      <c r="AC1" s="688"/>
      <c r="AD1" s="688"/>
      <c r="AE1" s="255"/>
    </row>
    <row r="2" spans="1:32" ht="24.75" customHeight="1" thickTop="1" thickBot="1">
      <c r="A2" s="668" t="s">
        <v>153</v>
      </c>
      <c r="B2" s="669"/>
      <c r="C2" s="674" t="s">
        <v>7</v>
      </c>
      <c r="D2" s="675"/>
      <c r="E2" s="675"/>
      <c r="F2" s="675"/>
      <c r="G2" s="676"/>
      <c r="H2" s="245"/>
      <c r="I2" s="668" t="s">
        <v>153</v>
      </c>
      <c r="J2" s="669"/>
      <c r="K2" s="674" t="s">
        <v>7</v>
      </c>
      <c r="L2" s="675"/>
      <c r="M2" s="675"/>
      <c r="N2" s="675"/>
      <c r="O2" s="676"/>
      <c r="P2" s="245"/>
      <c r="Q2" s="668" t="s">
        <v>153</v>
      </c>
      <c r="R2" s="669"/>
      <c r="S2" s="674" t="s">
        <v>7</v>
      </c>
      <c r="T2" s="675"/>
      <c r="U2" s="675"/>
      <c r="V2" s="675"/>
      <c r="W2" s="676"/>
      <c r="X2" s="245"/>
      <c r="Y2" s="668" t="s">
        <v>153</v>
      </c>
      <c r="Z2" s="669"/>
      <c r="AA2" s="674" t="s">
        <v>7</v>
      </c>
      <c r="AB2" s="675"/>
      <c r="AC2" s="675"/>
      <c r="AD2" s="675"/>
      <c r="AE2" s="676"/>
      <c r="AF2" s="245"/>
    </row>
    <row r="3" spans="1:32" ht="42.75" customHeight="1" thickTop="1">
      <c r="A3" s="670"/>
      <c r="B3" s="671"/>
      <c r="C3" s="677" t="s">
        <v>154</v>
      </c>
      <c r="D3" s="679" t="s">
        <v>155</v>
      </c>
      <c r="E3" s="680"/>
      <c r="F3" s="680"/>
      <c r="G3" s="681"/>
      <c r="H3" s="245"/>
      <c r="I3" s="670"/>
      <c r="J3" s="671"/>
      <c r="K3" s="677" t="s">
        <v>154</v>
      </c>
      <c r="L3" s="679" t="s">
        <v>155</v>
      </c>
      <c r="M3" s="680"/>
      <c r="N3" s="680"/>
      <c r="O3" s="681"/>
      <c r="P3" s="245"/>
      <c r="Q3" s="670"/>
      <c r="R3" s="671"/>
      <c r="S3" s="677" t="s">
        <v>154</v>
      </c>
      <c r="T3" s="679" t="s">
        <v>155</v>
      </c>
      <c r="U3" s="680"/>
      <c r="V3" s="680"/>
      <c r="W3" s="681"/>
      <c r="X3" s="245"/>
      <c r="Y3" s="670"/>
      <c r="Z3" s="671"/>
      <c r="AA3" s="677" t="s">
        <v>154</v>
      </c>
      <c r="AB3" s="679" t="s">
        <v>155</v>
      </c>
      <c r="AC3" s="680"/>
      <c r="AD3" s="680"/>
      <c r="AE3" s="681"/>
      <c r="AF3" s="245"/>
    </row>
    <row r="4" spans="1:32" ht="42.75" customHeight="1" thickBot="1">
      <c r="A4" s="672"/>
      <c r="B4" s="673"/>
      <c r="C4" s="678"/>
      <c r="D4" s="682"/>
      <c r="E4" s="683"/>
      <c r="F4" s="683"/>
      <c r="G4" s="684"/>
      <c r="H4" s="245"/>
      <c r="I4" s="672"/>
      <c r="J4" s="673"/>
      <c r="K4" s="678"/>
      <c r="L4" s="682"/>
      <c r="M4" s="683"/>
      <c r="N4" s="683"/>
      <c r="O4" s="684"/>
      <c r="P4" s="245"/>
      <c r="Q4" s="672"/>
      <c r="R4" s="673"/>
      <c r="S4" s="678"/>
      <c r="T4" s="682"/>
      <c r="U4" s="683"/>
      <c r="V4" s="683"/>
      <c r="W4" s="684"/>
      <c r="X4" s="245"/>
      <c r="Y4" s="672"/>
      <c r="Z4" s="673"/>
      <c r="AA4" s="678"/>
      <c r="AB4" s="682"/>
      <c r="AC4" s="683"/>
      <c r="AD4" s="683"/>
      <c r="AE4" s="684"/>
      <c r="AF4" s="245"/>
    </row>
    <row r="5" spans="1:32" ht="16.5" thickTop="1" thickBot="1">
      <c r="A5" s="256"/>
      <c r="B5" s="257"/>
      <c r="C5" s="685" t="s">
        <v>156</v>
      </c>
      <c r="D5" s="686"/>
      <c r="E5" s="686"/>
      <c r="F5" s="686"/>
      <c r="G5" s="687"/>
      <c r="H5" s="245"/>
      <c r="I5" s="256"/>
      <c r="J5" s="257"/>
      <c r="K5" s="685" t="s">
        <v>156</v>
      </c>
      <c r="L5" s="686"/>
      <c r="M5" s="686"/>
      <c r="N5" s="686"/>
      <c r="O5" s="687"/>
      <c r="P5" s="245"/>
      <c r="Q5" s="256"/>
      <c r="R5" s="257"/>
      <c r="S5" s="685" t="s">
        <v>156</v>
      </c>
      <c r="T5" s="686"/>
      <c r="U5" s="686"/>
      <c r="V5" s="686"/>
      <c r="W5" s="687"/>
      <c r="X5" s="245"/>
      <c r="Y5" s="256"/>
      <c r="Z5" s="257"/>
      <c r="AA5" s="685" t="s">
        <v>156</v>
      </c>
      <c r="AB5" s="686"/>
      <c r="AC5" s="686"/>
      <c r="AD5" s="686"/>
      <c r="AE5" s="687"/>
      <c r="AF5" s="245"/>
    </row>
    <row r="6" spans="1:32" ht="30" customHeight="1" thickBot="1">
      <c r="A6" s="258" t="s">
        <v>21</v>
      </c>
      <c r="B6" s="259" t="s">
        <v>157</v>
      </c>
      <c r="C6" s="260" t="s">
        <v>158</v>
      </c>
      <c r="D6" s="261" t="s">
        <v>159</v>
      </c>
      <c r="E6" s="262" t="s">
        <v>58</v>
      </c>
      <c r="F6" s="263" t="s">
        <v>59</v>
      </c>
      <c r="G6" s="263" t="s">
        <v>160</v>
      </c>
      <c r="H6" s="245"/>
      <c r="I6" s="258" t="s">
        <v>21</v>
      </c>
      <c r="J6" s="259" t="s">
        <v>157</v>
      </c>
      <c r="K6" s="260" t="s">
        <v>158</v>
      </c>
      <c r="L6" s="261" t="s">
        <v>159</v>
      </c>
      <c r="M6" s="262" t="s">
        <v>58</v>
      </c>
      <c r="N6" s="263" t="s">
        <v>59</v>
      </c>
      <c r="O6" s="263" t="s">
        <v>160</v>
      </c>
      <c r="P6" s="245"/>
      <c r="Q6" s="258" t="s">
        <v>21</v>
      </c>
      <c r="R6" s="259" t="s">
        <v>157</v>
      </c>
      <c r="S6" s="260" t="s">
        <v>158</v>
      </c>
      <c r="T6" s="261" t="s">
        <v>159</v>
      </c>
      <c r="U6" s="262" t="s">
        <v>58</v>
      </c>
      <c r="V6" s="263" t="s">
        <v>59</v>
      </c>
      <c r="W6" s="263" t="s">
        <v>160</v>
      </c>
      <c r="X6" s="245"/>
      <c r="Y6" s="258" t="s">
        <v>21</v>
      </c>
      <c r="Z6" s="259" t="s">
        <v>157</v>
      </c>
      <c r="AA6" s="260" t="s">
        <v>158</v>
      </c>
      <c r="AB6" s="261" t="s">
        <v>159</v>
      </c>
      <c r="AC6" s="262" t="s">
        <v>58</v>
      </c>
      <c r="AD6" s="263" t="s">
        <v>59</v>
      </c>
      <c r="AE6" s="263" t="s">
        <v>160</v>
      </c>
      <c r="AF6" s="245"/>
    </row>
    <row r="7" spans="1:32" s="232" customFormat="1" ht="16.5" thickTop="1" thickBot="1">
      <c r="A7" s="264"/>
      <c r="B7" s="265" t="s">
        <v>161</v>
      </c>
      <c r="C7" s="266"/>
      <c r="D7" s="267"/>
      <c r="E7" s="268"/>
      <c r="F7" s="269"/>
      <c r="G7" s="270">
        <v>0</v>
      </c>
      <c r="H7" s="246" t="str">
        <f>IF(AND(D7="",C7=""),"",IF(E7=0,1,0))</f>
        <v/>
      </c>
      <c r="I7" s="264"/>
      <c r="J7" s="265" t="s">
        <v>161</v>
      </c>
      <c r="K7" s="266"/>
      <c r="L7" s="267"/>
      <c r="M7" s="268"/>
      <c r="N7" s="269"/>
      <c r="O7" s="270">
        <v>0</v>
      </c>
      <c r="P7" s="246" t="str">
        <f>IF(AND(L7="",K7=""),"",IF(M7=0,1,0))</f>
        <v/>
      </c>
      <c r="Q7" s="264"/>
      <c r="R7" s="265" t="s">
        <v>161</v>
      </c>
      <c r="S7" s="266"/>
      <c r="T7" s="267"/>
      <c r="U7" s="268"/>
      <c r="V7" s="269"/>
      <c r="W7" s="270">
        <v>0</v>
      </c>
      <c r="X7" s="246" t="str">
        <f>IF(AND(T7="",S7=""),"",IF(U7=0,1,0))</f>
        <v/>
      </c>
      <c r="Y7" s="264"/>
      <c r="Z7" s="265" t="s">
        <v>161</v>
      </c>
      <c r="AA7" s="266"/>
      <c r="AB7" s="267"/>
      <c r="AC7" s="268"/>
      <c r="AD7" s="269"/>
      <c r="AE7" s="270">
        <v>0</v>
      </c>
      <c r="AF7" s="246" t="str">
        <f>IF(AND(AB7="",AA7=""),"",IF(AC7=0,1,0))</f>
        <v/>
      </c>
    </row>
    <row r="8" spans="1:32" s="233" customFormat="1" ht="16.5" thickTop="1" thickBot="1">
      <c r="A8" s="271" t="s">
        <v>162</v>
      </c>
      <c r="B8" s="272" t="s">
        <v>163</v>
      </c>
      <c r="C8" s="273"/>
      <c r="D8" s="274"/>
      <c r="E8" s="275"/>
      <c r="F8" s="276"/>
      <c r="G8" s="277">
        <f>SUM(F9:F10)</f>
        <v>3890100</v>
      </c>
      <c r="H8" s="246" t="str">
        <f t="shared" ref="H8:H71" si="0">IF(AND(D8="",C8=""),"",IF(E8=0,1,0))</f>
        <v/>
      </c>
      <c r="I8" s="271" t="s">
        <v>162</v>
      </c>
      <c r="J8" s="272" t="s">
        <v>163</v>
      </c>
      <c r="K8" s="273"/>
      <c r="L8" s="274"/>
      <c r="M8" s="275"/>
      <c r="N8" s="276"/>
      <c r="O8" s="277">
        <f>SUM(N9:N10)</f>
        <v>2555000</v>
      </c>
      <c r="P8" s="246" t="str">
        <f t="shared" ref="P8:P71" si="1">IF(AND(L8="",K8=""),"",IF(M8=0,1,0))</f>
        <v/>
      </c>
      <c r="Q8" s="271" t="s">
        <v>162</v>
      </c>
      <c r="R8" s="272" t="s">
        <v>163</v>
      </c>
      <c r="S8" s="273"/>
      <c r="T8" s="274"/>
      <c r="U8" s="275"/>
      <c r="V8" s="276"/>
      <c r="W8" s="277">
        <f>SUM(V9:V10)</f>
        <v>2480000</v>
      </c>
      <c r="X8" s="246" t="str">
        <f t="shared" ref="X8:X71" si="2">IF(AND(T8="",S8=""),"",IF(U8=0,1,0))</f>
        <v/>
      </c>
      <c r="Y8" s="271" t="s">
        <v>162</v>
      </c>
      <c r="Z8" s="272" t="s">
        <v>163</v>
      </c>
      <c r="AA8" s="273"/>
      <c r="AB8" s="274"/>
      <c r="AC8" s="275"/>
      <c r="AD8" s="276"/>
      <c r="AE8" s="277">
        <f>SUM(AD9:AD10)</f>
        <v>2460000</v>
      </c>
      <c r="AF8" s="246" t="str">
        <f t="shared" ref="AF8:AF71" si="3">IF(AND(AB8="",AA8=""),"",IF(AC8=0,1,0))</f>
        <v/>
      </c>
    </row>
    <row r="9" spans="1:32" s="234" customFormat="1" ht="78.75" customHeight="1" outlineLevel="1" thickTop="1" thickBot="1">
      <c r="A9" s="278" t="s">
        <v>165</v>
      </c>
      <c r="B9" s="279" t="s">
        <v>166</v>
      </c>
      <c r="C9" s="280" t="s">
        <v>94</v>
      </c>
      <c r="D9" s="281">
        <v>100</v>
      </c>
      <c r="E9" s="282">
        <v>18651</v>
      </c>
      <c r="F9" s="283">
        <f>ROUND(D9*E9,0)</f>
        <v>1865100</v>
      </c>
      <c r="G9" s="664">
        <v>0</v>
      </c>
      <c r="H9" s="246">
        <f t="shared" si="0"/>
        <v>0</v>
      </c>
      <c r="I9" s="278" t="s">
        <v>165</v>
      </c>
      <c r="J9" s="279" t="s">
        <v>166</v>
      </c>
      <c r="K9" s="280" t="s">
        <v>94</v>
      </c>
      <c r="L9" s="281">
        <v>100</v>
      </c>
      <c r="M9" s="282">
        <v>2900</v>
      </c>
      <c r="N9" s="283">
        <f>ROUND(L9*M9,0)</f>
        <v>290000</v>
      </c>
      <c r="O9" s="664">
        <v>0</v>
      </c>
      <c r="P9" s="246">
        <f t="shared" si="1"/>
        <v>0</v>
      </c>
      <c r="Q9" s="278" t="s">
        <v>165</v>
      </c>
      <c r="R9" s="279" t="s">
        <v>166</v>
      </c>
      <c r="S9" s="280" t="s">
        <v>94</v>
      </c>
      <c r="T9" s="281">
        <v>100</v>
      </c>
      <c r="U9" s="282">
        <v>3200</v>
      </c>
      <c r="V9" s="283">
        <f>ROUND(T9*U9,0)</f>
        <v>320000</v>
      </c>
      <c r="W9" s="664">
        <v>0</v>
      </c>
      <c r="X9" s="246">
        <f t="shared" si="2"/>
        <v>0</v>
      </c>
      <c r="Y9" s="278" t="s">
        <v>165</v>
      </c>
      <c r="Z9" s="279" t="s">
        <v>166</v>
      </c>
      <c r="AA9" s="280" t="s">
        <v>94</v>
      </c>
      <c r="AB9" s="281">
        <v>100</v>
      </c>
      <c r="AC9" s="282">
        <v>3000</v>
      </c>
      <c r="AD9" s="283">
        <f>ROUND(AB9*AC9,0)</f>
        <v>300000</v>
      </c>
      <c r="AE9" s="664">
        <v>0</v>
      </c>
      <c r="AF9" s="246">
        <f t="shared" si="3"/>
        <v>0</v>
      </c>
    </row>
    <row r="10" spans="1:32" s="234" customFormat="1" ht="76.5" outlineLevel="1" thickTop="1" thickBot="1">
      <c r="A10" s="278" t="s">
        <v>167</v>
      </c>
      <c r="B10" s="279" t="s">
        <v>168</v>
      </c>
      <c r="C10" s="284" t="s">
        <v>169</v>
      </c>
      <c r="D10" s="281">
        <v>50</v>
      </c>
      <c r="E10" s="282">
        <v>40500</v>
      </c>
      <c r="F10" s="283">
        <f>ROUND(D10*E10,0)</f>
        <v>2025000</v>
      </c>
      <c r="G10" s="662"/>
      <c r="H10" s="246">
        <f t="shared" si="0"/>
        <v>0</v>
      </c>
      <c r="I10" s="278" t="s">
        <v>167</v>
      </c>
      <c r="J10" s="279" t="s">
        <v>168</v>
      </c>
      <c r="K10" s="284" t="s">
        <v>169</v>
      </c>
      <c r="L10" s="281">
        <v>50</v>
      </c>
      <c r="M10" s="282">
        <v>45300</v>
      </c>
      <c r="N10" s="283">
        <f>ROUND(L10*M10,0)</f>
        <v>2265000</v>
      </c>
      <c r="O10" s="662"/>
      <c r="P10" s="246">
        <f t="shared" si="1"/>
        <v>0</v>
      </c>
      <c r="Q10" s="278" t="s">
        <v>167</v>
      </c>
      <c r="R10" s="279" t="s">
        <v>168</v>
      </c>
      <c r="S10" s="284" t="s">
        <v>169</v>
      </c>
      <c r="T10" s="281">
        <v>50</v>
      </c>
      <c r="U10" s="282">
        <v>43200</v>
      </c>
      <c r="V10" s="283">
        <f>ROUND(T10*U10,0)</f>
        <v>2160000</v>
      </c>
      <c r="W10" s="662"/>
      <c r="X10" s="246">
        <f t="shared" si="2"/>
        <v>0</v>
      </c>
      <c r="Y10" s="278" t="s">
        <v>167</v>
      </c>
      <c r="Z10" s="279" t="s">
        <v>168</v>
      </c>
      <c r="AA10" s="284" t="s">
        <v>169</v>
      </c>
      <c r="AB10" s="281">
        <v>50</v>
      </c>
      <c r="AC10" s="282">
        <v>43200</v>
      </c>
      <c r="AD10" s="283">
        <f>ROUND(AB10*AC10,0)</f>
        <v>2160000</v>
      </c>
      <c r="AE10" s="662"/>
      <c r="AF10" s="246">
        <f t="shared" si="3"/>
        <v>0</v>
      </c>
    </row>
    <row r="11" spans="1:32" s="234" customFormat="1" ht="16.5" outlineLevel="1" thickTop="1" thickBot="1">
      <c r="A11" s="285" t="s">
        <v>4</v>
      </c>
      <c r="B11" s="272" t="s">
        <v>170</v>
      </c>
      <c r="C11" s="273"/>
      <c r="D11" s="274"/>
      <c r="E11" s="275"/>
      <c r="F11" s="276"/>
      <c r="G11" s="277">
        <f>SUM(F12:F14)</f>
        <v>118043640</v>
      </c>
      <c r="H11" s="246" t="str">
        <f t="shared" si="0"/>
        <v/>
      </c>
      <c r="I11" s="285" t="s">
        <v>4</v>
      </c>
      <c r="J11" s="272" t="s">
        <v>170</v>
      </c>
      <c r="K11" s="273"/>
      <c r="L11" s="274"/>
      <c r="M11" s="275"/>
      <c r="N11" s="276"/>
      <c r="O11" s="277">
        <f>SUM(N12:N14)</f>
        <v>62461000</v>
      </c>
      <c r="P11" s="246" t="str">
        <f t="shared" si="1"/>
        <v/>
      </c>
      <c r="Q11" s="285" t="s">
        <v>4</v>
      </c>
      <c r="R11" s="272" t="s">
        <v>170</v>
      </c>
      <c r="S11" s="273"/>
      <c r="T11" s="274"/>
      <c r="U11" s="275"/>
      <c r="V11" s="276"/>
      <c r="W11" s="277">
        <f>SUM(V12:V14)</f>
        <v>60650100</v>
      </c>
      <c r="X11" s="246" t="str">
        <f t="shared" si="2"/>
        <v/>
      </c>
      <c r="Y11" s="285" t="s">
        <v>4</v>
      </c>
      <c r="Z11" s="272" t="s">
        <v>170</v>
      </c>
      <c r="AA11" s="273"/>
      <c r="AB11" s="274"/>
      <c r="AC11" s="275"/>
      <c r="AD11" s="276"/>
      <c r="AE11" s="277">
        <f>SUM(AD12:AD14)</f>
        <v>61463500</v>
      </c>
      <c r="AF11" s="246" t="str">
        <f t="shared" si="3"/>
        <v/>
      </c>
    </row>
    <row r="12" spans="1:32" s="235" customFormat="1" ht="136.5" outlineLevel="2" thickTop="1" thickBot="1">
      <c r="A12" s="278" t="s">
        <v>171</v>
      </c>
      <c r="B12" s="279" t="s">
        <v>172</v>
      </c>
      <c r="C12" s="284" t="s">
        <v>173</v>
      </c>
      <c r="D12" s="281">
        <v>700</v>
      </c>
      <c r="E12" s="282">
        <v>10800</v>
      </c>
      <c r="F12" s="283">
        <f t="shared" ref="F12:F14" si="4">ROUND(D12*E12,0)</f>
        <v>7560000</v>
      </c>
      <c r="G12" s="664">
        <v>0</v>
      </c>
      <c r="H12" s="246">
        <f t="shared" si="0"/>
        <v>0</v>
      </c>
      <c r="I12" s="278" t="s">
        <v>171</v>
      </c>
      <c r="J12" s="279" t="s">
        <v>172</v>
      </c>
      <c r="K12" s="284" t="s">
        <v>173</v>
      </c>
      <c r="L12" s="281">
        <v>700</v>
      </c>
      <c r="M12" s="282">
        <v>11200</v>
      </c>
      <c r="N12" s="283">
        <f t="shared" ref="N12:N14" si="5">ROUND(L12*M12,0)</f>
        <v>7840000</v>
      </c>
      <c r="O12" s="664">
        <v>0</v>
      </c>
      <c r="P12" s="246">
        <f t="shared" si="1"/>
        <v>0</v>
      </c>
      <c r="Q12" s="278" t="s">
        <v>171</v>
      </c>
      <c r="R12" s="279" t="s">
        <v>172</v>
      </c>
      <c r="S12" s="284" t="s">
        <v>173</v>
      </c>
      <c r="T12" s="281">
        <v>700</v>
      </c>
      <c r="U12" s="282">
        <v>10100</v>
      </c>
      <c r="V12" s="283">
        <f t="shared" ref="V12:V14" si="6">ROUND(T12*U12,0)</f>
        <v>7070000</v>
      </c>
      <c r="W12" s="664">
        <v>0</v>
      </c>
      <c r="X12" s="246">
        <f t="shared" si="2"/>
        <v>0</v>
      </c>
      <c r="Y12" s="278" t="s">
        <v>171</v>
      </c>
      <c r="Z12" s="279" t="s">
        <v>172</v>
      </c>
      <c r="AA12" s="284" t="s">
        <v>173</v>
      </c>
      <c r="AB12" s="281">
        <v>700</v>
      </c>
      <c r="AC12" s="282">
        <v>10200</v>
      </c>
      <c r="AD12" s="283">
        <f t="shared" ref="AD12:AD14" si="7">ROUND(AB12*AC12,0)</f>
        <v>7140000</v>
      </c>
      <c r="AE12" s="664">
        <v>0</v>
      </c>
      <c r="AF12" s="246">
        <f t="shared" si="3"/>
        <v>0</v>
      </c>
    </row>
    <row r="13" spans="1:32" s="235" customFormat="1" ht="136.5" outlineLevel="2" thickTop="1" thickBot="1">
      <c r="A13" s="278" t="s">
        <v>174</v>
      </c>
      <c r="B13" s="286" t="s">
        <v>175</v>
      </c>
      <c r="C13" s="284" t="s">
        <v>173</v>
      </c>
      <c r="D13" s="281">
        <v>3700</v>
      </c>
      <c r="E13" s="282">
        <v>29240</v>
      </c>
      <c r="F13" s="287">
        <f t="shared" si="4"/>
        <v>108188000</v>
      </c>
      <c r="G13" s="664"/>
      <c r="H13" s="246">
        <f t="shared" si="0"/>
        <v>0</v>
      </c>
      <c r="I13" s="278" t="s">
        <v>174</v>
      </c>
      <c r="J13" s="286" t="s">
        <v>175</v>
      </c>
      <c r="K13" s="284" t="s">
        <v>173</v>
      </c>
      <c r="L13" s="281">
        <v>3700</v>
      </c>
      <c r="M13" s="282">
        <v>14300</v>
      </c>
      <c r="N13" s="287">
        <f t="shared" si="5"/>
        <v>52910000</v>
      </c>
      <c r="O13" s="664"/>
      <c r="P13" s="246">
        <f t="shared" si="1"/>
        <v>0</v>
      </c>
      <c r="Q13" s="278" t="s">
        <v>174</v>
      </c>
      <c r="R13" s="286" t="s">
        <v>175</v>
      </c>
      <c r="S13" s="284" t="s">
        <v>173</v>
      </c>
      <c r="T13" s="281">
        <v>3700</v>
      </c>
      <c r="U13" s="282">
        <v>14003</v>
      </c>
      <c r="V13" s="287">
        <f t="shared" si="6"/>
        <v>51811100</v>
      </c>
      <c r="W13" s="664"/>
      <c r="X13" s="246">
        <f t="shared" si="2"/>
        <v>0</v>
      </c>
      <c r="Y13" s="278" t="s">
        <v>174</v>
      </c>
      <c r="Z13" s="286" t="s">
        <v>175</v>
      </c>
      <c r="AA13" s="284" t="s">
        <v>173</v>
      </c>
      <c r="AB13" s="281">
        <v>3700</v>
      </c>
      <c r="AC13" s="282">
        <v>14200</v>
      </c>
      <c r="AD13" s="287">
        <f t="shared" si="7"/>
        <v>52540000</v>
      </c>
      <c r="AE13" s="664"/>
      <c r="AF13" s="246">
        <f t="shared" si="3"/>
        <v>0</v>
      </c>
    </row>
    <row r="14" spans="1:32" s="235" customFormat="1" ht="106.5" outlineLevel="2" thickTop="1" thickBot="1">
      <c r="A14" s="278" t="s">
        <v>176</v>
      </c>
      <c r="B14" s="286" t="s">
        <v>177</v>
      </c>
      <c r="C14" s="284" t="s">
        <v>94</v>
      </c>
      <c r="D14" s="281">
        <v>145</v>
      </c>
      <c r="E14" s="282">
        <v>15832</v>
      </c>
      <c r="F14" s="283">
        <f t="shared" si="4"/>
        <v>2295640</v>
      </c>
      <c r="G14" s="662"/>
      <c r="H14" s="246">
        <f t="shared" si="0"/>
        <v>0</v>
      </c>
      <c r="I14" s="278" t="s">
        <v>176</v>
      </c>
      <c r="J14" s="286" t="s">
        <v>177</v>
      </c>
      <c r="K14" s="284" t="s">
        <v>94</v>
      </c>
      <c r="L14" s="281">
        <v>145</v>
      </c>
      <c r="M14" s="282">
        <v>11800</v>
      </c>
      <c r="N14" s="283">
        <f t="shared" si="5"/>
        <v>1711000</v>
      </c>
      <c r="O14" s="662"/>
      <c r="P14" s="246">
        <f t="shared" si="1"/>
        <v>0</v>
      </c>
      <c r="Q14" s="278" t="s">
        <v>176</v>
      </c>
      <c r="R14" s="286" t="s">
        <v>177</v>
      </c>
      <c r="S14" s="284" t="s">
        <v>94</v>
      </c>
      <c r="T14" s="281">
        <v>145</v>
      </c>
      <c r="U14" s="282">
        <v>12200</v>
      </c>
      <c r="V14" s="283">
        <f t="shared" si="6"/>
        <v>1769000</v>
      </c>
      <c r="W14" s="662"/>
      <c r="X14" s="246">
        <f t="shared" si="2"/>
        <v>0</v>
      </c>
      <c r="Y14" s="278" t="s">
        <v>176</v>
      </c>
      <c r="Z14" s="286" t="s">
        <v>177</v>
      </c>
      <c r="AA14" s="284" t="s">
        <v>94</v>
      </c>
      <c r="AB14" s="281">
        <v>145</v>
      </c>
      <c r="AC14" s="282">
        <v>12300</v>
      </c>
      <c r="AD14" s="283">
        <f t="shared" si="7"/>
        <v>1783500</v>
      </c>
      <c r="AE14" s="662"/>
      <c r="AF14" s="246">
        <f t="shared" si="3"/>
        <v>0</v>
      </c>
    </row>
    <row r="15" spans="1:32" s="235" customFormat="1" ht="16.5" outlineLevel="2" thickTop="1" thickBot="1">
      <c r="A15" s="285" t="s">
        <v>5</v>
      </c>
      <c r="B15" s="272" t="s">
        <v>178</v>
      </c>
      <c r="C15" s="273"/>
      <c r="D15" s="274"/>
      <c r="E15" s="274"/>
      <c r="F15" s="276"/>
      <c r="G15" s="277">
        <f>SUM(F16:F17)</f>
        <v>54095250</v>
      </c>
      <c r="H15" s="246" t="str">
        <f t="shared" si="0"/>
        <v/>
      </c>
      <c r="I15" s="285" t="s">
        <v>5</v>
      </c>
      <c r="J15" s="272" t="s">
        <v>178</v>
      </c>
      <c r="K15" s="273"/>
      <c r="L15" s="274"/>
      <c r="M15" s="274"/>
      <c r="N15" s="276"/>
      <c r="O15" s="277">
        <f>SUM(N16:N17)</f>
        <v>21780000</v>
      </c>
      <c r="P15" s="246" t="str">
        <f t="shared" si="1"/>
        <v/>
      </c>
      <c r="Q15" s="285" t="s">
        <v>5</v>
      </c>
      <c r="R15" s="272" t="s">
        <v>178</v>
      </c>
      <c r="S15" s="273"/>
      <c r="T15" s="274"/>
      <c r="U15" s="274"/>
      <c r="V15" s="276"/>
      <c r="W15" s="277">
        <f>SUM(V16:V17)</f>
        <v>20988000</v>
      </c>
      <c r="X15" s="246" t="str">
        <f t="shared" si="2"/>
        <v/>
      </c>
      <c r="Y15" s="285" t="s">
        <v>5</v>
      </c>
      <c r="Z15" s="272" t="s">
        <v>178</v>
      </c>
      <c r="AA15" s="273"/>
      <c r="AB15" s="274"/>
      <c r="AC15" s="274"/>
      <c r="AD15" s="276"/>
      <c r="AE15" s="277">
        <f>SUM(AD16:AD17)</f>
        <v>21285000</v>
      </c>
      <c r="AF15" s="246" t="str">
        <f t="shared" si="3"/>
        <v/>
      </c>
    </row>
    <row r="16" spans="1:32" s="235" customFormat="1" ht="91.5" outlineLevel="2" thickTop="1" thickBot="1">
      <c r="A16" s="278" t="s">
        <v>60</v>
      </c>
      <c r="B16" s="288" t="s">
        <v>179</v>
      </c>
      <c r="C16" s="284" t="s">
        <v>173</v>
      </c>
      <c r="D16" s="281">
        <v>1650</v>
      </c>
      <c r="E16" s="289">
        <v>13605</v>
      </c>
      <c r="F16" s="290">
        <f t="shared" ref="F16:F17" si="8">ROUND(D16*E16,0)</f>
        <v>22448250</v>
      </c>
      <c r="G16" s="664">
        <v>0</v>
      </c>
      <c r="H16" s="246">
        <f t="shared" si="0"/>
        <v>0</v>
      </c>
      <c r="I16" s="278" t="s">
        <v>60</v>
      </c>
      <c r="J16" s="288" t="s">
        <v>179</v>
      </c>
      <c r="K16" s="284" t="s">
        <v>173</v>
      </c>
      <c r="L16" s="281">
        <v>1650</v>
      </c>
      <c r="M16" s="289">
        <v>5500</v>
      </c>
      <c r="N16" s="290">
        <f t="shared" ref="N16:N17" si="9">ROUND(L16*M16,0)</f>
        <v>9075000</v>
      </c>
      <c r="O16" s="664">
        <v>0</v>
      </c>
      <c r="P16" s="246">
        <f t="shared" si="1"/>
        <v>0</v>
      </c>
      <c r="Q16" s="278" t="s">
        <v>60</v>
      </c>
      <c r="R16" s="288" t="s">
        <v>179</v>
      </c>
      <c r="S16" s="284" t="s">
        <v>173</v>
      </c>
      <c r="T16" s="281">
        <v>1650</v>
      </c>
      <c r="U16" s="289">
        <v>5029</v>
      </c>
      <c r="V16" s="290">
        <f t="shared" ref="V16:V17" si="10">ROUND(T16*U16,0)</f>
        <v>8297850</v>
      </c>
      <c r="W16" s="664">
        <v>0</v>
      </c>
      <c r="X16" s="246">
        <f t="shared" si="2"/>
        <v>0</v>
      </c>
      <c r="Y16" s="278" t="s">
        <v>60</v>
      </c>
      <c r="Z16" s="288" t="s">
        <v>179</v>
      </c>
      <c r="AA16" s="284" t="s">
        <v>173</v>
      </c>
      <c r="AB16" s="281">
        <v>1650</v>
      </c>
      <c r="AC16" s="289">
        <v>5100</v>
      </c>
      <c r="AD16" s="290">
        <f t="shared" ref="AD16:AD17" si="11">ROUND(AB16*AC16,0)</f>
        <v>8415000</v>
      </c>
      <c r="AE16" s="664">
        <v>0</v>
      </c>
      <c r="AF16" s="246">
        <f t="shared" si="3"/>
        <v>0</v>
      </c>
    </row>
    <row r="17" spans="1:32" s="235" customFormat="1" ht="91.5" outlineLevel="2" thickTop="1" thickBot="1">
      <c r="A17" s="278" t="s">
        <v>180</v>
      </c>
      <c r="B17" s="288" t="s">
        <v>181</v>
      </c>
      <c r="C17" s="284" t="s">
        <v>173</v>
      </c>
      <c r="D17" s="281">
        <v>1650</v>
      </c>
      <c r="E17" s="289">
        <v>19180</v>
      </c>
      <c r="F17" s="290">
        <f t="shared" si="8"/>
        <v>31647000</v>
      </c>
      <c r="G17" s="664"/>
      <c r="H17" s="246">
        <f t="shared" si="0"/>
        <v>0</v>
      </c>
      <c r="I17" s="278" t="s">
        <v>180</v>
      </c>
      <c r="J17" s="288" t="s">
        <v>181</v>
      </c>
      <c r="K17" s="284" t="s">
        <v>173</v>
      </c>
      <c r="L17" s="281">
        <v>1650</v>
      </c>
      <c r="M17" s="289">
        <v>7700</v>
      </c>
      <c r="N17" s="290">
        <f t="shared" si="9"/>
        <v>12705000</v>
      </c>
      <c r="O17" s="664"/>
      <c r="P17" s="246">
        <f t="shared" si="1"/>
        <v>0</v>
      </c>
      <c r="Q17" s="278" t="s">
        <v>180</v>
      </c>
      <c r="R17" s="288" t="s">
        <v>181</v>
      </c>
      <c r="S17" s="284" t="s">
        <v>173</v>
      </c>
      <c r="T17" s="281">
        <v>1650</v>
      </c>
      <c r="U17" s="289">
        <v>7691</v>
      </c>
      <c r="V17" s="290">
        <f t="shared" si="10"/>
        <v>12690150</v>
      </c>
      <c r="W17" s="664"/>
      <c r="X17" s="246">
        <f t="shared" si="2"/>
        <v>0</v>
      </c>
      <c r="Y17" s="278" t="s">
        <v>180</v>
      </c>
      <c r="Z17" s="288" t="s">
        <v>181</v>
      </c>
      <c r="AA17" s="284" t="s">
        <v>173</v>
      </c>
      <c r="AB17" s="281">
        <v>1650</v>
      </c>
      <c r="AC17" s="289">
        <v>7800</v>
      </c>
      <c r="AD17" s="290">
        <f t="shared" si="11"/>
        <v>12870000</v>
      </c>
      <c r="AE17" s="664"/>
      <c r="AF17" s="246">
        <f t="shared" si="3"/>
        <v>0</v>
      </c>
    </row>
    <row r="18" spans="1:32" s="235" customFormat="1" ht="16.5" outlineLevel="2" thickTop="1" thickBot="1">
      <c r="A18" s="285" t="s">
        <v>6</v>
      </c>
      <c r="B18" s="272" t="s">
        <v>182</v>
      </c>
      <c r="C18" s="273"/>
      <c r="D18" s="274"/>
      <c r="E18" s="274"/>
      <c r="F18" s="276"/>
      <c r="G18" s="277">
        <f>SUM(F19:F21)</f>
        <v>9141480</v>
      </c>
      <c r="H18" s="246" t="str">
        <f t="shared" si="0"/>
        <v/>
      </c>
      <c r="I18" s="285" t="s">
        <v>6</v>
      </c>
      <c r="J18" s="272" t="s">
        <v>182</v>
      </c>
      <c r="K18" s="273"/>
      <c r="L18" s="274"/>
      <c r="M18" s="274"/>
      <c r="N18" s="276"/>
      <c r="O18" s="277">
        <f>SUM(N19:N21)</f>
        <v>10632600</v>
      </c>
      <c r="P18" s="246" t="str">
        <f t="shared" si="1"/>
        <v/>
      </c>
      <c r="Q18" s="285" t="s">
        <v>6</v>
      </c>
      <c r="R18" s="272" t="s">
        <v>182</v>
      </c>
      <c r="S18" s="273"/>
      <c r="T18" s="274"/>
      <c r="U18" s="274"/>
      <c r="V18" s="276"/>
      <c r="W18" s="277">
        <f>SUM(V19:V21)</f>
        <v>11605649</v>
      </c>
      <c r="X18" s="246" t="str">
        <f t="shared" si="2"/>
        <v/>
      </c>
      <c r="Y18" s="285" t="s">
        <v>6</v>
      </c>
      <c r="Z18" s="272" t="s">
        <v>182</v>
      </c>
      <c r="AA18" s="273"/>
      <c r="AB18" s="274"/>
      <c r="AC18" s="274"/>
      <c r="AD18" s="276"/>
      <c r="AE18" s="277">
        <f>SUM(AD19:AD21)</f>
        <v>11770200</v>
      </c>
      <c r="AF18" s="246" t="str">
        <f t="shared" si="3"/>
        <v/>
      </c>
    </row>
    <row r="19" spans="1:32" s="235" customFormat="1" ht="91.5" outlineLevel="2" thickTop="1" thickBot="1">
      <c r="A19" s="278" t="s">
        <v>61</v>
      </c>
      <c r="B19" s="288" t="s">
        <v>183</v>
      </c>
      <c r="C19" s="284" t="s">
        <v>173</v>
      </c>
      <c r="D19" s="291">
        <v>27</v>
      </c>
      <c r="E19" s="292">
        <v>162000</v>
      </c>
      <c r="F19" s="283">
        <f t="shared" ref="F19:F21" si="12">ROUND(D19*E19,0)</f>
        <v>4374000</v>
      </c>
      <c r="G19" s="665">
        <v>0</v>
      </c>
      <c r="H19" s="246">
        <f t="shared" si="0"/>
        <v>0</v>
      </c>
      <c r="I19" s="278" t="s">
        <v>61</v>
      </c>
      <c r="J19" s="288" t="s">
        <v>183</v>
      </c>
      <c r="K19" s="284" t="s">
        <v>173</v>
      </c>
      <c r="L19" s="291">
        <v>27</v>
      </c>
      <c r="M19" s="292">
        <v>49800</v>
      </c>
      <c r="N19" s="283">
        <f t="shared" ref="N19:N21" si="13">ROUND(L19*M19,0)</f>
        <v>1344600</v>
      </c>
      <c r="O19" s="665">
        <v>0</v>
      </c>
      <c r="P19" s="246">
        <f t="shared" si="1"/>
        <v>0</v>
      </c>
      <c r="Q19" s="278" t="s">
        <v>61</v>
      </c>
      <c r="R19" s="288" t="s">
        <v>183</v>
      </c>
      <c r="S19" s="284" t="s">
        <v>173</v>
      </c>
      <c r="T19" s="291">
        <v>27</v>
      </c>
      <c r="U19" s="292">
        <v>52457</v>
      </c>
      <c r="V19" s="283">
        <f t="shared" ref="V19:V21" si="14">ROUND(T19*U19,0)</f>
        <v>1416339</v>
      </c>
      <c r="W19" s="665">
        <v>0</v>
      </c>
      <c r="X19" s="246">
        <f t="shared" si="2"/>
        <v>0</v>
      </c>
      <c r="Y19" s="278" t="s">
        <v>61</v>
      </c>
      <c r="Z19" s="288" t="s">
        <v>183</v>
      </c>
      <c r="AA19" s="284" t="s">
        <v>173</v>
      </c>
      <c r="AB19" s="291">
        <v>27</v>
      </c>
      <c r="AC19" s="292">
        <v>53200</v>
      </c>
      <c r="AD19" s="283">
        <f t="shared" ref="AD19:AD21" si="15">ROUND(AB19*AC19,0)</f>
        <v>1436400</v>
      </c>
      <c r="AE19" s="665">
        <v>0</v>
      </c>
      <c r="AF19" s="246">
        <f t="shared" si="3"/>
        <v>0</v>
      </c>
    </row>
    <row r="20" spans="1:32" s="235" customFormat="1" ht="106.5" outlineLevel="2" thickTop="1" thickBot="1">
      <c r="A20" s="278" t="s">
        <v>62</v>
      </c>
      <c r="B20" s="279" t="s">
        <v>184</v>
      </c>
      <c r="C20" s="284" t="s">
        <v>94</v>
      </c>
      <c r="D20" s="291">
        <v>102</v>
      </c>
      <c r="E20" s="292">
        <v>23940</v>
      </c>
      <c r="F20" s="283">
        <f t="shared" si="12"/>
        <v>2441880</v>
      </c>
      <c r="G20" s="666"/>
      <c r="H20" s="246">
        <f t="shared" si="0"/>
        <v>0</v>
      </c>
      <c r="I20" s="278" t="s">
        <v>62</v>
      </c>
      <c r="J20" s="279" t="s">
        <v>184</v>
      </c>
      <c r="K20" s="284" t="s">
        <v>94</v>
      </c>
      <c r="L20" s="291">
        <v>102</v>
      </c>
      <c r="M20" s="292">
        <v>39200</v>
      </c>
      <c r="N20" s="283">
        <f t="shared" si="13"/>
        <v>3998400</v>
      </c>
      <c r="O20" s="666"/>
      <c r="P20" s="246">
        <f t="shared" si="1"/>
        <v>0</v>
      </c>
      <c r="Q20" s="278" t="s">
        <v>62</v>
      </c>
      <c r="R20" s="279" t="s">
        <v>184</v>
      </c>
      <c r="S20" s="284" t="s">
        <v>94</v>
      </c>
      <c r="T20" s="291">
        <v>102</v>
      </c>
      <c r="U20" s="292">
        <v>41709</v>
      </c>
      <c r="V20" s="283">
        <f t="shared" si="14"/>
        <v>4254318</v>
      </c>
      <c r="W20" s="666"/>
      <c r="X20" s="246">
        <f t="shared" si="2"/>
        <v>0</v>
      </c>
      <c r="Y20" s="278" t="s">
        <v>62</v>
      </c>
      <c r="Z20" s="279" t="s">
        <v>184</v>
      </c>
      <c r="AA20" s="284" t="s">
        <v>94</v>
      </c>
      <c r="AB20" s="291">
        <v>102</v>
      </c>
      <c r="AC20" s="292">
        <v>42300</v>
      </c>
      <c r="AD20" s="283">
        <f t="shared" si="15"/>
        <v>4314600</v>
      </c>
      <c r="AE20" s="666"/>
      <c r="AF20" s="246">
        <f t="shared" si="3"/>
        <v>0</v>
      </c>
    </row>
    <row r="21" spans="1:32" s="235" customFormat="1" ht="121.5" outlineLevel="2" thickTop="1" thickBot="1">
      <c r="A21" s="278" t="s">
        <v>107</v>
      </c>
      <c r="B21" s="279" t="s">
        <v>185</v>
      </c>
      <c r="C21" s="284" t="s">
        <v>100</v>
      </c>
      <c r="D21" s="291">
        <v>304</v>
      </c>
      <c r="E21" s="292">
        <v>7650</v>
      </c>
      <c r="F21" s="283">
        <f t="shared" si="12"/>
        <v>2325600</v>
      </c>
      <c r="G21" s="667"/>
      <c r="H21" s="246">
        <f t="shared" si="0"/>
        <v>0</v>
      </c>
      <c r="I21" s="278" t="s">
        <v>107</v>
      </c>
      <c r="J21" s="279" t="s">
        <v>185</v>
      </c>
      <c r="K21" s="284" t="s">
        <v>100</v>
      </c>
      <c r="L21" s="291">
        <v>304</v>
      </c>
      <c r="M21" s="292">
        <v>17400</v>
      </c>
      <c r="N21" s="283">
        <f t="shared" si="13"/>
        <v>5289600</v>
      </c>
      <c r="O21" s="667"/>
      <c r="P21" s="246">
        <f t="shared" si="1"/>
        <v>0</v>
      </c>
      <c r="Q21" s="278" t="s">
        <v>107</v>
      </c>
      <c r="R21" s="279" t="s">
        <v>185</v>
      </c>
      <c r="S21" s="284" t="s">
        <v>100</v>
      </c>
      <c r="T21" s="291">
        <v>304</v>
      </c>
      <c r="U21" s="292">
        <v>19523</v>
      </c>
      <c r="V21" s="283">
        <f t="shared" si="14"/>
        <v>5934992</v>
      </c>
      <c r="W21" s="667"/>
      <c r="X21" s="246">
        <f t="shared" si="2"/>
        <v>0</v>
      </c>
      <c r="Y21" s="278" t="s">
        <v>107</v>
      </c>
      <c r="Z21" s="279" t="s">
        <v>185</v>
      </c>
      <c r="AA21" s="284" t="s">
        <v>100</v>
      </c>
      <c r="AB21" s="291">
        <v>304</v>
      </c>
      <c r="AC21" s="292">
        <v>19800</v>
      </c>
      <c r="AD21" s="283">
        <f t="shared" si="15"/>
        <v>6019200</v>
      </c>
      <c r="AE21" s="667"/>
      <c r="AF21" s="246">
        <f t="shared" si="3"/>
        <v>0</v>
      </c>
    </row>
    <row r="22" spans="1:32" s="234" customFormat="1" ht="16.5" outlineLevel="1" thickTop="1" thickBot="1">
      <c r="A22" s="285" t="s">
        <v>8</v>
      </c>
      <c r="B22" s="272" t="s">
        <v>186</v>
      </c>
      <c r="C22" s="273"/>
      <c r="D22" s="274"/>
      <c r="E22" s="274"/>
      <c r="F22" s="276"/>
      <c r="G22" s="277">
        <f>SUM(F23:F26)</f>
        <v>15450341</v>
      </c>
      <c r="H22" s="246" t="str">
        <f t="shared" si="0"/>
        <v/>
      </c>
      <c r="I22" s="285" t="s">
        <v>8</v>
      </c>
      <c r="J22" s="272" t="s">
        <v>186</v>
      </c>
      <c r="K22" s="273"/>
      <c r="L22" s="274"/>
      <c r="M22" s="274"/>
      <c r="N22" s="276"/>
      <c r="O22" s="277">
        <f>SUM(N23:N26)</f>
        <v>16901420</v>
      </c>
      <c r="P22" s="246" t="str">
        <f t="shared" si="1"/>
        <v/>
      </c>
      <c r="Q22" s="285" t="s">
        <v>8</v>
      </c>
      <c r="R22" s="272" t="s">
        <v>186</v>
      </c>
      <c r="S22" s="273"/>
      <c r="T22" s="274"/>
      <c r="U22" s="274"/>
      <c r="V22" s="276"/>
      <c r="W22" s="277">
        <f>SUM(V23:V26)</f>
        <v>16986359</v>
      </c>
      <c r="X22" s="246" t="str">
        <f t="shared" si="2"/>
        <v/>
      </c>
      <c r="Y22" s="285" t="s">
        <v>8</v>
      </c>
      <c r="Z22" s="272" t="s">
        <v>186</v>
      </c>
      <c r="AA22" s="273"/>
      <c r="AB22" s="274"/>
      <c r="AC22" s="274"/>
      <c r="AD22" s="276"/>
      <c r="AE22" s="277">
        <f>SUM(AD23:AD26)</f>
        <v>17227300</v>
      </c>
      <c r="AF22" s="246" t="str">
        <f t="shared" si="3"/>
        <v/>
      </c>
    </row>
    <row r="23" spans="1:32" s="235" customFormat="1" ht="61.5" outlineLevel="2" thickTop="1" thickBot="1">
      <c r="A23" s="278" t="s">
        <v>108</v>
      </c>
      <c r="B23" s="288" t="s">
        <v>187</v>
      </c>
      <c r="C23" s="284" t="s">
        <v>173</v>
      </c>
      <c r="D23" s="281">
        <v>485</v>
      </c>
      <c r="E23" s="293">
        <v>11880</v>
      </c>
      <c r="F23" s="283">
        <f t="shared" ref="F23:F26" si="16">ROUND(D23*E23,0)</f>
        <v>5761800</v>
      </c>
      <c r="G23" s="657">
        <v>0</v>
      </c>
      <c r="H23" s="246">
        <f t="shared" si="0"/>
        <v>0</v>
      </c>
      <c r="I23" s="278" t="s">
        <v>108</v>
      </c>
      <c r="J23" s="288" t="s">
        <v>187</v>
      </c>
      <c r="K23" s="284" t="s">
        <v>173</v>
      </c>
      <c r="L23" s="281">
        <v>485</v>
      </c>
      <c r="M23" s="293">
        <v>11500</v>
      </c>
      <c r="N23" s="283">
        <f t="shared" ref="N23:N26" si="17">ROUND(L23*M23,0)</f>
        <v>5577500</v>
      </c>
      <c r="O23" s="657">
        <v>0</v>
      </c>
      <c r="P23" s="246">
        <f t="shared" si="1"/>
        <v>0</v>
      </c>
      <c r="Q23" s="278" t="s">
        <v>108</v>
      </c>
      <c r="R23" s="288" t="s">
        <v>187</v>
      </c>
      <c r="S23" s="284" t="s">
        <v>173</v>
      </c>
      <c r="T23" s="281">
        <v>485</v>
      </c>
      <c r="U23" s="293">
        <v>11931</v>
      </c>
      <c r="V23" s="283">
        <f t="shared" ref="V23:V26" si="18">ROUND(T23*U23,0)</f>
        <v>5786535</v>
      </c>
      <c r="W23" s="657">
        <v>0</v>
      </c>
      <c r="X23" s="246">
        <f t="shared" si="2"/>
        <v>0</v>
      </c>
      <c r="Y23" s="278" t="s">
        <v>108</v>
      </c>
      <c r="Z23" s="288" t="s">
        <v>187</v>
      </c>
      <c r="AA23" s="284" t="s">
        <v>173</v>
      </c>
      <c r="AB23" s="281">
        <v>485</v>
      </c>
      <c r="AC23" s="293">
        <v>12100</v>
      </c>
      <c r="AD23" s="283">
        <f t="shared" ref="AD23:AD26" si="19">ROUND(AB23*AC23,0)</f>
        <v>5868500</v>
      </c>
      <c r="AE23" s="657">
        <v>0</v>
      </c>
      <c r="AF23" s="246">
        <f t="shared" si="3"/>
        <v>0</v>
      </c>
    </row>
    <row r="24" spans="1:32" s="235" customFormat="1" ht="61.5" outlineLevel="1" thickTop="1" thickBot="1">
      <c r="A24" s="278" t="s">
        <v>188</v>
      </c>
      <c r="B24" s="288" t="s">
        <v>189</v>
      </c>
      <c r="C24" s="284" t="s">
        <v>173</v>
      </c>
      <c r="D24" s="281">
        <v>100</v>
      </c>
      <c r="E24" s="293">
        <v>23310</v>
      </c>
      <c r="F24" s="283">
        <f t="shared" si="16"/>
        <v>2331000</v>
      </c>
      <c r="G24" s="658"/>
      <c r="H24" s="246">
        <f t="shared" si="0"/>
        <v>0</v>
      </c>
      <c r="I24" s="278" t="s">
        <v>188</v>
      </c>
      <c r="J24" s="288" t="s">
        <v>189</v>
      </c>
      <c r="K24" s="284" t="s">
        <v>173</v>
      </c>
      <c r="L24" s="281">
        <v>100</v>
      </c>
      <c r="M24" s="293">
        <v>31900</v>
      </c>
      <c r="N24" s="283">
        <f t="shared" si="17"/>
        <v>3190000</v>
      </c>
      <c r="O24" s="658"/>
      <c r="P24" s="246">
        <f t="shared" si="1"/>
        <v>0</v>
      </c>
      <c r="Q24" s="278" t="s">
        <v>188</v>
      </c>
      <c r="R24" s="288" t="s">
        <v>189</v>
      </c>
      <c r="S24" s="284" t="s">
        <v>173</v>
      </c>
      <c r="T24" s="281">
        <v>100</v>
      </c>
      <c r="U24" s="293">
        <v>31651</v>
      </c>
      <c r="V24" s="283">
        <f t="shared" si="18"/>
        <v>3165100</v>
      </c>
      <c r="W24" s="658"/>
      <c r="X24" s="246">
        <f t="shared" si="2"/>
        <v>0</v>
      </c>
      <c r="Y24" s="278" t="s">
        <v>188</v>
      </c>
      <c r="Z24" s="288" t="s">
        <v>189</v>
      </c>
      <c r="AA24" s="284" t="s">
        <v>173</v>
      </c>
      <c r="AB24" s="281">
        <v>100</v>
      </c>
      <c r="AC24" s="293">
        <v>32100</v>
      </c>
      <c r="AD24" s="283">
        <f t="shared" si="19"/>
        <v>3210000</v>
      </c>
      <c r="AE24" s="658"/>
      <c r="AF24" s="246">
        <f t="shared" si="3"/>
        <v>0</v>
      </c>
    </row>
    <row r="25" spans="1:32" s="235" customFormat="1" ht="76.5" outlineLevel="1" thickTop="1" thickBot="1">
      <c r="A25" s="278" t="s">
        <v>190</v>
      </c>
      <c r="B25" s="294" t="s">
        <v>191</v>
      </c>
      <c r="C25" s="284" t="s">
        <v>105</v>
      </c>
      <c r="D25" s="295">
        <v>1</v>
      </c>
      <c r="E25" s="296">
        <v>3378245</v>
      </c>
      <c r="F25" s="297">
        <f t="shared" si="16"/>
        <v>3378245</v>
      </c>
      <c r="G25" s="658"/>
      <c r="H25" s="246">
        <f t="shared" si="0"/>
        <v>0</v>
      </c>
      <c r="I25" s="278" t="s">
        <v>190</v>
      </c>
      <c r="J25" s="294" t="s">
        <v>191</v>
      </c>
      <c r="K25" s="284" t="s">
        <v>105</v>
      </c>
      <c r="L25" s="295">
        <v>1</v>
      </c>
      <c r="M25" s="296">
        <v>5300000</v>
      </c>
      <c r="N25" s="297">
        <f t="shared" si="17"/>
        <v>5300000</v>
      </c>
      <c r="O25" s="658"/>
      <c r="P25" s="246">
        <f t="shared" si="1"/>
        <v>0</v>
      </c>
      <c r="Q25" s="278" t="s">
        <v>190</v>
      </c>
      <c r="R25" s="294" t="s">
        <v>191</v>
      </c>
      <c r="S25" s="284" t="s">
        <v>105</v>
      </c>
      <c r="T25" s="295">
        <v>1</v>
      </c>
      <c r="U25" s="296">
        <v>4930001</v>
      </c>
      <c r="V25" s="297">
        <f t="shared" si="18"/>
        <v>4930001</v>
      </c>
      <c r="W25" s="658"/>
      <c r="X25" s="246">
        <f t="shared" si="2"/>
        <v>0</v>
      </c>
      <c r="Y25" s="278" t="s">
        <v>190</v>
      </c>
      <c r="Z25" s="294" t="s">
        <v>191</v>
      </c>
      <c r="AA25" s="284" t="s">
        <v>105</v>
      </c>
      <c r="AB25" s="295">
        <v>1</v>
      </c>
      <c r="AC25" s="296">
        <v>5000000</v>
      </c>
      <c r="AD25" s="297">
        <f t="shared" si="19"/>
        <v>5000000</v>
      </c>
      <c r="AE25" s="658"/>
      <c r="AF25" s="246">
        <f t="shared" si="3"/>
        <v>0</v>
      </c>
    </row>
    <row r="26" spans="1:32" s="235" customFormat="1" ht="76.5" outlineLevel="1" thickTop="1" thickBot="1">
      <c r="A26" s="278" t="s">
        <v>192</v>
      </c>
      <c r="B26" s="298" t="s">
        <v>193</v>
      </c>
      <c r="C26" s="284" t="s">
        <v>100</v>
      </c>
      <c r="D26" s="295">
        <v>6.56</v>
      </c>
      <c r="E26" s="296">
        <v>606600</v>
      </c>
      <c r="F26" s="299">
        <f t="shared" si="16"/>
        <v>3979296</v>
      </c>
      <c r="G26" s="659"/>
      <c r="H26" s="246">
        <f t="shared" si="0"/>
        <v>0</v>
      </c>
      <c r="I26" s="278" t="s">
        <v>192</v>
      </c>
      <c r="J26" s="298" t="s">
        <v>193</v>
      </c>
      <c r="K26" s="284" t="s">
        <v>100</v>
      </c>
      <c r="L26" s="295">
        <v>6.56</v>
      </c>
      <c r="M26" s="296">
        <v>432000</v>
      </c>
      <c r="N26" s="299">
        <f t="shared" si="17"/>
        <v>2833920</v>
      </c>
      <c r="O26" s="659"/>
      <c r="P26" s="246">
        <f t="shared" si="1"/>
        <v>0</v>
      </c>
      <c r="Q26" s="278" t="s">
        <v>192</v>
      </c>
      <c r="R26" s="298" t="s">
        <v>193</v>
      </c>
      <c r="S26" s="284" t="s">
        <v>100</v>
      </c>
      <c r="T26" s="295">
        <v>6.56</v>
      </c>
      <c r="U26" s="296">
        <v>473281</v>
      </c>
      <c r="V26" s="299">
        <f t="shared" si="18"/>
        <v>3104723</v>
      </c>
      <c r="W26" s="659"/>
      <c r="X26" s="246">
        <f t="shared" si="2"/>
        <v>0</v>
      </c>
      <c r="Y26" s="278" t="s">
        <v>192</v>
      </c>
      <c r="Z26" s="298" t="s">
        <v>193</v>
      </c>
      <c r="AA26" s="284" t="s">
        <v>100</v>
      </c>
      <c r="AB26" s="295">
        <v>6.56</v>
      </c>
      <c r="AC26" s="296">
        <v>480000</v>
      </c>
      <c r="AD26" s="299">
        <f t="shared" si="19"/>
        <v>3148800</v>
      </c>
      <c r="AE26" s="659"/>
      <c r="AF26" s="246">
        <f t="shared" si="3"/>
        <v>0</v>
      </c>
    </row>
    <row r="27" spans="1:32" s="235" customFormat="1" ht="16.5" thickTop="1" thickBot="1">
      <c r="A27" s="285" t="s">
        <v>30</v>
      </c>
      <c r="B27" s="272" t="s">
        <v>194</v>
      </c>
      <c r="C27" s="273"/>
      <c r="D27" s="274"/>
      <c r="E27" s="275"/>
      <c r="F27" s="276"/>
      <c r="G27" s="277">
        <f>SUM(F28:F30)</f>
        <v>33288750</v>
      </c>
      <c r="H27" s="246" t="str">
        <f t="shared" si="0"/>
        <v/>
      </c>
      <c r="I27" s="285" t="s">
        <v>30</v>
      </c>
      <c r="J27" s="272" t="s">
        <v>194</v>
      </c>
      <c r="K27" s="273"/>
      <c r="L27" s="274"/>
      <c r="M27" s="275"/>
      <c r="N27" s="276"/>
      <c r="O27" s="277">
        <f>SUM(N28:N30)</f>
        <v>17156550</v>
      </c>
      <c r="P27" s="246" t="str">
        <f t="shared" si="1"/>
        <v/>
      </c>
      <c r="Q27" s="285" t="s">
        <v>30</v>
      </c>
      <c r="R27" s="272" t="s">
        <v>194</v>
      </c>
      <c r="S27" s="273"/>
      <c r="T27" s="274"/>
      <c r="U27" s="275"/>
      <c r="V27" s="276"/>
      <c r="W27" s="277">
        <f>SUM(V28:V30)</f>
        <v>16622700</v>
      </c>
      <c r="X27" s="246" t="str">
        <f t="shared" si="2"/>
        <v/>
      </c>
      <c r="Y27" s="285" t="s">
        <v>30</v>
      </c>
      <c r="Z27" s="272" t="s">
        <v>194</v>
      </c>
      <c r="AA27" s="273"/>
      <c r="AB27" s="274"/>
      <c r="AC27" s="275"/>
      <c r="AD27" s="276"/>
      <c r="AE27" s="277">
        <f>SUM(AD28:AD30)</f>
        <v>16857500</v>
      </c>
      <c r="AF27" s="246" t="str">
        <f t="shared" si="3"/>
        <v/>
      </c>
    </row>
    <row r="28" spans="1:32" s="235" customFormat="1" ht="151.5" outlineLevel="1" thickTop="1" thickBot="1">
      <c r="A28" s="278" t="s">
        <v>195</v>
      </c>
      <c r="B28" s="288" t="s">
        <v>196</v>
      </c>
      <c r="C28" s="284" t="s">
        <v>104</v>
      </c>
      <c r="D28" s="281">
        <v>685</v>
      </c>
      <c r="E28" s="282">
        <v>10800</v>
      </c>
      <c r="F28" s="283">
        <f t="shared" ref="F28:F30" si="20">ROUND(D28*E28,0)</f>
        <v>7398000</v>
      </c>
      <c r="G28" s="657">
        <v>0</v>
      </c>
      <c r="H28" s="246">
        <f t="shared" si="0"/>
        <v>0</v>
      </c>
      <c r="I28" s="278" t="s">
        <v>195</v>
      </c>
      <c r="J28" s="288" t="s">
        <v>196</v>
      </c>
      <c r="K28" s="284" t="s">
        <v>104</v>
      </c>
      <c r="L28" s="281">
        <v>685</v>
      </c>
      <c r="M28" s="282">
        <v>8700</v>
      </c>
      <c r="N28" s="283">
        <f t="shared" ref="N28:N30" si="21">ROUND(L28*M28,0)</f>
        <v>5959500</v>
      </c>
      <c r="O28" s="657">
        <v>0</v>
      </c>
      <c r="P28" s="246">
        <f t="shared" si="1"/>
        <v>0</v>
      </c>
      <c r="Q28" s="278" t="s">
        <v>195</v>
      </c>
      <c r="R28" s="288" t="s">
        <v>196</v>
      </c>
      <c r="S28" s="284" t="s">
        <v>104</v>
      </c>
      <c r="T28" s="281">
        <v>685</v>
      </c>
      <c r="U28" s="282">
        <v>8283</v>
      </c>
      <c r="V28" s="283">
        <f t="shared" ref="V28:V30" si="22">ROUND(T28*U28,0)</f>
        <v>5673855</v>
      </c>
      <c r="W28" s="657">
        <v>0</v>
      </c>
      <c r="X28" s="246">
        <f t="shared" si="2"/>
        <v>0</v>
      </c>
      <c r="Y28" s="278" t="s">
        <v>195</v>
      </c>
      <c r="Z28" s="288" t="s">
        <v>196</v>
      </c>
      <c r="AA28" s="284" t="s">
        <v>104</v>
      </c>
      <c r="AB28" s="281">
        <v>685</v>
      </c>
      <c r="AC28" s="282">
        <v>8400</v>
      </c>
      <c r="AD28" s="283">
        <f t="shared" ref="AD28:AD30" si="23">ROUND(AB28*AC28,0)</f>
        <v>5754000</v>
      </c>
      <c r="AE28" s="657">
        <v>0</v>
      </c>
      <c r="AF28" s="246">
        <f t="shared" si="3"/>
        <v>0</v>
      </c>
    </row>
    <row r="29" spans="1:32" s="235" customFormat="1" ht="91.5" outlineLevel="1" thickTop="1" thickBot="1">
      <c r="A29" s="278" t="s">
        <v>197</v>
      </c>
      <c r="B29" s="288" t="s">
        <v>198</v>
      </c>
      <c r="C29" s="284" t="s">
        <v>104</v>
      </c>
      <c r="D29" s="281">
        <v>1845</v>
      </c>
      <c r="E29" s="282">
        <v>13350</v>
      </c>
      <c r="F29" s="287">
        <f t="shared" si="20"/>
        <v>24630750</v>
      </c>
      <c r="G29" s="658"/>
      <c r="H29" s="246">
        <f t="shared" si="0"/>
        <v>0</v>
      </c>
      <c r="I29" s="278" t="s">
        <v>197</v>
      </c>
      <c r="J29" s="288" t="s">
        <v>198</v>
      </c>
      <c r="K29" s="284" t="s">
        <v>104</v>
      </c>
      <c r="L29" s="281">
        <v>1845</v>
      </c>
      <c r="M29" s="282">
        <v>5090</v>
      </c>
      <c r="N29" s="287">
        <f t="shared" si="21"/>
        <v>9391050</v>
      </c>
      <c r="O29" s="658"/>
      <c r="P29" s="246">
        <f t="shared" si="1"/>
        <v>0</v>
      </c>
      <c r="Q29" s="278" t="s">
        <v>197</v>
      </c>
      <c r="R29" s="288" t="s">
        <v>198</v>
      </c>
      <c r="S29" s="284" t="s">
        <v>104</v>
      </c>
      <c r="T29" s="281">
        <v>1845</v>
      </c>
      <c r="U29" s="282">
        <v>5029</v>
      </c>
      <c r="V29" s="287">
        <f t="shared" si="22"/>
        <v>9278505</v>
      </c>
      <c r="W29" s="658"/>
      <c r="X29" s="246">
        <f t="shared" si="2"/>
        <v>0</v>
      </c>
      <c r="Y29" s="278" t="s">
        <v>197</v>
      </c>
      <c r="Z29" s="288" t="s">
        <v>198</v>
      </c>
      <c r="AA29" s="284" t="s">
        <v>104</v>
      </c>
      <c r="AB29" s="281">
        <v>1845</v>
      </c>
      <c r="AC29" s="282">
        <v>5100</v>
      </c>
      <c r="AD29" s="287">
        <f t="shared" si="23"/>
        <v>9409500</v>
      </c>
      <c r="AE29" s="658"/>
      <c r="AF29" s="246">
        <f t="shared" si="3"/>
        <v>0</v>
      </c>
    </row>
    <row r="30" spans="1:32" s="235" customFormat="1" ht="121.5" outlineLevel="1" thickTop="1" thickBot="1">
      <c r="A30" s="278" t="s">
        <v>199</v>
      </c>
      <c r="B30" s="300" t="s">
        <v>200</v>
      </c>
      <c r="C30" s="284" t="s">
        <v>100</v>
      </c>
      <c r="D30" s="281">
        <v>140</v>
      </c>
      <c r="E30" s="282">
        <v>9000</v>
      </c>
      <c r="F30" s="283">
        <f t="shared" si="20"/>
        <v>1260000</v>
      </c>
      <c r="G30" s="659"/>
      <c r="H30" s="246">
        <f t="shared" si="0"/>
        <v>0</v>
      </c>
      <c r="I30" s="278" t="s">
        <v>199</v>
      </c>
      <c r="J30" s="300" t="s">
        <v>200</v>
      </c>
      <c r="K30" s="284" t="s">
        <v>100</v>
      </c>
      <c r="L30" s="281">
        <v>140</v>
      </c>
      <c r="M30" s="282">
        <v>12900</v>
      </c>
      <c r="N30" s="283">
        <f t="shared" si="21"/>
        <v>1806000</v>
      </c>
      <c r="O30" s="659"/>
      <c r="P30" s="246">
        <f t="shared" si="1"/>
        <v>0</v>
      </c>
      <c r="Q30" s="278" t="s">
        <v>199</v>
      </c>
      <c r="R30" s="300" t="s">
        <v>200</v>
      </c>
      <c r="S30" s="284" t="s">
        <v>100</v>
      </c>
      <c r="T30" s="281">
        <v>140</v>
      </c>
      <c r="U30" s="282">
        <v>11931</v>
      </c>
      <c r="V30" s="283">
        <f t="shared" si="22"/>
        <v>1670340</v>
      </c>
      <c r="W30" s="659"/>
      <c r="X30" s="246">
        <f t="shared" si="2"/>
        <v>0</v>
      </c>
      <c r="Y30" s="278" t="s">
        <v>199</v>
      </c>
      <c r="Z30" s="300" t="s">
        <v>200</v>
      </c>
      <c r="AA30" s="284" t="s">
        <v>100</v>
      </c>
      <c r="AB30" s="281">
        <v>140</v>
      </c>
      <c r="AC30" s="282">
        <v>12100</v>
      </c>
      <c r="AD30" s="283">
        <f t="shared" si="23"/>
        <v>1694000</v>
      </c>
      <c r="AE30" s="659"/>
      <c r="AF30" s="246">
        <f t="shared" si="3"/>
        <v>0</v>
      </c>
    </row>
    <row r="31" spans="1:32" s="235" customFormat="1" ht="16.5" outlineLevel="1" thickTop="1" thickBot="1">
      <c r="A31" s="285" t="s">
        <v>31</v>
      </c>
      <c r="B31" s="272" t="s">
        <v>201</v>
      </c>
      <c r="C31" s="273"/>
      <c r="D31" s="274"/>
      <c r="E31" s="275"/>
      <c r="F31" s="276"/>
      <c r="G31" s="277">
        <f>SUM(F32:F33)</f>
        <v>9327240</v>
      </c>
      <c r="H31" s="246" t="str">
        <f t="shared" si="0"/>
        <v/>
      </c>
      <c r="I31" s="285" t="s">
        <v>31</v>
      </c>
      <c r="J31" s="272" t="s">
        <v>201</v>
      </c>
      <c r="K31" s="273"/>
      <c r="L31" s="274"/>
      <c r="M31" s="275"/>
      <c r="N31" s="276"/>
      <c r="O31" s="277">
        <f>SUM(N32:N33)</f>
        <v>14099660</v>
      </c>
      <c r="P31" s="246" t="str">
        <f t="shared" si="1"/>
        <v/>
      </c>
      <c r="Q31" s="285" t="s">
        <v>31</v>
      </c>
      <c r="R31" s="272" t="s">
        <v>201</v>
      </c>
      <c r="S31" s="273"/>
      <c r="T31" s="274"/>
      <c r="U31" s="275"/>
      <c r="V31" s="276"/>
      <c r="W31" s="277">
        <f>SUM(V32:V33)</f>
        <v>15340958</v>
      </c>
      <c r="X31" s="246" t="str">
        <f t="shared" si="2"/>
        <v/>
      </c>
      <c r="Y31" s="285" t="s">
        <v>31</v>
      </c>
      <c r="Z31" s="272" t="s">
        <v>201</v>
      </c>
      <c r="AA31" s="273"/>
      <c r="AB31" s="274"/>
      <c r="AC31" s="275"/>
      <c r="AD31" s="276"/>
      <c r="AE31" s="277">
        <f>SUM(AD32:AD33)</f>
        <v>15557070</v>
      </c>
      <c r="AF31" s="246" t="str">
        <f t="shared" si="3"/>
        <v/>
      </c>
    </row>
    <row r="32" spans="1:32" s="235" customFormat="1" ht="76.5" outlineLevel="2" thickTop="1" thickBot="1">
      <c r="A32" s="278" t="s">
        <v>202</v>
      </c>
      <c r="B32" s="288" t="s">
        <v>203</v>
      </c>
      <c r="C32" s="284" t="s">
        <v>104</v>
      </c>
      <c r="D32" s="301">
        <v>526.70000000000005</v>
      </c>
      <c r="E32" s="282">
        <v>7200</v>
      </c>
      <c r="F32" s="283">
        <f t="shared" ref="F32:F33" si="24">ROUND(D32*E32,0)</f>
        <v>3792240</v>
      </c>
      <c r="G32" s="661">
        <v>0</v>
      </c>
      <c r="H32" s="246">
        <f t="shared" si="0"/>
        <v>0</v>
      </c>
      <c r="I32" s="278" t="s">
        <v>202</v>
      </c>
      <c r="J32" s="288" t="s">
        <v>203</v>
      </c>
      <c r="K32" s="284" t="s">
        <v>104</v>
      </c>
      <c r="L32" s="301">
        <v>526.70000000000005</v>
      </c>
      <c r="M32" s="282">
        <v>9800</v>
      </c>
      <c r="N32" s="283">
        <f t="shared" ref="N32:N33" si="25">ROUND(L32*M32,0)</f>
        <v>5161660</v>
      </c>
      <c r="O32" s="661">
        <v>0</v>
      </c>
      <c r="P32" s="246">
        <f t="shared" si="1"/>
        <v>0</v>
      </c>
      <c r="Q32" s="278" t="s">
        <v>202</v>
      </c>
      <c r="R32" s="288" t="s">
        <v>203</v>
      </c>
      <c r="S32" s="284" t="s">
        <v>104</v>
      </c>
      <c r="T32" s="301">
        <v>526.70000000000005</v>
      </c>
      <c r="U32" s="282">
        <v>11931</v>
      </c>
      <c r="V32" s="283">
        <f t="shared" ref="V32:V33" si="26">ROUND(T32*U32,0)</f>
        <v>6284058</v>
      </c>
      <c r="W32" s="661">
        <v>0</v>
      </c>
      <c r="X32" s="246">
        <f t="shared" si="2"/>
        <v>0</v>
      </c>
      <c r="Y32" s="278" t="s">
        <v>202</v>
      </c>
      <c r="Z32" s="288" t="s">
        <v>203</v>
      </c>
      <c r="AA32" s="284" t="s">
        <v>104</v>
      </c>
      <c r="AB32" s="301">
        <v>526.70000000000005</v>
      </c>
      <c r="AC32" s="282">
        <v>12100</v>
      </c>
      <c r="AD32" s="283">
        <f t="shared" ref="AD32:AD33" si="27">ROUND(AB32*AC32,0)</f>
        <v>6373070</v>
      </c>
      <c r="AE32" s="661">
        <v>0</v>
      </c>
      <c r="AF32" s="246">
        <f t="shared" si="3"/>
        <v>0</v>
      </c>
    </row>
    <row r="33" spans="1:32" s="235" customFormat="1" ht="61.5" outlineLevel="2" thickTop="1" thickBot="1">
      <c r="A33" s="278" t="s">
        <v>204</v>
      </c>
      <c r="B33" s="288" t="s">
        <v>205</v>
      </c>
      <c r="C33" s="284" t="s">
        <v>104</v>
      </c>
      <c r="D33" s="281">
        <v>820</v>
      </c>
      <c r="E33" s="282">
        <v>6750</v>
      </c>
      <c r="F33" s="283">
        <f t="shared" si="24"/>
        <v>5535000</v>
      </c>
      <c r="G33" s="662"/>
      <c r="H33" s="246">
        <f t="shared" si="0"/>
        <v>0</v>
      </c>
      <c r="I33" s="278" t="s">
        <v>204</v>
      </c>
      <c r="J33" s="288" t="s">
        <v>205</v>
      </c>
      <c r="K33" s="284" t="s">
        <v>104</v>
      </c>
      <c r="L33" s="281">
        <v>820</v>
      </c>
      <c r="M33" s="282">
        <v>10900</v>
      </c>
      <c r="N33" s="283">
        <f t="shared" si="25"/>
        <v>8938000</v>
      </c>
      <c r="O33" s="662"/>
      <c r="P33" s="246">
        <f t="shared" si="1"/>
        <v>0</v>
      </c>
      <c r="Q33" s="278" t="s">
        <v>204</v>
      </c>
      <c r="R33" s="288" t="s">
        <v>205</v>
      </c>
      <c r="S33" s="284" t="s">
        <v>104</v>
      </c>
      <c r="T33" s="281">
        <v>820</v>
      </c>
      <c r="U33" s="282">
        <v>11045</v>
      </c>
      <c r="V33" s="283">
        <f t="shared" si="26"/>
        <v>9056900</v>
      </c>
      <c r="W33" s="662"/>
      <c r="X33" s="246">
        <f t="shared" si="2"/>
        <v>0</v>
      </c>
      <c r="Y33" s="278" t="s">
        <v>204</v>
      </c>
      <c r="Z33" s="288" t="s">
        <v>205</v>
      </c>
      <c r="AA33" s="284" t="s">
        <v>104</v>
      </c>
      <c r="AB33" s="281">
        <v>820</v>
      </c>
      <c r="AC33" s="282">
        <v>11200</v>
      </c>
      <c r="AD33" s="283">
        <f t="shared" si="27"/>
        <v>9184000</v>
      </c>
      <c r="AE33" s="662"/>
      <c r="AF33" s="246">
        <f t="shared" si="3"/>
        <v>0</v>
      </c>
    </row>
    <row r="34" spans="1:32" s="235" customFormat="1" ht="16.5" outlineLevel="2" thickTop="1" thickBot="1">
      <c r="A34" s="272" t="s">
        <v>206</v>
      </c>
      <c r="B34" s="272" t="s">
        <v>207</v>
      </c>
      <c r="C34" s="272"/>
      <c r="D34" s="272"/>
      <c r="E34" s="272"/>
      <c r="F34" s="272"/>
      <c r="G34" s="277">
        <f>SUM(F35:F37)</f>
        <v>11353802</v>
      </c>
      <c r="H34" s="246" t="str">
        <f t="shared" si="0"/>
        <v/>
      </c>
      <c r="I34" s="272" t="s">
        <v>206</v>
      </c>
      <c r="J34" s="272" t="s">
        <v>207</v>
      </c>
      <c r="K34" s="272"/>
      <c r="L34" s="272"/>
      <c r="M34" s="272"/>
      <c r="N34" s="272"/>
      <c r="O34" s="277">
        <f>SUM(N35:N37)</f>
        <v>9608400</v>
      </c>
      <c r="P34" s="246" t="str">
        <f t="shared" si="1"/>
        <v/>
      </c>
      <c r="Q34" s="272" t="s">
        <v>206</v>
      </c>
      <c r="R34" s="272" t="s">
        <v>207</v>
      </c>
      <c r="S34" s="272"/>
      <c r="T34" s="272"/>
      <c r="U34" s="272">
        <v>1</v>
      </c>
      <c r="V34" s="272"/>
      <c r="W34" s="277">
        <f>SUM(V35:V37)</f>
        <v>9677165</v>
      </c>
      <c r="X34" s="246" t="str">
        <f t="shared" si="2"/>
        <v/>
      </c>
      <c r="Y34" s="272" t="s">
        <v>206</v>
      </c>
      <c r="Z34" s="272" t="s">
        <v>207</v>
      </c>
      <c r="AA34" s="272"/>
      <c r="AB34" s="272"/>
      <c r="AC34" s="272"/>
      <c r="AD34" s="272"/>
      <c r="AE34" s="277">
        <f>SUM(AD35:AD37)</f>
        <v>9814400</v>
      </c>
      <c r="AF34" s="246" t="str">
        <f t="shared" si="3"/>
        <v/>
      </c>
    </row>
    <row r="35" spans="1:32" s="235" customFormat="1" ht="76.5" outlineLevel="2" thickTop="1" thickBot="1">
      <c r="A35" s="278" t="s">
        <v>208</v>
      </c>
      <c r="B35" s="302" t="s">
        <v>209</v>
      </c>
      <c r="C35" s="284" t="s">
        <v>94</v>
      </c>
      <c r="D35" s="281">
        <v>100</v>
      </c>
      <c r="E35" s="282">
        <v>13576</v>
      </c>
      <c r="F35" s="283">
        <f t="shared" ref="F35:F37" si="28">ROUND(D35*E35,0)</f>
        <v>1357600</v>
      </c>
      <c r="G35" s="663">
        <v>0</v>
      </c>
      <c r="H35" s="246">
        <f t="shared" si="0"/>
        <v>0</v>
      </c>
      <c r="I35" s="278" t="s">
        <v>208</v>
      </c>
      <c r="J35" s="302" t="s">
        <v>209</v>
      </c>
      <c r="K35" s="284" t="s">
        <v>94</v>
      </c>
      <c r="L35" s="281">
        <v>100</v>
      </c>
      <c r="M35" s="282">
        <v>10000</v>
      </c>
      <c r="N35" s="283">
        <f t="shared" ref="N35:N37" si="29">ROUND(L35*M35,0)</f>
        <v>1000000</v>
      </c>
      <c r="O35" s="663">
        <v>0</v>
      </c>
      <c r="P35" s="246">
        <f t="shared" si="1"/>
        <v>0</v>
      </c>
      <c r="Q35" s="278" t="s">
        <v>208</v>
      </c>
      <c r="R35" s="302" t="s">
        <v>209</v>
      </c>
      <c r="S35" s="284" t="s">
        <v>94</v>
      </c>
      <c r="T35" s="281">
        <v>100</v>
      </c>
      <c r="U35" s="282">
        <v>9663</v>
      </c>
      <c r="V35" s="283">
        <f t="shared" ref="V35:V37" si="30">ROUND(T35*U35,0)</f>
        <v>966300</v>
      </c>
      <c r="W35" s="663">
        <v>0</v>
      </c>
      <c r="X35" s="246">
        <f t="shared" si="2"/>
        <v>0</v>
      </c>
      <c r="Y35" s="278" t="s">
        <v>208</v>
      </c>
      <c r="Z35" s="302" t="s">
        <v>209</v>
      </c>
      <c r="AA35" s="284" t="s">
        <v>94</v>
      </c>
      <c r="AB35" s="281">
        <v>100</v>
      </c>
      <c r="AC35" s="282">
        <v>9800</v>
      </c>
      <c r="AD35" s="283">
        <f t="shared" ref="AD35:AD37" si="31">ROUND(AB35*AC35,0)</f>
        <v>980000</v>
      </c>
      <c r="AE35" s="663">
        <v>0</v>
      </c>
      <c r="AF35" s="246">
        <f t="shared" si="3"/>
        <v>0</v>
      </c>
    </row>
    <row r="36" spans="1:32" s="235" customFormat="1" ht="76.5" outlineLevel="2" thickTop="1" thickBot="1">
      <c r="A36" s="278" t="s">
        <v>210</v>
      </c>
      <c r="B36" s="303" t="s">
        <v>211</v>
      </c>
      <c r="C36" s="284" t="s">
        <v>94</v>
      </c>
      <c r="D36" s="281">
        <v>100</v>
      </c>
      <c r="E36" s="282">
        <v>91472</v>
      </c>
      <c r="F36" s="283">
        <f t="shared" si="28"/>
        <v>9147200</v>
      </c>
      <c r="G36" s="664"/>
      <c r="H36" s="246">
        <f t="shared" si="0"/>
        <v>0</v>
      </c>
      <c r="I36" s="278" t="s">
        <v>210</v>
      </c>
      <c r="J36" s="303" t="s">
        <v>211</v>
      </c>
      <c r="K36" s="284" t="s">
        <v>94</v>
      </c>
      <c r="L36" s="281">
        <v>100</v>
      </c>
      <c r="M36" s="282">
        <v>66400</v>
      </c>
      <c r="N36" s="283">
        <f t="shared" si="29"/>
        <v>6640000</v>
      </c>
      <c r="O36" s="664"/>
      <c r="P36" s="246">
        <f t="shared" si="1"/>
        <v>0</v>
      </c>
      <c r="Q36" s="278" t="s">
        <v>210</v>
      </c>
      <c r="R36" s="303" t="s">
        <v>211</v>
      </c>
      <c r="S36" s="284" t="s">
        <v>94</v>
      </c>
      <c r="T36" s="281">
        <v>100</v>
      </c>
      <c r="U36" s="282">
        <v>64781</v>
      </c>
      <c r="V36" s="283">
        <f t="shared" si="30"/>
        <v>6478100</v>
      </c>
      <c r="W36" s="664"/>
      <c r="X36" s="246">
        <f t="shared" si="2"/>
        <v>0</v>
      </c>
      <c r="Y36" s="278" t="s">
        <v>210</v>
      </c>
      <c r="Z36" s="303" t="s">
        <v>211</v>
      </c>
      <c r="AA36" s="284" t="s">
        <v>94</v>
      </c>
      <c r="AB36" s="281">
        <v>100</v>
      </c>
      <c r="AC36" s="282">
        <v>65700</v>
      </c>
      <c r="AD36" s="283">
        <f t="shared" si="31"/>
        <v>6570000</v>
      </c>
      <c r="AE36" s="664"/>
      <c r="AF36" s="246">
        <f t="shared" si="3"/>
        <v>0</v>
      </c>
    </row>
    <row r="37" spans="1:32" s="235" customFormat="1" ht="106.5" outlineLevel="2" thickTop="1" thickBot="1">
      <c r="A37" s="278" t="s">
        <v>212</v>
      </c>
      <c r="B37" s="304" t="s">
        <v>213</v>
      </c>
      <c r="C37" s="284" t="s">
        <v>105</v>
      </c>
      <c r="D37" s="281">
        <v>37</v>
      </c>
      <c r="E37" s="282">
        <v>22946</v>
      </c>
      <c r="F37" s="283">
        <f t="shared" si="28"/>
        <v>849002</v>
      </c>
      <c r="G37" s="664"/>
      <c r="H37" s="246">
        <f t="shared" si="0"/>
        <v>0</v>
      </c>
      <c r="I37" s="278" t="s">
        <v>212</v>
      </c>
      <c r="J37" s="304" t="s">
        <v>213</v>
      </c>
      <c r="K37" s="284" t="s">
        <v>105</v>
      </c>
      <c r="L37" s="281">
        <v>37</v>
      </c>
      <c r="M37" s="282">
        <v>53200</v>
      </c>
      <c r="N37" s="283">
        <f t="shared" si="29"/>
        <v>1968400</v>
      </c>
      <c r="O37" s="664"/>
      <c r="P37" s="246">
        <f t="shared" si="1"/>
        <v>0</v>
      </c>
      <c r="Q37" s="278" t="s">
        <v>212</v>
      </c>
      <c r="R37" s="304" t="s">
        <v>213</v>
      </c>
      <c r="S37" s="284" t="s">
        <v>105</v>
      </c>
      <c r="T37" s="281">
        <v>37</v>
      </c>
      <c r="U37" s="282">
        <v>60345</v>
      </c>
      <c r="V37" s="283">
        <f t="shared" si="30"/>
        <v>2232765</v>
      </c>
      <c r="W37" s="664"/>
      <c r="X37" s="246">
        <f t="shared" si="2"/>
        <v>0</v>
      </c>
      <c r="Y37" s="278" t="s">
        <v>212</v>
      </c>
      <c r="Z37" s="304" t="s">
        <v>213</v>
      </c>
      <c r="AA37" s="284" t="s">
        <v>105</v>
      </c>
      <c r="AB37" s="281">
        <v>37</v>
      </c>
      <c r="AC37" s="282">
        <v>61200</v>
      </c>
      <c r="AD37" s="283">
        <f t="shared" si="31"/>
        <v>2264400</v>
      </c>
      <c r="AE37" s="664"/>
      <c r="AF37" s="246">
        <f t="shared" si="3"/>
        <v>0</v>
      </c>
    </row>
    <row r="38" spans="1:32" s="235" customFormat="1" ht="16.5" outlineLevel="2" thickTop="1" thickBot="1">
      <c r="A38" s="272" t="s">
        <v>214</v>
      </c>
      <c r="B38" s="272" t="s">
        <v>215</v>
      </c>
      <c r="C38" s="272"/>
      <c r="D38" s="272"/>
      <c r="E38" s="272"/>
      <c r="F38" s="272"/>
      <c r="G38" s="277">
        <f>SUM(F39)</f>
        <v>57695780</v>
      </c>
      <c r="H38" s="246" t="str">
        <f t="shared" si="0"/>
        <v/>
      </c>
      <c r="I38" s="272" t="s">
        <v>214</v>
      </c>
      <c r="J38" s="272" t="s">
        <v>215</v>
      </c>
      <c r="K38" s="272"/>
      <c r="L38" s="272"/>
      <c r="M38" s="272"/>
      <c r="N38" s="272"/>
      <c r="O38" s="277">
        <f>SUM(N39)</f>
        <v>47728000</v>
      </c>
      <c r="P38" s="246" t="str">
        <f t="shared" si="1"/>
        <v/>
      </c>
      <c r="Q38" s="272" t="s">
        <v>214</v>
      </c>
      <c r="R38" s="272" t="s">
        <v>215</v>
      </c>
      <c r="S38" s="272"/>
      <c r="T38" s="272"/>
      <c r="U38" s="272"/>
      <c r="V38" s="272"/>
      <c r="W38" s="277">
        <f>SUM(V39)</f>
        <v>45449140</v>
      </c>
      <c r="X38" s="246" t="str">
        <f t="shared" si="2"/>
        <v/>
      </c>
      <c r="Y38" s="272" t="s">
        <v>214</v>
      </c>
      <c r="Z38" s="272" t="s">
        <v>215</v>
      </c>
      <c r="AA38" s="272"/>
      <c r="AB38" s="272"/>
      <c r="AC38" s="272"/>
      <c r="AD38" s="272"/>
      <c r="AE38" s="277">
        <f>SUM(AD39)</f>
        <v>46094000</v>
      </c>
      <c r="AF38" s="246" t="str">
        <f t="shared" si="3"/>
        <v/>
      </c>
    </row>
    <row r="39" spans="1:32" s="235" customFormat="1" ht="271.5" outlineLevel="2" thickTop="1" thickBot="1">
      <c r="A39" s="278" t="s">
        <v>216</v>
      </c>
      <c r="B39" s="304" t="s">
        <v>217</v>
      </c>
      <c r="C39" s="284" t="s">
        <v>94</v>
      </c>
      <c r="D39" s="281">
        <v>380</v>
      </c>
      <c r="E39" s="282">
        <v>151831</v>
      </c>
      <c r="F39" s="283">
        <f>ROUND(D39*E39,0)</f>
        <v>57695780</v>
      </c>
      <c r="G39" s="305">
        <v>0</v>
      </c>
      <c r="H39" s="246">
        <f t="shared" si="0"/>
        <v>0</v>
      </c>
      <c r="I39" s="278" t="s">
        <v>216</v>
      </c>
      <c r="J39" s="304" t="s">
        <v>217</v>
      </c>
      <c r="K39" s="284" t="s">
        <v>94</v>
      </c>
      <c r="L39" s="281">
        <v>380</v>
      </c>
      <c r="M39" s="282">
        <v>125600</v>
      </c>
      <c r="N39" s="283">
        <f>ROUND(L39*M39,0)</f>
        <v>47728000</v>
      </c>
      <c r="O39" s="305">
        <v>0</v>
      </c>
      <c r="P39" s="246">
        <f t="shared" si="1"/>
        <v>0</v>
      </c>
      <c r="Q39" s="278" t="s">
        <v>216</v>
      </c>
      <c r="R39" s="304" t="s">
        <v>217</v>
      </c>
      <c r="S39" s="284" t="s">
        <v>94</v>
      </c>
      <c r="T39" s="281">
        <v>380</v>
      </c>
      <c r="U39" s="282">
        <v>119603</v>
      </c>
      <c r="V39" s="283">
        <f>ROUND(T39*U39,0)</f>
        <v>45449140</v>
      </c>
      <c r="W39" s="305">
        <v>0</v>
      </c>
      <c r="X39" s="246">
        <f t="shared" si="2"/>
        <v>0</v>
      </c>
      <c r="Y39" s="278" t="s">
        <v>216</v>
      </c>
      <c r="Z39" s="304" t="s">
        <v>217</v>
      </c>
      <c r="AA39" s="284" t="s">
        <v>94</v>
      </c>
      <c r="AB39" s="281">
        <v>380</v>
      </c>
      <c r="AC39" s="282">
        <v>121300</v>
      </c>
      <c r="AD39" s="283">
        <f>ROUND(AB39*AC39,0)</f>
        <v>46094000</v>
      </c>
      <c r="AE39" s="305">
        <v>0</v>
      </c>
      <c r="AF39" s="246">
        <f t="shared" si="3"/>
        <v>0</v>
      </c>
    </row>
    <row r="40" spans="1:32" s="235" customFormat="1" ht="16.5" outlineLevel="2" thickTop="1" thickBot="1">
      <c r="A40" s="264" t="s">
        <v>218</v>
      </c>
      <c r="B40" s="265" t="s">
        <v>219</v>
      </c>
      <c r="C40" s="266"/>
      <c r="D40" s="267"/>
      <c r="E40" s="268"/>
      <c r="F40" s="269"/>
      <c r="G40" s="306">
        <f>SUM(F42:F51)</f>
        <v>135470000</v>
      </c>
      <c r="H40" s="246" t="str">
        <f t="shared" si="0"/>
        <v/>
      </c>
      <c r="I40" s="264" t="s">
        <v>218</v>
      </c>
      <c r="J40" s="265" t="s">
        <v>219</v>
      </c>
      <c r="K40" s="266"/>
      <c r="L40" s="267"/>
      <c r="M40" s="268"/>
      <c r="N40" s="269"/>
      <c r="O40" s="306">
        <f>SUM(N42:N51)</f>
        <v>45780000</v>
      </c>
      <c r="P40" s="246" t="str">
        <f t="shared" si="1"/>
        <v/>
      </c>
      <c r="Q40" s="264" t="s">
        <v>218</v>
      </c>
      <c r="R40" s="265" t="s">
        <v>219</v>
      </c>
      <c r="S40" s="266"/>
      <c r="T40" s="267"/>
      <c r="U40" s="268"/>
      <c r="V40" s="269"/>
      <c r="W40" s="306">
        <f>SUM(V42:V51)</f>
        <v>44025151</v>
      </c>
      <c r="X40" s="246" t="str">
        <f t="shared" si="2"/>
        <v/>
      </c>
      <c r="Y40" s="264" t="s">
        <v>218</v>
      </c>
      <c r="Z40" s="265" t="s">
        <v>219</v>
      </c>
      <c r="AA40" s="266"/>
      <c r="AB40" s="267"/>
      <c r="AC40" s="268"/>
      <c r="AD40" s="269"/>
      <c r="AE40" s="306">
        <f>SUM(AD42:AD51)</f>
        <v>44650000</v>
      </c>
      <c r="AF40" s="246" t="str">
        <f t="shared" si="3"/>
        <v/>
      </c>
    </row>
    <row r="41" spans="1:32" s="235" customFormat="1" ht="16.5" outlineLevel="2" thickTop="1" thickBot="1">
      <c r="A41" s="285" t="s">
        <v>220</v>
      </c>
      <c r="B41" s="307" t="s">
        <v>221</v>
      </c>
      <c r="C41" s="308"/>
      <c r="D41" s="309"/>
      <c r="E41" s="310"/>
      <c r="F41" s="311"/>
      <c r="G41" s="657">
        <v>0</v>
      </c>
      <c r="H41" s="246" t="str">
        <f t="shared" si="0"/>
        <v/>
      </c>
      <c r="I41" s="285" t="s">
        <v>220</v>
      </c>
      <c r="J41" s="307" t="s">
        <v>221</v>
      </c>
      <c r="K41" s="308"/>
      <c r="L41" s="309"/>
      <c r="M41" s="310"/>
      <c r="N41" s="311"/>
      <c r="O41" s="657">
        <v>0</v>
      </c>
      <c r="P41" s="246" t="str">
        <f t="shared" si="1"/>
        <v/>
      </c>
      <c r="Q41" s="285" t="s">
        <v>220</v>
      </c>
      <c r="R41" s="307" t="s">
        <v>221</v>
      </c>
      <c r="S41" s="308"/>
      <c r="T41" s="309"/>
      <c r="U41" s="310"/>
      <c r="V41" s="311"/>
      <c r="W41" s="657">
        <v>0</v>
      </c>
      <c r="X41" s="246" t="str">
        <f t="shared" si="2"/>
        <v/>
      </c>
      <c r="Y41" s="285" t="s">
        <v>220</v>
      </c>
      <c r="Z41" s="307" t="s">
        <v>221</v>
      </c>
      <c r="AA41" s="308"/>
      <c r="AB41" s="309"/>
      <c r="AC41" s="310"/>
      <c r="AD41" s="311"/>
      <c r="AE41" s="657">
        <v>0</v>
      </c>
      <c r="AF41" s="246" t="str">
        <f t="shared" si="3"/>
        <v/>
      </c>
    </row>
    <row r="42" spans="1:32" s="235" customFormat="1" ht="39.75" outlineLevel="2" thickTop="1" thickBot="1">
      <c r="A42" s="278" t="s">
        <v>222</v>
      </c>
      <c r="B42" s="312" t="s">
        <v>223</v>
      </c>
      <c r="C42" s="284" t="s">
        <v>224</v>
      </c>
      <c r="D42" s="313">
        <v>1</v>
      </c>
      <c r="E42" s="282">
        <v>25587500</v>
      </c>
      <c r="F42" s="314">
        <f t="shared" ref="F42:F51" si="32">ROUND(D42*E42,0)</f>
        <v>25587500</v>
      </c>
      <c r="G42" s="658"/>
      <c r="H42" s="246">
        <f t="shared" si="0"/>
        <v>0</v>
      </c>
      <c r="I42" s="278" t="s">
        <v>222</v>
      </c>
      <c r="J42" s="312" t="s">
        <v>223</v>
      </c>
      <c r="K42" s="284" t="s">
        <v>224</v>
      </c>
      <c r="L42" s="313">
        <v>1</v>
      </c>
      <c r="M42" s="282">
        <v>9500000</v>
      </c>
      <c r="N42" s="314">
        <f t="shared" ref="N42:N51" si="33">ROUND(L42*M42,0)</f>
        <v>9500000</v>
      </c>
      <c r="O42" s="658"/>
      <c r="P42" s="246">
        <f t="shared" si="1"/>
        <v>0</v>
      </c>
      <c r="Q42" s="278" t="s">
        <v>222</v>
      </c>
      <c r="R42" s="312" t="s">
        <v>223</v>
      </c>
      <c r="S42" s="284" t="s">
        <v>224</v>
      </c>
      <c r="T42" s="313">
        <v>1</v>
      </c>
      <c r="U42" s="282">
        <v>9860001</v>
      </c>
      <c r="V42" s="314">
        <f t="shared" ref="V42:V51" si="34">ROUND(T42*U42,0)</f>
        <v>9860001</v>
      </c>
      <c r="W42" s="658"/>
      <c r="X42" s="246">
        <f t="shared" si="2"/>
        <v>0</v>
      </c>
      <c r="Y42" s="278" t="s">
        <v>222</v>
      </c>
      <c r="Z42" s="312" t="s">
        <v>223</v>
      </c>
      <c r="AA42" s="284" t="s">
        <v>224</v>
      </c>
      <c r="AB42" s="313">
        <v>1</v>
      </c>
      <c r="AC42" s="282">
        <v>10000000</v>
      </c>
      <c r="AD42" s="314">
        <f t="shared" ref="AD42:AD51" si="35">ROUND(AB42*AC42,0)</f>
        <v>10000000</v>
      </c>
      <c r="AE42" s="658"/>
      <c r="AF42" s="246">
        <f t="shared" si="3"/>
        <v>0</v>
      </c>
    </row>
    <row r="43" spans="1:32" s="235" customFormat="1" ht="39.75" outlineLevel="2" thickTop="1" thickBot="1">
      <c r="A43" s="278" t="s">
        <v>225</v>
      </c>
      <c r="B43" s="312" t="s">
        <v>226</v>
      </c>
      <c r="C43" s="284" t="s">
        <v>224</v>
      </c>
      <c r="D43" s="313">
        <v>1</v>
      </c>
      <c r="E43" s="282">
        <v>1552500</v>
      </c>
      <c r="F43" s="315">
        <f t="shared" si="32"/>
        <v>1552500</v>
      </c>
      <c r="G43" s="658"/>
      <c r="H43" s="246">
        <f t="shared" si="0"/>
        <v>0</v>
      </c>
      <c r="I43" s="278" t="s">
        <v>225</v>
      </c>
      <c r="J43" s="312" t="s">
        <v>226</v>
      </c>
      <c r="K43" s="284" t="s">
        <v>224</v>
      </c>
      <c r="L43" s="313">
        <v>1</v>
      </c>
      <c r="M43" s="282">
        <v>600000</v>
      </c>
      <c r="N43" s="315">
        <f t="shared" si="33"/>
        <v>600000</v>
      </c>
      <c r="O43" s="658"/>
      <c r="P43" s="246">
        <f t="shared" si="1"/>
        <v>0</v>
      </c>
      <c r="Q43" s="278" t="s">
        <v>225</v>
      </c>
      <c r="R43" s="312" t="s">
        <v>226</v>
      </c>
      <c r="S43" s="284" t="s">
        <v>224</v>
      </c>
      <c r="T43" s="313">
        <v>1</v>
      </c>
      <c r="U43" s="282">
        <v>522581</v>
      </c>
      <c r="V43" s="315">
        <f t="shared" si="34"/>
        <v>522581</v>
      </c>
      <c r="W43" s="658"/>
      <c r="X43" s="246">
        <f t="shared" si="2"/>
        <v>0</v>
      </c>
      <c r="Y43" s="278" t="s">
        <v>225</v>
      </c>
      <c r="Z43" s="312" t="s">
        <v>226</v>
      </c>
      <c r="AA43" s="284" t="s">
        <v>224</v>
      </c>
      <c r="AB43" s="313">
        <v>1</v>
      </c>
      <c r="AC43" s="282">
        <v>530000</v>
      </c>
      <c r="AD43" s="315">
        <f t="shared" si="35"/>
        <v>530000</v>
      </c>
      <c r="AE43" s="658"/>
      <c r="AF43" s="246">
        <f t="shared" si="3"/>
        <v>0</v>
      </c>
    </row>
    <row r="44" spans="1:32" s="235" customFormat="1" ht="65.25" outlineLevel="2" thickTop="1" thickBot="1">
      <c r="A44" s="278" t="s">
        <v>227</v>
      </c>
      <c r="B44" s="312" t="s">
        <v>228</v>
      </c>
      <c r="C44" s="284" t="s">
        <v>224</v>
      </c>
      <c r="D44" s="313">
        <v>1</v>
      </c>
      <c r="E44" s="282">
        <v>33120000</v>
      </c>
      <c r="F44" s="315">
        <f t="shared" si="32"/>
        <v>33120000</v>
      </c>
      <c r="G44" s="658"/>
      <c r="H44" s="246">
        <f t="shared" si="0"/>
        <v>0</v>
      </c>
      <c r="I44" s="278" t="s">
        <v>227</v>
      </c>
      <c r="J44" s="312" t="s">
        <v>228</v>
      </c>
      <c r="K44" s="284" t="s">
        <v>224</v>
      </c>
      <c r="L44" s="313">
        <v>1</v>
      </c>
      <c r="M44" s="282">
        <v>5000000</v>
      </c>
      <c r="N44" s="315">
        <f t="shared" si="33"/>
        <v>5000000</v>
      </c>
      <c r="O44" s="658"/>
      <c r="P44" s="246">
        <f t="shared" si="1"/>
        <v>0</v>
      </c>
      <c r="Q44" s="278" t="s">
        <v>227</v>
      </c>
      <c r="R44" s="312" t="s">
        <v>228</v>
      </c>
      <c r="S44" s="284" t="s">
        <v>224</v>
      </c>
      <c r="T44" s="313">
        <v>1</v>
      </c>
      <c r="U44" s="282">
        <v>4535601</v>
      </c>
      <c r="V44" s="315">
        <f t="shared" si="34"/>
        <v>4535601</v>
      </c>
      <c r="W44" s="658"/>
      <c r="X44" s="246">
        <f t="shared" si="2"/>
        <v>0</v>
      </c>
      <c r="Y44" s="278" t="s">
        <v>227</v>
      </c>
      <c r="Z44" s="312" t="s">
        <v>228</v>
      </c>
      <c r="AA44" s="284" t="s">
        <v>224</v>
      </c>
      <c r="AB44" s="313">
        <v>1</v>
      </c>
      <c r="AC44" s="282">
        <v>4600000</v>
      </c>
      <c r="AD44" s="315">
        <f t="shared" si="35"/>
        <v>4600000</v>
      </c>
      <c r="AE44" s="658"/>
      <c r="AF44" s="246">
        <f t="shared" si="3"/>
        <v>0</v>
      </c>
    </row>
    <row r="45" spans="1:32" s="235" customFormat="1" ht="65.25" outlineLevel="2" thickTop="1" thickBot="1">
      <c r="A45" s="278" t="s">
        <v>229</v>
      </c>
      <c r="B45" s="312" t="s">
        <v>230</v>
      </c>
      <c r="C45" s="284" t="s">
        <v>224</v>
      </c>
      <c r="D45" s="313">
        <v>1</v>
      </c>
      <c r="E45" s="282">
        <v>17399500</v>
      </c>
      <c r="F45" s="314">
        <f t="shared" si="32"/>
        <v>17399500</v>
      </c>
      <c r="G45" s="658"/>
      <c r="H45" s="246">
        <f t="shared" si="0"/>
        <v>0</v>
      </c>
      <c r="I45" s="278" t="s">
        <v>229</v>
      </c>
      <c r="J45" s="312" t="s">
        <v>230</v>
      </c>
      <c r="K45" s="284" t="s">
        <v>224</v>
      </c>
      <c r="L45" s="313">
        <v>1</v>
      </c>
      <c r="M45" s="282">
        <v>6500000</v>
      </c>
      <c r="N45" s="314">
        <f t="shared" si="33"/>
        <v>6500000</v>
      </c>
      <c r="O45" s="658"/>
      <c r="P45" s="246">
        <f t="shared" si="1"/>
        <v>0</v>
      </c>
      <c r="Q45" s="278" t="s">
        <v>229</v>
      </c>
      <c r="R45" s="312" t="s">
        <v>230</v>
      </c>
      <c r="S45" s="284" t="s">
        <v>224</v>
      </c>
      <c r="T45" s="313">
        <v>1</v>
      </c>
      <c r="U45" s="282">
        <v>6211801</v>
      </c>
      <c r="V45" s="314">
        <f t="shared" si="34"/>
        <v>6211801</v>
      </c>
      <c r="W45" s="658"/>
      <c r="X45" s="246">
        <f t="shared" si="2"/>
        <v>0</v>
      </c>
      <c r="Y45" s="278" t="s">
        <v>229</v>
      </c>
      <c r="Z45" s="312" t="s">
        <v>230</v>
      </c>
      <c r="AA45" s="284" t="s">
        <v>224</v>
      </c>
      <c r="AB45" s="313">
        <v>1</v>
      </c>
      <c r="AC45" s="282">
        <v>6300000</v>
      </c>
      <c r="AD45" s="314">
        <f t="shared" si="35"/>
        <v>6300000</v>
      </c>
      <c r="AE45" s="658"/>
      <c r="AF45" s="246">
        <f t="shared" si="3"/>
        <v>0</v>
      </c>
    </row>
    <row r="46" spans="1:32" s="235" customFormat="1" ht="78" outlineLevel="2" thickTop="1" thickBot="1">
      <c r="A46" s="278" t="s">
        <v>231</v>
      </c>
      <c r="B46" s="312" t="s">
        <v>232</v>
      </c>
      <c r="C46" s="284" t="s">
        <v>224</v>
      </c>
      <c r="D46" s="313">
        <v>1</v>
      </c>
      <c r="E46" s="282">
        <v>3105000</v>
      </c>
      <c r="F46" s="315">
        <f t="shared" si="32"/>
        <v>3105000</v>
      </c>
      <c r="G46" s="658"/>
      <c r="H46" s="246">
        <f t="shared" si="0"/>
        <v>0</v>
      </c>
      <c r="I46" s="278" t="s">
        <v>231</v>
      </c>
      <c r="J46" s="312" t="s">
        <v>232</v>
      </c>
      <c r="K46" s="284" t="s">
        <v>224</v>
      </c>
      <c r="L46" s="313">
        <v>1</v>
      </c>
      <c r="M46" s="282">
        <v>3000000</v>
      </c>
      <c r="N46" s="315">
        <f t="shared" si="33"/>
        <v>3000000</v>
      </c>
      <c r="O46" s="658"/>
      <c r="P46" s="246">
        <f t="shared" si="1"/>
        <v>0</v>
      </c>
      <c r="Q46" s="278" t="s">
        <v>231</v>
      </c>
      <c r="R46" s="312" t="s">
        <v>232</v>
      </c>
      <c r="S46" s="284" t="s">
        <v>224</v>
      </c>
      <c r="T46" s="313">
        <v>1</v>
      </c>
      <c r="U46" s="282">
        <v>3046741</v>
      </c>
      <c r="V46" s="315">
        <f t="shared" si="34"/>
        <v>3046741</v>
      </c>
      <c r="W46" s="658"/>
      <c r="X46" s="246">
        <f t="shared" si="2"/>
        <v>0</v>
      </c>
      <c r="Y46" s="278" t="s">
        <v>231</v>
      </c>
      <c r="Z46" s="312" t="s">
        <v>232</v>
      </c>
      <c r="AA46" s="284" t="s">
        <v>224</v>
      </c>
      <c r="AB46" s="313">
        <v>1</v>
      </c>
      <c r="AC46" s="282">
        <v>3090000</v>
      </c>
      <c r="AD46" s="315">
        <f t="shared" si="35"/>
        <v>3090000</v>
      </c>
      <c r="AE46" s="658"/>
      <c r="AF46" s="246">
        <f t="shared" si="3"/>
        <v>0</v>
      </c>
    </row>
    <row r="47" spans="1:32" s="235" customFormat="1" ht="90.75" outlineLevel="2" thickTop="1" thickBot="1">
      <c r="A47" s="278" t="s">
        <v>233</v>
      </c>
      <c r="B47" s="312" t="s">
        <v>234</v>
      </c>
      <c r="C47" s="284" t="s">
        <v>235</v>
      </c>
      <c r="D47" s="313">
        <v>1</v>
      </c>
      <c r="E47" s="282">
        <v>3105000</v>
      </c>
      <c r="F47" s="315">
        <f t="shared" si="32"/>
        <v>3105000</v>
      </c>
      <c r="G47" s="658"/>
      <c r="H47" s="246">
        <f t="shared" si="0"/>
        <v>0</v>
      </c>
      <c r="I47" s="278" t="s">
        <v>233</v>
      </c>
      <c r="J47" s="312" t="s">
        <v>234</v>
      </c>
      <c r="K47" s="284" t="s">
        <v>235</v>
      </c>
      <c r="L47" s="313">
        <v>1</v>
      </c>
      <c r="M47" s="282">
        <v>3300000</v>
      </c>
      <c r="N47" s="315">
        <f t="shared" si="33"/>
        <v>3300000</v>
      </c>
      <c r="O47" s="658"/>
      <c r="P47" s="246">
        <f t="shared" si="1"/>
        <v>0</v>
      </c>
      <c r="Q47" s="278" t="s">
        <v>233</v>
      </c>
      <c r="R47" s="312" t="s">
        <v>234</v>
      </c>
      <c r="S47" s="284" t="s">
        <v>235</v>
      </c>
      <c r="T47" s="313">
        <v>1</v>
      </c>
      <c r="U47" s="282">
        <v>3165061</v>
      </c>
      <c r="V47" s="315">
        <f t="shared" si="34"/>
        <v>3165061</v>
      </c>
      <c r="W47" s="658"/>
      <c r="X47" s="246">
        <f t="shared" si="2"/>
        <v>0</v>
      </c>
      <c r="Y47" s="278" t="s">
        <v>233</v>
      </c>
      <c r="Z47" s="312" t="s">
        <v>234</v>
      </c>
      <c r="AA47" s="284" t="s">
        <v>235</v>
      </c>
      <c r="AB47" s="313">
        <v>1</v>
      </c>
      <c r="AC47" s="282">
        <v>3210000</v>
      </c>
      <c r="AD47" s="315">
        <f t="shared" si="35"/>
        <v>3210000</v>
      </c>
      <c r="AE47" s="658"/>
      <c r="AF47" s="246">
        <f t="shared" si="3"/>
        <v>0</v>
      </c>
    </row>
    <row r="48" spans="1:32" s="235" customFormat="1" ht="65.25" outlineLevel="2" thickTop="1" thickBot="1">
      <c r="A48" s="278" t="s">
        <v>236</v>
      </c>
      <c r="B48" s="312" t="s">
        <v>237</v>
      </c>
      <c r="C48" s="284" t="s">
        <v>224</v>
      </c>
      <c r="D48" s="313">
        <v>200</v>
      </c>
      <c r="E48" s="282">
        <v>155250</v>
      </c>
      <c r="F48" s="315">
        <f t="shared" si="32"/>
        <v>31050000</v>
      </c>
      <c r="G48" s="658"/>
      <c r="H48" s="246">
        <f t="shared" si="0"/>
        <v>0</v>
      </c>
      <c r="I48" s="278" t="s">
        <v>236</v>
      </c>
      <c r="J48" s="312" t="s">
        <v>237</v>
      </c>
      <c r="K48" s="284" t="s">
        <v>224</v>
      </c>
      <c r="L48" s="313">
        <v>200</v>
      </c>
      <c r="M48" s="282">
        <v>21900</v>
      </c>
      <c r="N48" s="315">
        <f t="shared" si="33"/>
        <v>4380000</v>
      </c>
      <c r="O48" s="658"/>
      <c r="P48" s="246">
        <f t="shared" si="1"/>
        <v>0</v>
      </c>
      <c r="Q48" s="278" t="s">
        <v>236</v>
      </c>
      <c r="R48" s="312" t="s">
        <v>237</v>
      </c>
      <c r="S48" s="284" t="s">
        <v>224</v>
      </c>
      <c r="T48" s="313">
        <v>200</v>
      </c>
      <c r="U48" s="282">
        <v>21003</v>
      </c>
      <c r="V48" s="315">
        <f t="shared" si="34"/>
        <v>4200600</v>
      </c>
      <c r="W48" s="658"/>
      <c r="X48" s="246">
        <f t="shared" si="2"/>
        <v>0</v>
      </c>
      <c r="Y48" s="278" t="s">
        <v>236</v>
      </c>
      <c r="Z48" s="312" t="s">
        <v>237</v>
      </c>
      <c r="AA48" s="284" t="s">
        <v>224</v>
      </c>
      <c r="AB48" s="313">
        <v>200</v>
      </c>
      <c r="AC48" s="282">
        <v>21300</v>
      </c>
      <c r="AD48" s="315">
        <f t="shared" si="35"/>
        <v>4260000</v>
      </c>
      <c r="AE48" s="658"/>
      <c r="AF48" s="246">
        <f t="shared" si="3"/>
        <v>0</v>
      </c>
    </row>
    <row r="49" spans="1:32" s="235" customFormat="1" ht="27" outlineLevel="2" thickTop="1" thickBot="1">
      <c r="A49" s="278" t="s">
        <v>238</v>
      </c>
      <c r="B49" s="312" t="s">
        <v>239</v>
      </c>
      <c r="C49" s="284" t="s">
        <v>224</v>
      </c>
      <c r="D49" s="313">
        <v>1</v>
      </c>
      <c r="E49" s="282">
        <v>6141000</v>
      </c>
      <c r="F49" s="314">
        <f t="shared" si="32"/>
        <v>6141000</v>
      </c>
      <c r="G49" s="658"/>
      <c r="H49" s="246">
        <f t="shared" si="0"/>
        <v>0</v>
      </c>
      <c r="I49" s="278" t="s">
        <v>238</v>
      </c>
      <c r="J49" s="312" t="s">
        <v>239</v>
      </c>
      <c r="K49" s="284" t="s">
        <v>224</v>
      </c>
      <c r="L49" s="313">
        <v>1</v>
      </c>
      <c r="M49" s="282">
        <v>4500000</v>
      </c>
      <c r="N49" s="314">
        <f t="shared" si="33"/>
        <v>4500000</v>
      </c>
      <c r="O49" s="658"/>
      <c r="P49" s="246">
        <f t="shared" si="1"/>
        <v>0</v>
      </c>
      <c r="Q49" s="278" t="s">
        <v>238</v>
      </c>
      <c r="R49" s="312" t="s">
        <v>239</v>
      </c>
      <c r="S49" s="284" t="s">
        <v>224</v>
      </c>
      <c r="T49" s="313">
        <v>1</v>
      </c>
      <c r="U49" s="282">
        <v>4239801</v>
      </c>
      <c r="V49" s="314">
        <f t="shared" si="34"/>
        <v>4239801</v>
      </c>
      <c r="W49" s="658"/>
      <c r="X49" s="246">
        <f t="shared" si="2"/>
        <v>0</v>
      </c>
      <c r="Y49" s="278" t="s">
        <v>238</v>
      </c>
      <c r="Z49" s="312" t="s">
        <v>239</v>
      </c>
      <c r="AA49" s="284" t="s">
        <v>224</v>
      </c>
      <c r="AB49" s="313">
        <v>1</v>
      </c>
      <c r="AC49" s="282">
        <v>4300000</v>
      </c>
      <c r="AD49" s="314">
        <f t="shared" si="35"/>
        <v>4300000</v>
      </c>
      <c r="AE49" s="658"/>
      <c r="AF49" s="246">
        <f t="shared" si="3"/>
        <v>0</v>
      </c>
    </row>
    <row r="50" spans="1:32" s="235" customFormat="1" ht="27" outlineLevel="2" thickTop="1" thickBot="1">
      <c r="A50" s="278" t="s">
        <v>240</v>
      </c>
      <c r="B50" s="312" t="s">
        <v>241</v>
      </c>
      <c r="C50" s="284" t="s">
        <v>224</v>
      </c>
      <c r="D50" s="316">
        <v>2</v>
      </c>
      <c r="E50" s="282">
        <v>3582250</v>
      </c>
      <c r="F50" s="314">
        <f t="shared" si="32"/>
        <v>7164500</v>
      </c>
      <c r="G50" s="658"/>
      <c r="H50" s="246">
        <f t="shared" si="0"/>
        <v>0</v>
      </c>
      <c r="I50" s="278" t="s">
        <v>240</v>
      </c>
      <c r="J50" s="312" t="s">
        <v>241</v>
      </c>
      <c r="K50" s="284" t="s">
        <v>224</v>
      </c>
      <c r="L50" s="316">
        <v>2</v>
      </c>
      <c r="M50" s="282">
        <v>2000000</v>
      </c>
      <c r="N50" s="314">
        <f t="shared" si="33"/>
        <v>4000000</v>
      </c>
      <c r="O50" s="658"/>
      <c r="P50" s="246">
        <f t="shared" si="1"/>
        <v>0</v>
      </c>
      <c r="Q50" s="278" t="s">
        <v>240</v>
      </c>
      <c r="R50" s="312" t="s">
        <v>241</v>
      </c>
      <c r="S50" s="284" t="s">
        <v>224</v>
      </c>
      <c r="T50" s="316">
        <v>2</v>
      </c>
      <c r="U50" s="282">
        <v>1952281</v>
      </c>
      <c r="V50" s="314">
        <f t="shared" si="34"/>
        <v>3904562</v>
      </c>
      <c r="W50" s="658"/>
      <c r="X50" s="246">
        <f t="shared" si="2"/>
        <v>0</v>
      </c>
      <c r="Y50" s="278" t="s">
        <v>240</v>
      </c>
      <c r="Z50" s="312" t="s">
        <v>241</v>
      </c>
      <c r="AA50" s="284" t="s">
        <v>224</v>
      </c>
      <c r="AB50" s="316">
        <v>2</v>
      </c>
      <c r="AC50" s="282">
        <v>1980000</v>
      </c>
      <c r="AD50" s="314">
        <f t="shared" si="35"/>
        <v>3960000</v>
      </c>
      <c r="AE50" s="658"/>
      <c r="AF50" s="246">
        <f t="shared" si="3"/>
        <v>0</v>
      </c>
    </row>
    <row r="51" spans="1:32" s="235" customFormat="1" ht="27" outlineLevel="2" thickTop="1" thickBot="1">
      <c r="A51" s="278" t="s">
        <v>242</v>
      </c>
      <c r="B51" s="312" t="s">
        <v>243</v>
      </c>
      <c r="C51" s="284" t="s">
        <v>224</v>
      </c>
      <c r="D51" s="281">
        <v>2</v>
      </c>
      <c r="E51" s="282">
        <v>3622500</v>
      </c>
      <c r="F51" s="315">
        <f t="shared" si="32"/>
        <v>7245000</v>
      </c>
      <c r="G51" s="659"/>
      <c r="H51" s="246">
        <f t="shared" si="0"/>
        <v>0</v>
      </c>
      <c r="I51" s="278" t="s">
        <v>242</v>
      </c>
      <c r="J51" s="312" t="s">
        <v>243</v>
      </c>
      <c r="K51" s="284" t="s">
        <v>224</v>
      </c>
      <c r="L51" s="281">
        <v>2</v>
      </c>
      <c r="M51" s="282">
        <v>2500000</v>
      </c>
      <c r="N51" s="315">
        <f t="shared" si="33"/>
        <v>5000000</v>
      </c>
      <c r="O51" s="659"/>
      <c r="P51" s="246">
        <f t="shared" si="1"/>
        <v>0</v>
      </c>
      <c r="Q51" s="278" t="s">
        <v>242</v>
      </c>
      <c r="R51" s="312" t="s">
        <v>243</v>
      </c>
      <c r="S51" s="284" t="s">
        <v>224</v>
      </c>
      <c r="T51" s="281">
        <v>2</v>
      </c>
      <c r="U51" s="282">
        <v>2169201</v>
      </c>
      <c r="V51" s="315">
        <f t="shared" si="34"/>
        <v>4338402</v>
      </c>
      <c r="W51" s="659"/>
      <c r="X51" s="246">
        <f t="shared" si="2"/>
        <v>0</v>
      </c>
      <c r="Y51" s="278" t="s">
        <v>242</v>
      </c>
      <c r="Z51" s="312" t="s">
        <v>243</v>
      </c>
      <c r="AA51" s="284" t="s">
        <v>224</v>
      </c>
      <c r="AB51" s="281">
        <v>2</v>
      </c>
      <c r="AC51" s="282">
        <v>2200000</v>
      </c>
      <c r="AD51" s="315">
        <f t="shared" si="35"/>
        <v>4400000</v>
      </c>
      <c r="AE51" s="659"/>
      <c r="AF51" s="246">
        <f t="shared" si="3"/>
        <v>0</v>
      </c>
    </row>
    <row r="52" spans="1:32" s="235" customFormat="1" ht="16.5" outlineLevel="2" thickTop="1" thickBot="1">
      <c r="A52" s="265" t="s">
        <v>244</v>
      </c>
      <c r="B52" s="265" t="s">
        <v>245</v>
      </c>
      <c r="C52" s="265"/>
      <c r="D52" s="265"/>
      <c r="E52" s="265"/>
      <c r="F52" s="265"/>
      <c r="G52" s="270">
        <f>+F53+F54</f>
        <v>19808307</v>
      </c>
      <c r="H52" s="246" t="str">
        <f t="shared" si="0"/>
        <v/>
      </c>
      <c r="I52" s="265" t="s">
        <v>244</v>
      </c>
      <c r="J52" s="265" t="s">
        <v>245</v>
      </c>
      <c r="K52" s="265"/>
      <c r="L52" s="265"/>
      <c r="M52" s="265"/>
      <c r="N52" s="265"/>
      <c r="O52" s="270">
        <f>+N53+N54</f>
        <v>19000000</v>
      </c>
      <c r="P52" s="246" t="str">
        <f t="shared" si="1"/>
        <v/>
      </c>
      <c r="Q52" s="265" t="s">
        <v>244</v>
      </c>
      <c r="R52" s="265" t="s">
        <v>245</v>
      </c>
      <c r="S52" s="265"/>
      <c r="T52" s="265"/>
      <c r="U52" s="265"/>
      <c r="V52" s="265"/>
      <c r="W52" s="270">
        <f>+V53+V54</f>
        <v>18043802</v>
      </c>
      <c r="X52" s="246" t="str">
        <f t="shared" si="2"/>
        <v/>
      </c>
      <c r="Y52" s="265" t="s">
        <v>244</v>
      </c>
      <c r="Z52" s="265" t="s">
        <v>245</v>
      </c>
      <c r="AA52" s="265"/>
      <c r="AB52" s="265"/>
      <c r="AC52" s="265"/>
      <c r="AD52" s="265"/>
      <c r="AE52" s="270">
        <f>+AD53+AD54</f>
        <v>18300000</v>
      </c>
      <c r="AF52" s="246" t="str">
        <f t="shared" si="3"/>
        <v/>
      </c>
    </row>
    <row r="53" spans="1:32" s="235" customFormat="1" ht="32.25" outlineLevel="2" thickTop="1" thickBot="1">
      <c r="A53" s="278" t="s">
        <v>246</v>
      </c>
      <c r="B53" s="300" t="s">
        <v>247</v>
      </c>
      <c r="C53" s="284" t="s">
        <v>105</v>
      </c>
      <c r="D53" s="317">
        <v>1</v>
      </c>
      <c r="E53" s="282">
        <v>877651</v>
      </c>
      <c r="F53" s="290">
        <f t="shared" ref="F53:F54" si="36">ROUND(D53*E53,0)</f>
        <v>877651</v>
      </c>
      <c r="G53" s="657">
        <v>0</v>
      </c>
      <c r="H53" s="246">
        <f t="shared" si="0"/>
        <v>0</v>
      </c>
      <c r="I53" s="278" t="s">
        <v>246</v>
      </c>
      <c r="J53" s="300" t="s">
        <v>247</v>
      </c>
      <c r="K53" s="284" t="s">
        <v>105</v>
      </c>
      <c r="L53" s="317">
        <v>1</v>
      </c>
      <c r="M53" s="282">
        <v>5000000</v>
      </c>
      <c r="N53" s="290">
        <f t="shared" ref="N53:N54" si="37">ROUND(L53*M53,0)</f>
        <v>5000000</v>
      </c>
      <c r="O53" s="657">
        <v>0</v>
      </c>
      <c r="P53" s="246">
        <f t="shared" si="1"/>
        <v>0</v>
      </c>
      <c r="Q53" s="278" t="s">
        <v>246</v>
      </c>
      <c r="R53" s="300" t="s">
        <v>247</v>
      </c>
      <c r="S53" s="284" t="s">
        <v>105</v>
      </c>
      <c r="T53" s="317">
        <v>1</v>
      </c>
      <c r="U53" s="282">
        <v>5028601</v>
      </c>
      <c r="V53" s="290">
        <f t="shared" ref="V53:V54" si="38">ROUND(T53*U53,0)</f>
        <v>5028601</v>
      </c>
      <c r="W53" s="657">
        <v>0</v>
      </c>
      <c r="X53" s="246">
        <f t="shared" si="2"/>
        <v>0</v>
      </c>
      <c r="Y53" s="278" t="s">
        <v>246</v>
      </c>
      <c r="Z53" s="300" t="s">
        <v>247</v>
      </c>
      <c r="AA53" s="284" t="s">
        <v>105</v>
      </c>
      <c r="AB53" s="317">
        <v>1</v>
      </c>
      <c r="AC53" s="282">
        <v>5100000</v>
      </c>
      <c r="AD53" s="290">
        <f t="shared" ref="AD53:AD54" si="39">ROUND(AB53*AC53,0)</f>
        <v>5100000</v>
      </c>
      <c r="AE53" s="657">
        <v>0</v>
      </c>
      <c r="AF53" s="246">
        <f t="shared" si="3"/>
        <v>0</v>
      </c>
    </row>
    <row r="54" spans="1:32" s="235" customFormat="1" ht="32.25" outlineLevel="2" thickTop="1" thickBot="1">
      <c r="A54" s="278" t="s">
        <v>248</v>
      </c>
      <c r="B54" s="300" t="s">
        <v>249</v>
      </c>
      <c r="C54" s="284" t="s">
        <v>105</v>
      </c>
      <c r="D54" s="317">
        <v>1</v>
      </c>
      <c r="E54" s="282">
        <v>18930656</v>
      </c>
      <c r="F54" s="290">
        <f t="shared" si="36"/>
        <v>18930656</v>
      </c>
      <c r="G54" s="658"/>
      <c r="H54" s="246">
        <f t="shared" si="0"/>
        <v>0</v>
      </c>
      <c r="I54" s="278" t="s">
        <v>248</v>
      </c>
      <c r="J54" s="300" t="s">
        <v>249</v>
      </c>
      <c r="K54" s="284" t="s">
        <v>105</v>
      </c>
      <c r="L54" s="317">
        <v>1</v>
      </c>
      <c r="M54" s="282">
        <v>14000000</v>
      </c>
      <c r="N54" s="290">
        <f t="shared" si="37"/>
        <v>14000000</v>
      </c>
      <c r="O54" s="658"/>
      <c r="P54" s="246">
        <f t="shared" si="1"/>
        <v>0</v>
      </c>
      <c r="Q54" s="278" t="s">
        <v>248</v>
      </c>
      <c r="R54" s="300" t="s">
        <v>249</v>
      </c>
      <c r="S54" s="284" t="s">
        <v>105</v>
      </c>
      <c r="T54" s="317">
        <v>1</v>
      </c>
      <c r="U54" s="282">
        <v>13015201</v>
      </c>
      <c r="V54" s="290">
        <f t="shared" si="38"/>
        <v>13015201</v>
      </c>
      <c r="W54" s="658"/>
      <c r="X54" s="246">
        <f t="shared" si="2"/>
        <v>0</v>
      </c>
      <c r="Y54" s="278" t="s">
        <v>248</v>
      </c>
      <c r="Z54" s="300" t="s">
        <v>249</v>
      </c>
      <c r="AA54" s="284" t="s">
        <v>105</v>
      </c>
      <c r="AB54" s="317">
        <v>1</v>
      </c>
      <c r="AC54" s="282">
        <v>13200000</v>
      </c>
      <c r="AD54" s="290">
        <f t="shared" si="39"/>
        <v>13200000</v>
      </c>
      <c r="AE54" s="658"/>
      <c r="AF54" s="246">
        <f t="shared" si="3"/>
        <v>0</v>
      </c>
    </row>
    <row r="55" spans="1:32" s="235" customFormat="1" ht="16.5" outlineLevel="2" thickTop="1" thickBot="1">
      <c r="A55" s="264" t="s">
        <v>250</v>
      </c>
      <c r="B55" s="265" t="s">
        <v>251</v>
      </c>
      <c r="C55" s="266"/>
      <c r="D55" s="267"/>
      <c r="E55" s="268"/>
      <c r="F55" s="269"/>
      <c r="G55" s="270">
        <f>SUM(F57:F95)</f>
        <v>223651375</v>
      </c>
      <c r="H55" s="246" t="str">
        <f t="shared" si="0"/>
        <v/>
      </c>
      <c r="I55" s="264" t="s">
        <v>250</v>
      </c>
      <c r="J55" s="265" t="s">
        <v>251</v>
      </c>
      <c r="K55" s="266"/>
      <c r="L55" s="267"/>
      <c r="M55" s="268"/>
      <c r="N55" s="269"/>
      <c r="O55" s="270">
        <f>SUM(N57:N95)</f>
        <v>440210900</v>
      </c>
      <c r="P55" s="246" t="str">
        <f t="shared" si="1"/>
        <v/>
      </c>
      <c r="Q55" s="264" t="s">
        <v>250</v>
      </c>
      <c r="R55" s="265" t="s">
        <v>251</v>
      </c>
      <c r="S55" s="266"/>
      <c r="T55" s="267"/>
      <c r="U55" s="268"/>
      <c r="V55" s="269"/>
      <c r="W55" s="270">
        <f>SUM(V57:V95)</f>
        <v>434952233</v>
      </c>
      <c r="X55" s="246" t="str">
        <f t="shared" si="2"/>
        <v/>
      </c>
      <c r="Y55" s="264" t="s">
        <v>250</v>
      </c>
      <c r="Z55" s="265" t="s">
        <v>251</v>
      </c>
      <c r="AA55" s="266"/>
      <c r="AB55" s="267"/>
      <c r="AC55" s="268"/>
      <c r="AD55" s="269"/>
      <c r="AE55" s="270">
        <f>SUM(AD57:AD95)</f>
        <v>441127500</v>
      </c>
      <c r="AF55" s="246" t="str">
        <f t="shared" si="3"/>
        <v/>
      </c>
    </row>
    <row r="56" spans="1:32" s="235" customFormat="1" ht="16.5" outlineLevel="2" thickTop="1" thickBot="1">
      <c r="A56" s="285" t="s">
        <v>252</v>
      </c>
      <c r="B56" s="318" t="s">
        <v>253</v>
      </c>
      <c r="C56" s="284"/>
      <c r="D56" s="317"/>
      <c r="E56" s="319"/>
      <c r="F56" s="319"/>
      <c r="G56" s="657">
        <v>0</v>
      </c>
      <c r="H56" s="246" t="str">
        <f t="shared" si="0"/>
        <v/>
      </c>
      <c r="I56" s="285" t="s">
        <v>252</v>
      </c>
      <c r="J56" s="318" t="s">
        <v>253</v>
      </c>
      <c r="K56" s="284"/>
      <c r="L56" s="317"/>
      <c r="M56" s="319"/>
      <c r="N56" s="319"/>
      <c r="O56" s="657">
        <v>0</v>
      </c>
      <c r="P56" s="246" t="str">
        <f t="shared" si="1"/>
        <v/>
      </c>
      <c r="Q56" s="285" t="s">
        <v>252</v>
      </c>
      <c r="R56" s="318" t="s">
        <v>253</v>
      </c>
      <c r="S56" s="284"/>
      <c r="T56" s="317"/>
      <c r="U56" s="319"/>
      <c r="V56" s="319"/>
      <c r="W56" s="657">
        <v>0</v>
      </c>
      <c r="X56" s="246" t="str">
        <f t="shared" si="2"/>
        <v/>
      </c>
      <c r="Y56" s="285" t="s">
        <v>252</v>
      </c>
      <c r="Z56" s="318" t="s">
        <v>253</v>
      </c>
      <c r="AA56" s="284"/>
      <c r="AB56" s="317"/>
      <c r="AC56" s="319"/>
      <c r="AD56" s="319"/>
      <c r="AE56" s="657">
        <v>0</v>
      </c>
      <c r="AF56" s="246" t="str">
        <f t="shared" si="3"/>
        <v/>
      </c>
    </row>
    <row r="57" spans="1:32" s="235" customFormat="1" ht="31.5" outlineLevel="2" thickTop="1" thickBot="1">
      <c r="A57" s="278" t="s">
        <v>254</v>
      </c>
      <c r="B57" s="288" t="s">
        <v>255</v>
      </c>
      <c r="C57" s="284" t="s">
        <v>224</v>
      </c>
      <c r="D57" s="313">
        <v>8</v>
      </c>
      <c r="E57" s="282">
        <v>1809000</v>
      </c>
      <c r="F57" s="283">
        <f t="shared" ref="F57:F58" si="40">ROUND(D57*E57,0)</f>
        <v>14472000</v>
      </c>
      <c r="G57" s="658"/>
      <c r="H57" s="246">
        <f t="shared" si="0"/>
        <v>0</v>
      </c>
      <c r="I57" s="278" t="s">
        <v>254</v>
      </c>
      <c r="J57" s="288" t="s">
        <v>255</v>
      </c>
      <c r="K57" s="284" t="s">
        <v>224</v>
      </c>
      <c r="L57" s="313">
        <v>8</v>
      </c>
      <c r="M57" s="282">
        <v>290000</v>
      </c>
      <c r="N57" s="283">
        <f t="shared" ref="N57:N58" si="41">ROUND(L57*M57,0)</f>
        <v>2320000</v>
      </c>
      <c r="O57" s="658"/>
      <c r="P57" s="246">
        <f t="shared" si="1"/>
        <v>0</v>
      </c>
      <c r="Q57" s="278" t="s">
        <v>254</v>
      </c>
      <c r="R57" s="288" t="s">
        <v>255</v>
      </c>
      <c r="S57" s="284" t="s">
        <v>224</v>
      </c>
      <c r="T57" s="313">
        <v>8</v>
      </c>
      <c r="U57" s="282">
        <v>305661</v>
      </c>
      <c r="V57" s="283">
        <f t="shared" ref="V57:V58" si="42">ROUND(T57*U57,0)</f>
        <v>2445288</v>
      </c>
      <c r="W57" s="658"/>
      <c r="X57" s="246">
        <f t="shared" si="2"/>
        <v>0</v>
      </c>
      <c r="Y57" s="278" t="s">
        <v>254</v>
      </c>
      <c r="Z57" s="288" t="s">
        <v>255</v>
      </c>
      <c r="AA57" s="284" t="s">
        <v>224</v>
      </c>
      <c r="AB57" s="313">
        <v>8</v>
      </c>
      <c r="AC57" s="282">
        <v>310000</v>
      </c>
      <c r="AD57" s="283">
        <f t="shared" ref="AD57:AD58" si="43">ROUND(AB57*AC57,0)</f>
        <v>2480000</v>
      </c>
      <c r="AE57" s="658"/>
      <c r="AF57" s="246">
        <f t="shared" si="3"/>
        <v>0</v>
      </c>
    </row>
    <row r="58" spans="1:32" s="235" customFormat="1" ht="31.5" outlineLevel="2" thickTop="1" thickBot="1">
      <c r="A58" s="278" t="s">
        <v>256</v>
      </c>
      <c r="B58" s="288" t="s">
        <v>257</v>
      </c>
      <c r="C58" s="284" t="s">
        <v>258</v>
      </c>
      <c r="D58" s="313">
        <v>1</v>
      </c>
      <c r="E58" s="282">
        <v>2532600</v>
      </c>
      <c r="F58" s="283">
        <f t="shared" si="40"/>
        <v>2532600</v>
      </c>
      <c r="G58" s="658"/>
      <c r="H58" s="246">
        <f t="shared" si="0"/>
        <v>0</v>
      </c>
      <c r="I58" s="278" t="s">
        <v>256</v>
      </c>
      <c r="J58" s="288" t="s">
        <v>257</v>
      </c>
      <c r="K58" s="284" t="s">
        <v>258</v>
      </c>
      <c r="L58" s="313">
        <v>1</v>
      </c>
      <c r="M58" s="282">
        <v>1900000</v>
      </c>
      <c r="N58" s="283">
        <f t="shared" si="41"/>
        <v>1900000</v>
      </c>
      <c r="O58" s="658"/>
      <c r="P58" s="246">
        <f t="shared" si="1"/>
        <v>0</v>
      </c>
      <c r="Q58" s="278" t="s">
        <v>256</v>
      </c>
      <c r="R58" s="288" t="s">
        <v>257</v>
      </c>
      <c r="S58" s="284" t="s">
        <v>258</v>
      </c>
      <c r="T58" s="313">
        <v>1</v>
      </c>
      <c r="U58" s="282">
        <v>1972001</v>
      </c>
      <c r="V58" s="283">
        <f t="shared" si="42"/>
        <v>1972001</v>
      </c>
      <c r="W58" s="658"/>
      <c r="X58" s="246">
        <f t="shared" si="2"/>
        <v>0</v>
      </c>
      <c r="Y58" s="278" t="s">
        <v>256</v>
      </c>
      <c r="Z58" s="288" t="s">
        <v>257</v>
      </c>
      <c r="AA58" s="284" t="s">
        <v>258</v>
      </c>
      <c r="AB58" s="313">
        <v>1</v>
      </c>
      <c r="AC58" s="282">
        <v>2000000</v>
      </c>
      <c r="AD58" s="283">
        <f t="shared" si="43"/>
        <v>2000000</v>
      </c>
      <c r="AE58" s="658"/>
      <c r="AF58" s="246">
        <f t="shared" si="3"/>
        <v>0</v>
      </c>
    </row>
    <row r="59" spans="1:32" s="235" customFormat="1" ht="16.5" outlineLevel="2" thickTop="1" thickBot="1">
      <c r="A59" s="285" t="s">
        <v>259</v>
      </c>
      <c r="B59" s="318" t="s">
        <v>260</v>
      </c>
      <c r="C59" s="273"/>
      <c r="D59" s="274"/>
      <c r="E59" s="275"/>
      <c r="F59" s="276"/>
      <c r="G59" s="658"/>
      <c r="H59" s="246" t="str">
        <f t="shared" si="0"/>
        <v/>
      </c>
      <c r="I59" s="285" t="s">
        <v>259</v>
      </c>
      <c r="J59" s="318" t="s">
        <v>260</v>
      </c>
      <c r="K59" s="273"/>
      <c r="L59" s="274"/>
      <c r="M59" s="275"/>
      <c r="N59" s="276"/>
      <c r="O59" s="658"/>
      <c r="P59" s="246" t="str">
        <f t="shared" si="1"/>
        <v/>
      </c>
      <c r="Q59" s="285" t="s">
        <v>259</v>
      </c>
      <c r="R59" s="318" t="s">
        <v>260</v>
      </c>
      <c r="S59" s="273"/>
      <c r="T59" s="274"/>
      <c r="U59" s="275"/>
      <c r="V59" s="276"/>
      <c r="W59" s="658"/>
      <c r="X59" s="246" t="str">
        <f t="shared" si="2"/>
        <v/>
      </c>
      <c r="Y59" s="285" t="s">
        <v>259</v>
      </c>
      <c r="Z59" s="318" t="s">
        <v>260</v>
      </c>
      <c r="AA59" s="273"/>
      <c r="AB59" s="274"/>
      <c r="AC59" s="275"/>
      <c r="AD59" s="276"/>
      <c r="AE59" s="658"/>
      <c r="AF59" s="246" t="str">
        <f t="shared" si="3"/>
        <v/>
      </c>
    </row>
    <row r="60" spans="1:32" s="235" customFormat="1" ht="121.5" outlineLevel="2" thickTop="1" thickBot="1">
      <c r="A60" s="278"/>
      <c r="B60" s="320" t="s">
        <v>261</v>
      </c>
      <c r="C60" s="308"/>
      <c r="D60" s="309"/>
      <c r="E60" s="310"/>
      <c r="F60" s="311"/>
      <c r="G60" s="658"/>
      <c r="H60" s="246" t="str">
        <f t="shared" si="0"/>
        <v/>
      </c>
      <c r="I60" s="278"/>
      <c r="J60" s="320" t="s">
        <v>261</v>
      </c>
      <c r="K60" s="308"/>
      <c r="L60" s="309"/>
      <c r="M60" s="310"/>
      <c r="N60" s="311"/>
      <c r="O60" s="658"/>
      <c r="P60" s="246" t="str">
        <f t="shared" si="1"/>
        <v/>
      </c>
      <c r="Q60" s="278"/>
      <c r="R60" s="320" t="s">
        <v>261</v>
      </c>
      <c r="S60" s="308"/>
      <c r="T60" s="309"/>
      <c r="U60" s="310"/>
      <c r="V60" s="311"/>
      <c r="W60" s="658"/>
      <c r="X60" s="246" t="str">
        <f t="shared" si="2"/>
        <v/>
      </c>
      <c r="Y60" s="278"/>
      <c r="Z60" s="320" t="s">
        <v>261</v>
      </c>
      <c r="AA60" s="308"/>
      <c r="AB60" s="309"/>
      <c r="AC60" s="310"/>
      <c r="AD60" s="311"/>
      <c r="AE60" s="658"/>
      <c r="AF60" s="246" t="str">
        <f t="shared" si="3"/>
        <v/>
      </c>
    </row>
    <row r="61" spans="1:32" s="235" customFormat="1" ht="16.5" outlineLevel="2" thickTop="1" thickBot="1">
      <c r="A61" s="278" t="s">
        <v>262</v>
      </c>
      <c r="B61" s="321" t="s">
        <v>263</v>
      </c>
      <c r="C61" s="317" t="s">
        <v>224</v>
      </c>
      <c r="D61" s="281">
        <v>1</v>
      </c>
      <c r="E61" s="322">
        <v>6255510</v>
      </c>
      <c r="F61" s="287">
        <f t="shared" ref="F61:F95" si="44">ROUND(D61*E61,0)</f>
        <v>6255510</v>
      </c>
      <c r="G61" s="658"/>
      <c r="H61" s="246">
        <f t="shared" si="0"/>
        <v>0</v>
      </c>
      <c r="I61" s="278" t="s">
        <v>262</v>
      </c>
      <c r="J61" s="321" t="s">
        <v>263</v>
      </c>
      <c r="K61" s="317" t="s">
        <v>224</v>
      </c>
      <c r="L61" s="281">
        <v>1</v>
      </c>
      <c r="M61" s="322">
        <v>14200000</v>
      </c>
      <c r="N61" s="287">
        <f t="shared" ref="N61:N67" si="45">ROUND(L61*M61,0)</f>
        <v>14200000</v>
      </c>
      <c r="O61" s="658"/>
      <c r="P61" s="246">
        <f t="shared" si="1"/>
        <v>0</v>
      </c>
      <c r="Q61" s="278" t="s">
        <v>262</v>
      </c>
      <c r="R61" s="321" t="s">
        <v>263</v>
      </c>
      <c r="S61" s="317" t="s">
        <v>224</v>
      </c>
      <c r="T61" s="281">
        <v>1</v>
      </c>
      <c r="U61" s="322">
        <v>14099801</v>
      </c>
      <c r="V61" s="287">
        <f t="shared" ref="V61:V67" si="46">ROUND(T61*U61,0)</f>
        <v>14099801</v>
      </c>
      <c r="W61" s="658"/>
      <c r="X61" s="246">
        <f t="shared" si="2"/>
        <v>0</v>
      </c>
      <c r="Y61" s="278" t="s">
        <v>262</v>
      </c>
      <c r="Z61" s="321" t="s">
        <v>263</v>
      </c>
      <c r="AA61" s="317" t="s">
        <v>224</v>
      </c>
      <c r="AB61" s="281">
        <v>1</v>
      </c>
      <c r="AC61" s="322">
        <v>14300000</v>
      </c>
      <c r="AD61" s="287">
        <f t="shared" ref="AD61:AD67" si="47">ROUND(AB61*AC61,0)</f>
        <v>14300000</v>
      </c>
      <c r="AE61" s="658"/>
      <c r="AF61" s="246">
        <f t="shared" si="3"/>
        <v>0</v>
      </c>
    </row>
    <row r="62" spans="1:32" s="235" customFormat="1" ht="46.5" outlineLevel="2" thickTop="1" thickBot="1">
      <c r="A62" s="278" t="s">
        <v>264</v>
      </c>
      <c r="B62" s="321" t="s">
        <v>265</v>
      </c>
      <c r="C62" s="317" t="s">
        <v>224</v>
      </c>
      <c r="D62" s="281">
        <v>1</v>
      </c>
      <c r="E62" s="322">
        <v>33518851</v>
      </c>
      <c r="F62" s="287">
        <f t="shared" si="44"/>
        <v>33518851</v>
      </c>
      <c r="G62" s="658"/>
      <c r="H62" s="246">
        <f t="shared" si="0"/>
        <v>0</v>
      </c>
      <c r="I62" s="278" t="s">
        <v>264</v>
      </c>
      <c r="J62" s="321" t="s">
        <v>265</v>
      </c>
      <c r="K62" s="317" t="s">
        <v>224</v>
      </c>
      <c r="L62" s="281">
        <v>1</v>
      </c>
      <c r="M62" s="322">
        <v>39000000</v>
      </c>
      <c r="N62" s="287">
        <f t="shared" si="45"/>
        <v>39000000</v>
      </c>
      <c r="O62" s="658"/>
      <c r="P62" s="246">
        <f t="shared" si="1"/>
        <v>0</v>
      </c>
      <c r="Q62" s="278" t="s">
        <v>264</v>
      </c>
      <c r="R62" s="321" t="s">
        <v>265</v>
      </c>
      <c r="S62" s="317" t="s">
        <v>224</v>
      </c>
      <c r="T62" s="281">
        <v>1</v>
      </c>
      <c r="U62" s="322">
        <v>38256801</v>
      </c>
      <c r="V62" s="287">
        <f t="shared" si="46"/>
        <v>38256801</v>
      </c>
      <c r="W62" s="658"/>
      <c r="X62" s="246">
        <f t="shared" si="2"/>
        <v>0</v>
      </c>
      <c r="Y62" s="278" t="s">
        <v>264</v>
      </c>
      <c r="Z62" s="321" t="s">
        <v>265</v>
      </c>
      <c r="AA62" s="317" t="s">
        <v>224</v>
      </c>
      <c r="AB62" s="281">
        <v>1</v>
      </c>
      <c r="AC62" s="322">
        <v>38800000</v>
      </c>
      <c r="AD62" s="287">
        <f t="shared" si="47"/>
        <v>38800000</v>
      </c>
      <c r="AE62" s="658"/>
      <c r="AF62" s="246">
        <f t="shared" si="3"/>
        <v>0</v>
      </c>
    </row>
    <row r="63" spans="1:32" s="235" customFormat="1" ht="46.5" outlineLevel="2" thickTop="1" thickBot="1">
      <c r="A63" s="278" t="s">
        <v>266</v>
      </c>
      <c r="B63" s="321" t="s">
        <v>267</v>
      </c>
      <c r="C63" s="317" t="s">
        <v>224</v>
      </c>
      <c r="D63" s="281">
        <v>2</v>
      </c>
      <c r="E63" s="322">
        <v>8348200</v>
      </c>
      <c r="F63" s="287">
        <f t="shared" si="44"/>
        <v>16696400</v>
      </c>
      <c r="G63" s="658"/>
      <c r="H63" s="246">
        <f t="shared" si="0"/>
        <v>0</v>
      </c>
      <c r="I63" s="278" t="s">
        <v>266</v>
      </c>
      <c r="J63" s="321" t="s">
        <v>267</v>
      </c>
      <c r="K63" s="317" t="s">
        <v>224</v>
      </c>
      <c r="L63" s="281">
        <v>2</v>
      </c>
      <c r="M63" s="322">
        <v>39100000</v>
      </c>
      <c r="N63" s="287">
        <f t="shared" si="45"/>
        <v>78200000</v>
      </c>
      <c r="O63" s="658"/>
      <c r="P63" s="246">
        <f t="shared" si="1"/>
        <v>0</v>
      </c>
      <c r="Q63" s="278" t="s">
        <v>266</v>
      </c>
      <c r="R63" s="321" t="s">
        <v>267</v>
      </c>
      <c r="S63" s="317" t="s">
        <v>224</v>
      </c>
      <c r="T63" s="281">
        <v>2</v>
      </c>
      <c r="U63" s="322">
        <v>38651201</v>
      </c>
      <c r="V63" s="287">
        <f t="shared" si="46"/>
        <v>77302402</v>
      </c>
      <c r="W63" s="658"/>
      <c r="X63" s="246">
        <f t="shared" si="2"/>
        <v>0</v>
      </c>
      <c r="Y63" s="278" t="s">
        <v>266</v>
      </c>
      <c r="Z63" s="321" t="s">
        <v>267</v>
      </c>
      <c r="AA63" s="317" t="s">
        <v>224</v>
      </c>
      <c r="AB63" s="281">
        <v>2</v>
      </c>
      <c r="AC63" s="322">
        <v>39200000</v>
      </c>
      <c r="AD63" s="287">
        <f t="shared" si="47"/>
        <v>78400000</v>
      </c>
      <c r="AE63" s="658"/>
      <c r="AF63" s="246">
        <f t="shared" si="3"/>
        <v>0</v>
      </c>
    </row>
    <row r="64" spans="1:32" s="235" customFormat="1" ht="16.5" outlineLevel="2" thickTop="1" thickBot="1">
      <c r="A64" s="278" t="s">
        <v>268</v>
      </c>
      <c r="B64" s="321" t="s">
        <v>269</v>
      </c>
      <c r="C64" s="319" t="s">
        <v>224</v>
      </c>
      <c r="D64" s="281">
        <v>1</v>
      </c>
      <c r="E64" s="322">
        <v>6255510</v>
      </c>
      <c r="F64" s="287">
        <f t="shared" si="44"/>
        <v>6255510</v>
      </c>
      <c r="G64" s="658"/>
      <c r="H64" s="246">
        <f t="shared" si="0"/>
        <v>0</v>
      </c>
      <c r="I64" s="278" t="s">
        <v>268</v>
      </c>
      <c r="J64" s="321" t="s">
        <v>269</v>
      </c>
      <c r="K64" s="319" t="s">
        <v>224</v>
      </c>
      <c r="L64" s="281">
        <v>1</v>
      </c>
      <c r="M64" s="322">
        <v>6000000</v>
      </c>
      <c r="N64" s="287">
        <f t="shared" si="45"/>
        <v>6000000</v>
      </c>
      <c r="O64" s="658"/>
      <c r="P64" s="246">
        <f t="shared" si="1"/>
        <v>0</v>
      </c>
      <c r="Q64" s="278" t="s">
        <v>268</v>
      </c>
      <c r="R64" s="321" t="s">
        <v>269</v>
      </c>
      <c r="S64" s="319" t="s">
        <v>224</v>
      </c>
      <c r="T64" s="281">
        <v>1</v>
      </c>
      <c r="U64" s="322">
        <v>6034321</v>
      </c>
      <c r="V64" s="287">
        <f t="shared" si="46"/>
        <v>6034321</v>
      </c>
      <c r="W64" s="658"/>
      <c r="X64" s="246">
        <f t="shared" si="2"/>
        <v>0</v>
      </c>
      <c r="Y64" s="278" t="s">
        <v>268</v>
      </c>
      <c r="Z64" s="321" t="s">
        <v>269</v>
      </c>
      <c r="AA64" s="319" t="s">
        <v>224</v>
      </c>
      <c r="AB64" s="281">
        <v>1</v>
      </c>
      <c r="AC64" s="322">
        <v>6120000</v>
      </c>
      <c r="AD64" s="287">
        <f t="shared" si="47"/>
        <v>6120000</v>
      </c>
      <c r="AE64" s="658"/>
      <c r="AF64" s="246">
        <f t="shared" si="3"/>
        <v>0</v>
      </c>
    </row>
    <row r="65" spans="1:32" s="235" customFormat="1" ht="16.5" outlineLevel="2" thickTop="1" thickBot="1">
      <c r="A65" s="278" t="s">
        <v>270</v>
      </c>
      <c r="B65" s="321" t="s">
        <v>271</v>
      </c>
      <c r="C65" s="319" t="s">
        <v>224</v>
      </c>
      <c r="D65" s="281">
        <v>2</v>
      </c>
      <c r="E65" s="322">
        <v>34319942</v>
      </c>
      <c r="F65" s="287">
        <f t="shared" si="44"/>
        <v>68639884</v>
      </c>
      <c r="G65" s="658"/>
      <c r="H65" s="246">
        <f t="shared" si="0"/>
        <v>0</v>
      </c>
      <c r="I65" s="278" t="s">
        <v>270</v>
      </c>
      <c r="J65" s="321" t="s">
        <v>271</v>
      </c>
      <c r="K65" s="319" t="s">
        <v>224</v>
      </c>
      <c r="L65" s="281">
        <v>2</v>
      </c>
      <c r="M65" s="322">
        <v>23000000</v>
      </c>
      <c r="N65" s="287">
        <f t="shared" si="45"/>
        <v>46000000</v>
      </c>
      <c r="O65" s="658"/>
      <c r="P65" s="246">
        <f t="shared" si="1"/>
        <v>0</v>
      </c>
      <c r="Q65" s="278" t="s">
        <v>270</v>
      </c>
      <c r="R65" s="321" t="s">
        <v>271</v>
      </c>
      <c r="S65" s="319" t="s">
        <v>224</v>
      </c>
      <c r="T65" s="281">
        <v>2</v>
      </c>
      <c r="U65" s="322">
        <v>22875201</v>
      </c>
      <c r="V65" s="287">
        <f t="shared" si="46"/>
        <v>45750402</v>
      </c>
      <c r="W65" s="658"/>
      <c r="X65" s="246">
        <f t="shared" si="2"/>
        <v>0</v>
      </c>
      <c r="Y65" s="278" t="s">
        <v>270</v>
      </c>
      <c r="Z65" s="321" t="s">
        <v>271</v>
      </c>
      <c r="AA65" s="319" t="s">
        <v>224</v>
      </c>
      <c r="AB65" s="281">
        <v>2</v>
      </c>
      <c r="AC65" s="322">
        <v>23200000</v>
      </c>
      <c r="AD65" s="287">
        <f t="shared" si="47"/>
        <v>46400000</v>
      </c>
      <c r="AE65" s="658"/>
      <c r="AF65" s="246">
        <f t="shared" si="3"/>
        <v>0</v>
      </c>
    </row>
    <row r="66" spans="1:32" s="235" customFormat="1" ht="16.5" outlineLevel="2" thickTop="1" thickBot="1">
      <c r="A66" s="278" t="s">
        <v>272</v>
      </c>
      <c r="B66" s="321" t="s">
        <v>273</v>
      </c>
      <c r="C66" s="319" t="s">
        <v>224</v>
      </c>
      <c r="D66" s="281">
        <v>1</v>
      </c>
      <c r="E66" s="322">
        <v>3035490</v>
      </c>
      <c r="F66" s="287">
        <f t="shared" si="44"/>
        <v>3035490</v>
      </c>
      <c r="G66" s="658"/>
      <c r="H66" s="246">
        <f t="shared" si="0"/>
        <v>0</v>
      </c>
      <c r="I66" s="278" t="s">
        <v>272</v>
      </c>
      <c r="J66" s="321" t="s">
        <v>273</v>
      </c>
      <c r="K66" s="319" t="s">
        <v>224</v>
      </c>
      <c r="L66" s="281">
        <v>1</v>
      </c>
      <c r="M66" s="322">
        <v>6500000</v>
      </c>
      <c r="N66" s="287">
        <f t="shared" si="45"/>
        <v>6500000</v>
      </c>
      <c r="O66" s="658"/>
      <c r="P66" s="246">
        <f t="shared" si="1"/>
        <v>0</v>
      </c>
      <c r="Q66" s="278" t="s">
        <v>272</v>
      </c>
      <c r="R66" s="321" t="s">
        <v>273</v>
      </c>
      <c r="S66" s="319" t="s">
        <v>224</v>
      </c>
      <c r="T66" s="281">
        <v>1</v>
      </c>
      <c r="U66" s="322">
        <v>6468161</v>
      </c>
      <c r="V66" s="287">
        <f t="shared" si="46"/>
        <v>6468161</v>
      </c>
      <c r="W66" s="658"/>
      <c r="X66" s="246">
        <f t="shared" si="2"/>
        <v>0</v>
      </c>
      <c r="Y66" s="278" t="s">
        <v>272</v>
      </c>
      <c r="Z66" s="321" t="s">
        <v>273</v>
      </c>
      <c r="AA66" s="319" t="s">
        <v>224</v>
      </c>
      <c r="AB66" s="281">
        <v>1</v>
      </c>
      <c r="AC66" s="322">
        <v>6560000</v>
      </c>
      <c r="AD66" s="287">
        <f t="shared" si="47"/>
        <v>6560000</v>
      </c>
      <c r="AE66" s="658"/>
      <c r="AF66" s="246">
        <f t="shared" si="3"/>
        <v>0</v>
      </c>
    </row>
    <row r="67" spans="1:32" s="235" customFormat="1" ht="46.5" outlineLevel="2" thickTop="1" thickBot="1">
      <c r="A67" s="278" t="s">
        <v>274</v>
      </c>
      <c r="B67" s="321" t="s">
        <v>275</v>
      </c>
      <c r="C67" s="319" t="s">
        <v>224</v>
      </c>
      <c r="D67" s="281">
        <v>8</v>
      </c>
      <c r="E67" s="322">
        <v>482400</v>
      </c>
      <c r="F67" s="283">
        <f t="shared" si="44"/>
        <v>3859200</v>
      </c>
      <c r="G67" s="658"/>
      <c r="H67" s="246">
        <f t="shared" si="0"/>
        <v>0</v>
      </c>
      <c r="I67" s="278" t="s">
        <v>274</v>
      </c>
      <c r="J67" s="321" t="s">
        <v>275</v>
      </c>
      <c r="K67" s="319" t="s">
        <v>224</v>
      </c>
      <c r="L67" s="281">
        <v>8</v>
      </c>
      <c r="M67" s="322">
        <v>1000000</v>
      </c>
      <c r="N67" s="283">
        <f t="shared" si="45"/>
        <v>8000000</v>
      </c>
      <c r="O67" s="658"/>
      <c r="P67" s="246">
        <f t="shared" si="1"/>
        <v>0</v>
      </c>
      <c r="Q67" s="278" t="s">
        <v>274</v>
      </c>
      <c r="R67" s="321" t="s">
        <v>275</v>
      </c>
      <c r="S67" s="319" t="s">
        <v>224</v>
      </c>
      <c r="T67" s="281">
        <v>8</v>
      </c>
      <c r="U67" s="322">
        <v>966281</v>
      </c>
      <c r="V67" s="283">
        <f t="shared" si="46"/>
        <v>7730248</v>
      </c>
      <c r="W67" s="658"/>
      <c r="X67" s="246">
        <f t="shared" si="2"/>
        <v>0</v>
      </c>
      <c r="Y67" s="278" t="s">
        <v>274</v>
      </c>
      <c r="Z67" s="321" t="s">
        <v>275</v>
      </c>
      <c r="AA67" s="319" t="s">
        <v>224</v>
      </c>
      <c r="AB67" s="281">
        <v>8</v>
      </c>
      <c r="AC67" s="322">
        <v>980000</v>
      </c>
      <c r="AD67" s="283">
        <f t="shared" si="47"/>
        <v>7840000</v>
      </c>
      <c r="AE67" s="658"/>
      <c r="AF67" s="246">
        <f t="shared" si="3"/>
        <v>0</v>
      </c>
    </row>
    <row r="68" spans="1:32" s="235" customFormat="1" ht="16.5" outlineLevel="2" thickTop="1" thickBot="1">
      <c r="A68" s="285" t="s">
        <v>276</v>
      </c>
      <c r="B68" s="318" t="s">
        <v>277</v>
      </c>
      <c r="C68" s="273"/>
      <c r="D68" s="274"/>
      <c r="E68" s="275"/>
      <c r="F68" s="276"/>
      <c r="G68" s="658"/>
      <c r="H68" s="246" t="str">
        <f t="shared" si="0"/>
        <v/>
      </c>
      <c r="I68" s="285" t="s">
        <v>276</v>
      </c>
      <c r="J68" s="318" t="s">
        <v>277</v>
      </c>
      <c r="K68" s="273"/>
      <c r="L68" s="274"/>
      <c r="M68" s="275"/>
      <c r="N68" s="276"/>
      <c r="O68" s="658"/>
      <c r="P68" s="246" t="str">
        <f t="shared" si="1"/>
        <v/>
      </c>
      <c r="Q68" s="285" t="s">
        <v>276</v>
      </c>
      <c r="R68" s="318" t="s">
        <v>277</v>
      </c>
      <c r="S68" s="273"/>
      <c r="T68" s="274"/>
      <c r="U68" s="275"/>
      <c r="V68" s="276"/>
      <c r="W68" s="658"/>
      <c r="X68" s="246" t="str">
        <f t="shared" si="2"/>
        <v/>
      </c>
      <c r="Y68" s="285" t="s">
        <v>276</v>
      </c>
      <c r="Z68" s="318" t="s">
        <v>277</v>
      </c>
      <c r="AA68" s="273"/>
      <c r="AB68" s="274"/>
      <c r="AC68" s="275"/>
      <c r="AD68" s="276"/>
      <c r="AE68" s="658"/>
      <c r="AF68" s="246" t="str">
        <f t="shared" si="3"/>
        <v/>
      </c>
    </row>
    <row r="69" spans="1:32" s="235" customFormat="1" ht="61.5" outlineLevel="2" thickTop="1" thickBot="1">
      <c r="A69" s="278" t="s">
        <v>278</v>
      </c>
      <c r="B69" s="323" t="s">
        <v>279</v>
      </c>
      <c r="C69" s="319" t="s">
        <v>224</v>
      </c>
      <c r="D69" s="281">
        <v>1</v>
      </c>
      <c r="E69" s="324">
        <v>1748700</v>
      </c>
      <c r="F69" s="283">
        <f t="shared" si="44"/>
        <v>1748700</v>
      </c>
      <c r="G69" s="658"/>
      <c r="H69" s="246">
        <f t="shared" si="0"/>
        <v>0</v>
      </c>
      <c r="I69" s="278" t="s">
        <v>278</v>
      </c>
      <c r="J69" s="323" t="s">
        <v>279</v>
      </c>
      <c r="K69" s="319" t="s">
        <v>224</v>
      </c>
      <c r="L69" s="281">
        <v>1</v>
      </c>
      <c r="M69" s="324">
        <v>1950000</v>
      </c>
      <c r="N69" s="283">
        <f t="shared" ref="N69:N70" si="48">ROUND(L69*M69,0)</f>
        <v>1950000</v>
      </c>
      <c r="O69" s="658"/>
      <c r="P69" s="246">
        <f t="shared" si="1"/>
        <v>0</v>
      </c>
      <c r="Q69" s="278" t="s">
        <v>278</v>
      </c>
      <c r="R69" s="323" t="s">
        <v>279</v>
      </c>
      <c r="S69" s="319" t="s">
        <v>224</v>
      </c>
      <c r="T69" s="281">
        <v>1</v>
      </c>
      <c r="U69" s="324">
        <v>2070601</v>
      </c>
      <c r="V69" s="283">
        <f t="shared" ref="V69:V70" si="49">ROUND(T69*U69,0)</f>
        <v>2070601</v>
      </c>
      <c r="W69" s="658"/>
      <c r="X69" s="246">
        <f t="shared" si="2"/>
        <v>0</v>
      </c>
      <c r="Y69" s="278" t="s">
        <v>278</v>
      </c>
      <c r="Z69" s="323" t="s">
        <v>279</v>
      </c>
      <c r="AA69" s="319" t="s">
        <v>224</v>
      </c>
      <c r="AB69" s="281">
        <v>1</v>
      </c>
      <c r="AC69" s="324">
        <v>2100000</v>
      </c>
      <c r="AD69" s="283">
        <f t="shared" ref="AD69:AD70" si="50">ROUND(AB69*AC69,0)</f>
        <v>2100000</v>
      </c>
      <c r="AE69" s="658"/>
      <c r="AF69" s="246">
        <f t="shared" si="3"/>
        <v>0</v>
      </c>
    </row>
    <row r="70" spans="1:32" s="235" customFormat="1" ht="46.5" outlineLevel="2" thickTop="1" thickBot="1">
      <c r="A70" s="278" t="s">
        <v>280</v>
      </c>
      <c r="B70" s="323" t="s">
        <v>281</v>
      </c>
      <c r="C70" s="319" t="s">
        <v>224</v>
      </c>
      <c r="D70" s="281">
        <v>1</v>
      </c>
      <c r="E70" s="324">
        <v>102510</v>
      </c>
      <c r="F70" s="283">
        <f t="shared" si="44"/>
        <v>102510</v>
      </c>
      <c r="G70" s="658"/>
      <c r="H70" s="246">
        <f t="shared" si="0"/>
        <v>0</v>
      </c>
      <c r="I70" s="278" t="s">
        <v>280</v>
      </c>
      <c r="J70" s="323" t="s">
        <v>281</v>
      </c>
      <c r="K70" s="319" t="s">
        <v>224</v>
      </c>
      <c r="L70" s="281">
        <v>1</v>
      </c>
      <c r="M70" s="324">
        <v>110000</v>
      </c>
      <c r="N70" s="283">
        <f t="shared" si="48"/>
        <v>110000</v>
      </c>
      <c r="O70" s="658"/>
      <c r="P70" s="246">
        <f t="shared" si="1"/>
        <v>0</v>
      </c>
      <c r="Q70" s="278" t="s">
        <v>280</v>
      </c>
      <c r="R70" s="323" t="s">
        <v>281</v>
      </c>
      <c r="S70" s="319" t="s">
        <v>224</v>
      </c>
      <c r="T70" s="281">
        <v>1</v>
      </c>
      <c r="U70" s="324">
        <v>141197</v>
      </c>
      <c r="V70" s="283">
        <f t="shared" si="49"/>
        <v>141197</v>
      </c>
      <c r="W70" s="658"/>
      <c r="X70" s="246">
        <f t="shared" si="2"/>
        <v>0</v>
      </c>
      <c r="Y70" s="278" t="s">
        <v>280</v>
      </c>
      <c r="Z70" s="323" t="s">
        <v>281</v>
      </c>
      <c r="AA70" s="319" t="s">
        <v>224</v>
      </c>
      <c r="AB70" s="281">
        <v>1</v>
      </c>
      <c r="AC70" s="324">
        <v>143200</v>
      </c>
      <c r="AD70" s="283">
        <f t="shared" si="50"/>
        <v>143200</v>
      </c>
      <c r="AE70" s="658"/>
      <c r="AF70" s="246">
        <f t="shared" si="3"/>
        <v>0</v>
      </c>
    </row>
    <row r="71" spans="1:32" s="235" customFormat="1" ht="16.5" outlineLevel="2" thickTop="1" thickBot="1">
      <c r="A71" s="285" t="s">
        <v>282</v>
      </c>
      <c r="B71" s="318" t="s">
        <v>283</v>
      </c>
      <c r="C71" s="273"/>
      <c r="D71" s="274"/>
      <c r="E71" s="275"/>
      <c r="F71" s="276"/>
      <c r="G71" s="658"/>
      <c r="H71" s="246" t="str">
        <f t="shared" si="0"/>
        <v/>
      </c>
      <c r="I71" s="285" t="s">
        <v>282</v>
      </c>
      <c r="J71" s="318" t="s">
        <v>283</v>
      </c>
      <c r="K71" s="273"/>
      <c r="L71" s="274"/>
      <c r="M71" s="275"/>
      <c r="N71" s="276"/>
      <c r="O71" s="658"/>
      <c r="P71" s="246" t="str">
        <f t="shared" si="1"/>
        <v/>
      </c>
      <c r="Q71" s="285" t="s">
        <v>282</v>
      </c>
      <c r="R71" s="318" t="s">
        <v>283</v>
      </c>
      <c r="S71" s="273"/>
      <c r="T71" s="274"/>
      <c r="U71" s="275"/>
      <c r="V71" s="276"/>
      <c r="W71" s="658"/>
      <c r="X71" s="246" t="str">
        <f t="shared" si="2"/>
        <v/>
      </c>
      <c r="Y71" s="285" t="s">
        <v>282</v>
      </c>
      <c r="Z71" s="318" t="s">
        <v>283</v>
      </c>
      <c r="AA71" s="273"/>
      <c r="AB71" s="274"/>
      <c r="AC71" s="275"/>
      <c r="AD71" s="276"/>
      <c r="AE71" s="658"/>
      <c r="AF71" s="246" t="str">
        <f t="shared" si="3"/>
        <v/>
      </c>
    </row>
    <row r="72" spans="1:32" s="235" customFormat="1" ht="76.5" outlineLevel="2" thickTop="1" thickBot="1">
      <c r="A72" s="278" t="s">
        <v>284</v>
      </c>
      <c r="B72" s="323" t="s">
        <v>285</v>
      </c>
      <c r="C72" s="319" t="s">
        <v>100</v>
      </c>
      <c r="D72" s="281">
        <v>14</v>
      </c>
      <c r="E72" s="324">
        <v>69948</v>
      </c>
      <c r="F72" s="283">
        <f t="shared" si="44"/>
        <v>979272</v>
      </c>
      <c r="G72" s="658"/>
      <c r="H72" s="246">
        <f t="shared" ref="H72:H135" si="51">IF(AND(D72="",C72=""),"",IF(E72=0,1,0))</f>
        <v>0</v>
      </c>
      <c r="I72" s="278" t="s">
        <v>284</v>
      </c>
      <c r="J72" s="323" t="s">
        <v>285</v>
      </c>
      <c r="K72" s="319" t="s">
        <v>100</v>
      </c>
      <c r="L72" s="281">
        <v>14</v>
      </c>
      <c r="M72" s="324">
        <v>59800</v>
      </c>
      <c r="N72" s="283">
        <f t="shared" ref="N72" si="52">ROUND(L72*M72,0)</f>
        <v>837200</v>
      </c>
      <c r="O72" s="658"/>
      <c r="P72" s="246">
        <f t="shared" ref="P72:P135" si="53">IF(AND(L72="",K72=""),"",IF(M72=0,1,0))</f>
        <v>0</v>
      </c>
      <c r="Q72" s="278" t="s">
        <v>284</v>
      </c>
      <c r="R72" s="323" t="s">
        <v>285</v>
      </c>
      <c r="S72" s="319" t="s">
        <v>100</v>
      </c>
      <c r="T72" s="281">
        <v>14</v>
      </c>
      <c r="U72" s="324">
        <v>63597</v>
      </c>
      <c r="V72" s="283">
        <f t="shared" ref="V72" si="54">ROUND(T72*U72,0)</f>
        <v>890358</v>
      </c>
      <c r="W72" s="658"/>
      <c r="X72" s="246">
        <f t="shared" ref="X72:X135" si="55">IF(AND(T72="",S72=""),"",IF(U72=0,1,0))</f>
        <v>0</v>
      </c>
      <c r="Y72" s="278" t="s">
        <v>284</v>
      </c>
      <c r="Z72" s="323" t="s">
        <v>285</v>
      </c>
      <c r="AA72" s="319" t="s">
        <v>100</v>
      </c>
      <c r="AB72" s="281">
        <v>14</v>
      </c>
      <c r="AC72" s="324">
        <v>64500</v>
      </c>
      <c r="AD72" s="283">
        <f t="shared" ref="AD72" si="56">ROUND(AB72*AC72,0)</f>
        <v>903000</v>
      </c>
      <c r="AE72" s="658"/>
      <c r="AF72" s="246">
        <f t="shared" ref="AF72:AF135" si="57">IF(AND(AB72="",AA72=""),"",IF(AC72=0,1,0))</f>
        <v>0</v>
      </c>
    </row>
    <row r="73" spans="1:32" s="235" customFormat="1" ht="16.5" outlineLevel="2" thickTop="1" thickBot="1">
      <c r="A73" s="285" t="s">
        <v>286</v>
      </c>
      <c r="B73" s="318" t="s">
        <v>287</v>
      </c>
      <c r="C73" s="273"/>
      <c r="D73" s="274"/>
      <c r="E73" s="275"/>
      <c r="F73" s="276"/>
      <c r="G73" s="658"/>
      <c r="H73" s="246" t="str">
        <f t="shared" si="51"/>
        <v/>
      </c>
      <c r="I73" s="285" t="s">
        <v>286</v>
      </c>
      <c r="J73" s="318" t="s">
        <v>287</v>
      </c>
      <c r="K73" s="273"/>
      <c r="L73" s="274"/>
      <c r="M73" s="275"/>
      <c r="N73" s="276"/>
      <c r="O73" s="658"/>
      <c r="P73" s="246" t="str">
        <f t="shared" si="53"/>
        <v/>
      </c>
      <c r="Q73" s="285" t="s">
        <v>286</v>
      </c>
      <c r="R73" s="318" t="s">
        <v>287</v>
      </c>
      <c r="S73" s="273"/>
      <c r="T73" s="274"/>
      <c r="U73" s="275"/>
      <c r="V73" s="276"/>
      <c r="W73" s="658"/>
      <c r="X73" s="246" t="str">
        <f t="shared" si="55"/>
        <v/>
      </c>
      <c r="Y73" s="285" t="s">
        <v>286</v>
      </c>
      <c r="Z73" s="318" t="s">
        <v>287</v>
      </c>
      <c r="AA73" s="273"/>
      <c r="AB73" s="274"/>
      <c r="AC73" s="275"/>
      <c r="AD73" s="276"/>
      <c r="AE73" s="658"/>
      <c r="AF73" s="246" t="str">
        <f t="shared" si="57"/>
        <v/>
      </c>
    </row>
    <row r="74" spans="1:32" s="235" customFormat="1" ht="46.5" outlineLevel="2" thickTop="1" thickBot="1">
      <c r="A74" s="278" t="s">
        <v>288</v>
      </c>
      <c r="B74" s="323" t="s">
        <v>289</v>
      </c>
      <c r="C74" s="319" t="s">
        <v>100</v>
      </c>
      <c r="D74" s="281">
        <v>8</v>
      </c>
      <c r="E74" s="324">
        <v>22914</v>
      </c>
      <c r="F74" s="283">
        <f t="shared" si="44"/>
        <v>183312</v>
      </c>
      <c r="G74" s="658"/>
      <c r="H74" s="246">
        <f t="shared" si="51"/>
        <v>0</v>
      </c>
      <c r="I74" s="278" t="s">
        <v>288</v>
      </c>
      <c r="J74" s="323" t="s">
        <v>289</v>
      </c>
      <c r="K74" s="319" t="s">
        <v>100</v>
      </c>
      <c r="L74" s="281">
        <v>8</v>
      </c>
      <c r="M74" s="324">
        <v>11900</v>
      </c>
      <c r="N74" s="283">
        <f t="shared" ref="N74:N76" si="58">ROUND(L74*M74,0)</f>
        <v>95200</v>
      </c>
      <c r="O74" s="658"/>
      <c r="P74" s="246">
        <f t="shared" si="53"/>
        <v>0</v>
      </c>
      <c r="Q74" s="278" t="s">
        <v>288</v>
      </c>
      <c r="R74" s="323" t="s">
        <v>289</v>
      </c>
      <c r="S74" s="319" t="s">
        <v>100</v>
      </c>
      <c r="T74" s="281">
        <v>8</v>
      </c>
      <c r="U74" s="324">
        <v>11931</v>
      </c>
      <c r="V74" s="283">
        <f t="shared" ref="V74:V76" si="59">ROUND(T74*U74,0)</f>
        <v>95448</v>
      </c>
      <c r="W74" s="658"/>
      <c r="X74" s="246">
        <f t="shared" si="55"/>
        <v>0</v>
      </c>
      <c r="Y74" s="278" t="s">
        <v>288</v>
      </c>
      <c r="Z74" s="323" t="s">
        <v>289</v>
      </c>
      <c r="AA74" s="319" t="s">
        <v>100</v>
      </c>
      <c r="AB74" s="281">
        <v>8</v>
      </c>
      <c r="AC74" s="324">
        <v>12100</v>
      </c>
      <c r="AD74" s="283">
        <f t="shared" ref="AD74:AD76" si="60">ROUND(AB74*AC74,0)</f>
        <v>96800</v>
      </c>
      <c r="AE74" s="658"/>
      <c r="AF74" s="246">
        <f t="shared" si="57"/>
        <v>0</v>
      </c>
    </row>
    <row r="75" spans="1:32" s="235" customFormat="1" ht="61.5" customHeight="1" outlineLevel="2" thickTop="1" thickBot="1">
      <c r="A75" s="278" t="s">
        <v>290</v>
      </c>
      <c r="B75" s="323" t="s">
        <v>291</v>
      </c>
      <c r="C75" s="319" t="s">
        <v>100</v>
      </c>
      <c r="D75" s="281">
        <v>45</v>
      </c>
      <c r="E75" s="324">
        <v>26532</v>
      </c>
      <c r="F75" s="283">
        <f t="shared" si="44"/>
        <v>1193940</v>
      </c>
      <c r="G75" s="658"/>
      <c r="H75" s="246">
        <f t="shared" si="51"/>
        <v>0</v>
      </c>
      <c r="I75" s="278" t="s">
        <v>290</v>
      </c>
      <c r="J75" s="323" t="s">
        <v>291</v>
      </c>
      <c r="K75" s="319" t="s">
        <v>100</v>
      </c>
      <c r="L75" s="281">
        <v>45</v>
      </c>
      <c r="M75" s="324">
        <v>14100</v>
      </c>
      <c r="N75" s="283">
        <f t="shared" si="58"/>
        <v>634500</v>
      </c>
      <c r="O75" s="658"/>
      <c r="P75" s="246">
        <f t="shared" si="53"/>
        <v>0</v>
      </c>
      <c r="Q75" s="278" t="s">
        <v>290</v>
      </c>
      <c r="R75" s="323" t="s">
        <v>291</v>
      </c>
      <c r="S75" s="319" t="s">
        <v>100</v>
      </c>
      <c r="T75" s="281">
        <v>45</v>
      </c>
      <c r="U75" s="324">
        <v>14101</v>
      </c>
      <c r="V75" s="283">
        <f t="shared" si="59"/>
        <v>634545</v>
      </c>
      <c r="W75" s="658"/>
      <c r="X75" s="246">
        <f t="shared" si="55"/>
        <v>0</v>
      </c>
      <c r="Y75" s="278" t="s">
        <v>290</v>
      </c>
      <c r="Z75" s="323" t="s">
        <v>291</v>
      </c>
      <c r="AA75" s="319" t="s">
        <v>100</v>
      </c>
      <c r="AB75" s="281">
        <v>45</v>
      </c>
      <c r="AC75" s="324">
        <v>14300</v>
      </c>
      <c r="AD75" s="283">
        <f t="shared" si="60"/>
        <v>643500</v>
      </c>
      <c r="AE75" s="658"/>
      <c r="AF75" s="246">
        <f t="shared" si="57"/>
        <v>0</v>
      </c>
    </row>
    <row r="76" spans="1:32" s="235" customFormat="1" ht="61.5" outlineLevel="2" thickTop="1" thickBot="1">
      <c r="A76" s="278" t="s">
        <v>292</v>
      </c>
      <c r="B76" s="323" t="s">
        <v>293</v>
      </c>
      <c r="C76" s="319" t="s">
        <v>224</v>
      </c>
      <c r="D76" s="281">
        <v>1</v>
      </c>
      <c r="E76" s="324">
        <v>385920</v>
      </c>
      <c r="F76" s="283">
        <f t="shared" si="44"/>
        <v>385920</v>
      </c>
      <c r="G76" s="658"/>
      <c r="H76" s="246">
        <f t="shared" si="51"/>
        <v>0</v>
      </c>
      <c r="I76" s="278" t="s">
        <v>292</v>
      </c>
      <c r="J76" s="323" t="s">
        <v>293</v>
      </c>
      <c r="K76" s="319" t="s">
        <v>224</v>
      </c>
      <c r="L76" s="281">
        <v>1</v>
      </c>
      <c r="M76" s="324">
        <v>750000</v>
      </c>
      <c r="N76" s="283">
        <f t="shared" si="58"/>
        <v>750000</v>
      </c>
      <c r="O76" s="658"/>
      <c r="P76" s="246">
        <f t="shared" si="53"/>
        <v>0</v>
      </c>
      <c r="Q76" s="278" t="s">
        <v>292</v>
      </c>
      <c r="R76" s="323" t="s">
        <v>293</v>
      </c>
      <c r="S76" s="319" t="s">
        <v>224</v>
      </c>
      <c r="T76" s="281">
        <v>1</v>
      </c>
      <c r="U76" s="324">
        <v>752319</v>
      </c>
      <c r="V76" s="283">
        <f t="shared" si="59"/>
        <v>752319</v>
      </c>
      <c r="W76" s="658"/>
      <c r="X76" s="246">
        <f t="shared" si="55"/>
        <v>0</v>
      </c>
      <c r="Y76" s="278" t="s">
        <v>292</v>
      </c>
      <c r="Z76" s="323" t="s">
        <v>293</v>
      </c>
      <c r="AA76" s="319" t="s">
        <v>224</v>
      </c>
      <c r="AB76" s="281">
        <v>1</v>
      </c>
      <c r="AC76" s="324">
        <v>763000</v>
      </c>
      <c r="AD76" s="283">
        <f t="shared" si="60"/>
        <v>763000</v>
      </c>
      <c r="AE76" s="658"/>
      <c r="AF76" s="246">
        <f t="shared" si="57"/>
        <v>0</v>
      </c>
    </row>
    <row r="77" spans="1:32" s="235" customFormat="1" ht="16.5" outlineLevel="2" thickTop="1" thickBot="1">
      <c r="A77" s="318" t="s">
        <v>294</v>
      </c>
      <c r="B77" s="318" t="s">
        <v>295</v>
      </c>
      <c r="C77" s="318"/>
      <c r="D77" s="318"/>
      <c r="E77" s="318"/>
      <c r="F77" s="318"/>
      <c r="G77" s="658"/>
      <c r="H77" s="246" t="str">
        <f t="shared" si="51"/>
        <v/>
      </c>
      <c r="I77" s="318" t="s">
        <v>294</v>
      </c>
      <c r="J77" s="318" t="s">
        <v>295</v>
      </c>
      <c r="K77" s="318"/>
      <c r="L77" s="318"/>
      <c r="M77" s="318"/>
      <c r="N77" s="318"/>
      <c r="O77" s="658"/>
      <c r="P77" s="246" t="str">
        <f t="shared" si="53"/>
        <v/>
      </c>
      <c r="Q77" s="318" t="s">
        <v>294</v>
      </c>
      <c r="R77" s="318" t="s">
        <v>295</v>
      </c>
      <c r="S77" s="318"/>
      <c r="T77" s="318"/>
      <c r="U77" s="318"/>
      <c r="V77" s="318"/>
      <c r="W77" s="658"/>
      <c r="X77" s="246" t="str">
        <f t="shared" si="55"/>
        <v/>
      </c>
      <c r="Y77" s="318" t="s">
        <v>294</v>
      </c>
      <c r="Z77" s="318" t="s">
        <v>295</v>
      </c>
      <c r="AA77" s="318"/>
      <c r="AB77" s="318"/>
      <c r="AC77" s="318"/>
      <c r="AD77" s="318"/>
      <c r="AE77" s="658"/>
      <c r="AF77" s="246" t="str">
        <f t="shared" si="57"/>
        <v/>
      </c>
    </row>
    <row r="78" spans="1:32" s="235" customFormat="1" ht="31.5" outlineLevel="2" thickTop="1" thickBot="1">
      <c r="A78" s="278" t="s">
        <v>296</v>
      </c>
      <c r="B78" s="321" t="s">
        <v>297</v>
      </c>
      <c r="C78" s="281" t="s">
        <v>224</v>
      </c>
      <c r="D78" s="281">
        <v>18</v>
      </c>
      <c r="E78" s="324">
        <v>1490750</v>
      </c>
      <c r="F78" s="325">
        <f t="shared" si="44"/>
        <v>26833500</v>
      </c>
      <c r="G78" s="658"/>
      <c r="H78" s="246">
        <f t="shared" si="51"/>
        <v>0</v>
      </c>
      <c r="I78" s="278" t="s">
        <v>296</v>
      </c>
      <c r="J78" s="321" t="s">
        <v>297</v>
      </c>
      <c r="K78" s="281" t="s">
        <v>224</v>
      </c>
      <c r="L78" s="281">
        <v>18</v>
      </c>
      <c r="M78" s="324">
        <v>1000000</v>
      </c>
      <c r="N78" s="325">
        <f t="shared" ref="N78" si="61">ROUND(L78*M78,0)</f>
        <v>18000000</v>
      </c>
      <c r="O78" s="658"/>
      <c r="P78" s="246">
        <f t="shared" si="53"/>
        <v>0</v>
      </c>
      <c r="Q78" s="278" t="s">
        <v>296</v>
      </c>
      <c r="R78" s="321" t="s">
        <v>297</v>
      </c>
      <c r="S78" s="281" t="s">
        <v>224</v>
      </c>
      <c r="T78" s="281">
        <v>18</v>
      </c>
      <c r="U78" s="324">
        <v>936701</v>
      </c>
      <c r="V78" s="325">
        <f t="shared" ref="V78" si="62">ROUND(T78*U78,0)</f>
        <v>16860618</v>
      </c>
      <c r="W78" s="658"/>
      <c r="X78" s="246">
        <f t="shared" si="55"/>
        <v>0</v>
      </c>
      <c r="Y78" s="278" t="s">
        <v>296</v>
      </c>
      <c r="Z78" s="321" t="s">
        <v>297</v>
      </c>
      <c r="AA78" s="281" t="s">
        <v>224</v>
      </c>
      <c r="AB78" s="281">
        <v>18</v>
      </c>
      <c r="AC78" s="324">
        <v>950000</v>
      </c>
      <c r="AD78" s="325">
        <f t="shared" ref="AD78" si="63">ROUND(AB78*AC78,0)</f>
        <v>17100000</v>
      </c>
      <c r="AE78" s="658"/>
      <c r="AF78" s="246">
        <f t="shared" si="57"/>
        <v>0</v>
      </c>
    </row>
    <row r="79" spans="1:32" s="235" customFormat="1" ht="16.5" outlineLevel="2" thickTop="1" thickBot="1">
      <c r="A79" s="285" t="s">
        <v>298</v>
      </c>
      <c r="B79" s="318" t="s">
        <v>299</v>
      </c>
      <c r="C79" s="273"/>
      <c r="D79" s="274"/>
      <c r="E79" s="275"/>
      <c r="F79" s="276"/>
      <c r="G79" s="658"/>
      <c r="H79" s="246" t="str">
        <f t="shared" si="51"/>
        <v/>
      </c>
      <c r="I79" s="285" t="s">
        <v>298</v>
      </c>
      <c r="J79" s="318" t="s">
        <v>299</v>
      </c>
      <c r="K79" s="273"/>
      <c r="L79" s="274"/>
      <c r="M79" s="275"/>
      <c r="N79" s="276"/>
      <c r="O79" s="658"/>
      <c r="P79" s="246" t="str">
        <f t="shared" si="53"/>
        <v/>
      </c>
      <c r="Q79" s="285" t="s">
        <v>298</v>
      </c>
      <c r="R79" s="318" t="s">
        <v>299</v>
      </c>
      <c r="S79" s="273"/>
      <c r="T79" s="274"/>
      <c r="U79" s="275"/>
      <c r="V79" s="276"/>
      <c r="W79" s="658"/>
      <c r="X79" s="246" t="str">
        <f t="shared" si="55"/>
        <v/>
      </c>
      <c r="Y79" s="285" t="s">
        <v>298</v>
      </c>
      <c r="Z79" s="318" t="s">
        <v>299</v>
      </c>
      <c r="AA79" s="273"/>
      <c r="AB79" s="274"/>
      <c r="AC79" s="275"/>
      <c r="AD79" s="276"/>
      <c r="AE79" s="658"/>
      <c r="AF79" s="246" t="str">
        <f t="shared" si="57"/>
        <v/>
      </c>
    </row>
    <row r="80" spans="1:32" s="235" customFormat="1" ht="46.5" outlineLevel="2" thickTop="1" thickBot="1">
      <c r="A80" s="278" t="s">
        <v>300</v>
      </c>
      <c r="B80" s="321" t="s">
        <v>301</v>
      </c>
      <c r="C80" s="319" t="s">
        <v>224</v>
      </c>
      <c r="D80" s="281">
        <v>8</v>
      </c>
      <c r="E80" s="324">
        <v>615382</v>
      </c>
      <c r="F80" s="325">
        <f t="shared" si="44"/>
        <v>4923056</v>
      </c>
      <c r="G80" s="658"/>
      <c r="H80" s="246">
        <f t="shared" si="51"/>
        <v>0</v>
      </c>
      <c r="I80" s="278" t="s">
        <v>300</v>
      </c>
      <c r="J80" s="321" t="s">
        <v>301</v>
      </c>
      <c r="K80" s="319" t="s">
        <v>224</v>
      </c>
      <c r="L80" s="281">
        <v>8</v>
      </c>
      <c r="M80" s="324">
        <v>300000</v>
      </c>
      <c r="N80" s="325">
        <f t="shared" ref="N80" si="64">ROUND(L80*M80,0)</f>
        <v>2400000</v>
      </c>
      <c r="O80" s="658"/>
      <c r="P80" s="246">
        <f t="shared" si="53"/>
        <v>0</v>
      </c>
      <c r="Q80" s="278" t="s">
        <v>300</v>
      </c>
      <c r="R80" s="321" t="s">
        <v>301</v>
      </c>
      <c r="S80" s="319" t="s">
        <v>224</v>
      </c>
      <c r="T80" s="281">
        <v>8</v>
      </c>
      <c r="U80" s="324">
        <v>272629</v>
      </c>
      <c r="V80" s="325">
        <f t="shared" ref="V80" si="65">ROUND(T80*U80,0)</f>
        <v>2181032</v>
      </c>
      <c r="W80" s="658"/>
      <c r="X80" s="246">
        <f t="shared" si="55"/>
        <v>0</v>
      </c>
      <c r="Y80" s="278" t="s">
        <v>300</v>
      </c>
      <c r="Z80" s="321" t="s">
        <v>301</v>
      </c>
      <c r="AA80" s="319" t="s">
        <v>224</v>
      </c>
      <c r="AB80" s="281">
        <v>8</v>
      </c>
      <c r="AC80" s="324">
        <v>276500</v>
      </c>
      <c r="AD80" s="325">
        <f t="shared" ref="AD80" si="66">ROUND(AB80*AC80,0)</f>
        <v>2212000</v>
      </c>
      <c r="AE80" s="658"/>
      <c r="AF80" s="246">
        <f t="shared" si="57"/>
        <v>0</v>
      </c>
    </row>
    <row r="81" spans="1:32" s="235" customFormat="1" ht="16.5" outlineLevel="2" thickTop="1" thickBot="1">
      <c r="A81" s="318" t="s">
        <v>302</v>
      </c>
      <c r="B81" s="318" t="s">
        <v>303</v>
      </c>
      <c r="C81" s="318"/>
      <c r="D81" s="318"/>
      <c r="E81" s="318"/>
      <c r="F81" s="318"/>
      <c r="G81" s="658"/>
      <c r="H81" s="246" t="str">
        <f t="shared" si="51"/>
        <v/>
      </c>
      <c r="I81" s="318" t="s">
        <v>302</v>
      </c>
      <c r="J81" s="318" t="s">
        <v>303</v>
      </c>
      <c r="K81" s="318"/>
      <c r="L81" s="318"/>
      <c r="M81" s="318"/>
      <c r="N81" s="318"/>
      <c r="O81" s="658"/>
      <c r="P81" s="246" t="str">
        <f t="shared" si="53"/>
        <v/>
      </c>
      <c r="Q81" s="318" t="s">
        <v>302</v>
      </c>
      <c r="R81" s="318" t="s">
        <v>303</v>
      </c>
      <c r="S81" s="318"/>
      <c r="T81" s="318"/>
      <c r="U81" s="318"/>
      <c r="V81" s="318"/>
      <c r="W81" s="658"/>
      <c r="X81" s="246" t="str">
        <f t="shared" si="55"/>
        <v/>
      </c>
      <c r="Y81" s="318" t="s">
        <v>302</v>
      </c>
      <c r="Z81" s="318" t="s">
        <v>303</v>
      </c>
      <c r="AA81" s="318"/>
      <c r="AB81" s="318"/>
      <c r="AC81" s="318"/>
      <c r="AD81" s="318"/>
      <c r="AE81" s="658"/>
      <c r="AF81" s="246" t="str">
        <f t="shared" si="57"/>
        <v/>
      </c>
    </row>
    <row r="82" spans="1:32" s="235" customFormat="1" ht="121.5" outlineLevel="2" thickTop="1" thickBot="1">
      <c r="A82" s="278" t="s">
        <v>304</v>
      </c>
      <c r="B82" s="326" t="s">
        <v>305</v>
      </c>
      <c r="C82" s="319" t="s">
        <v>224</v>
      </c>
      <c r="D82" s="281">
        <v>1</v>
      </c>
      <c r="E82" s="327">
        <v>2170800</v>
      </c>
      <c r="F82" s="283">
        <f t="shared" si="44"/>
        <v>2170800</v>
      </c>
      <c r="G82" s="658"/>
      <c r="H82" s="246">
        <f t="shared" si="51"/>
        <v>0</v>
      </c>
      <c r="I82" s="278" t="s">
        <v>304</v>
      </c>
      <c r="J82" s="326" t="s">
        <v>305</v>
      </c>
      <c r="K82" s="319" t="s">
        <v>224</v>
      </c>
      <c r="L82" s="281">
        <v>1</v>
      </c>
      <c r="M82" s="327">
        <v>5000000</v>
      </c>
      <c r="N82" s="283">
        <f t="shared" ref="N82:N83" si="67">ROUND(L82*M82,0)</f>
        <v>5000000</v>
      </c>
      <c r="O82" s="658"/>
      <c r="P82" s="246">
        <f t="shared" si="53"/>
        <v>0</v>
      </c>
      <c r="Q82" s="278" t="s">
        <v>304</v>
      </c>
      <c r="R82" s="326" t="s">
        <v>305</v>
      </c>
      <c r="S82" s="319" t="s">
        <v>224</v>
      </c>
      <c r="T82" s="281">
        <v>1</v>
      </c>
      <c r="U82" s="327">
        <v>5225801</v>
      </c>
      <c r="V82" s="283">
        <f t="shared" ref="V82:V83" si="68">ROUND(T82*U82,0)</f>
        <v>5225801</v>
      </c>
      <c r="W82" s="658"/>
      <c r="X82" s="246">
        <f t="shared" si="55"/>
        <v>0</v>
      </c>
      <c r="Y82" s="278" t="s">
        <v>304</v>
      </c>
      <c r="Z82" s="326" t="s">
        <v>305</v>
      </c>
      <c r="AA82" s="319" t="s">
        <v>224</v>
      </c>
      <c r="AB82" s="281">
        <v>1</v>
      </c>
      <c r="AC82" s="327">
        <v>5300000</v>
      </c>
      <c r="AD82" s="283">
        <f t="shared" ref="AD82:AD83" si="69">ROUND(AB82*AC82,0)</f>
        <v>5300000</v>
      </c>
      <c r="AE82" s="658"/>
      <c r="AF82" s="246">
        <f t="shared" si="57"/>
        <v>0</v>
      </c>
    </row>
    <row r="83" spans="1:32" s="235" customFormat="1" ht="46.5" outlineLevel="2" thickTop="1" thickBot="1">
      <c r="A83" s="278" t="s">
        <v>306</v>
      </c>
      <c r="B83" s="326" t="s">
        <v>307</v>
      </c>
      <c r="C83" s="319" t="s">
        <v>100</v>
      </c>
      <c r="D83" s="281">
        <v>180</v>
      </c>
      <c r="E83" s="324">
        <v>13507</v>
      </c>
      <c r="F83" s="283">
        <f t="shared" si="44"/>
        <v>2431260</v>
      </c>
      <c r="G83" s="658"/>
      <c r="H83" s="246">
        <f t="shared" si="51"/>
        <v>0</v>
      </c>
      <c r="I83" s="278" t="s">
        <v>306</v>
      </c>
      <c r="J83" s="326" t="s">
        <v>307</v>
      </c>
      <c r="K83" s="319" t="s">
        <v>100</v>
      </c>
      <c r="L83" s="281">
        <v>180</v>
      </c>
      <c r="M83" s="324">
        <v>33000</v>
      </c>
      <c r="N83" s="283">
        <f t="shared" si="67"/>
        <v>5940000</v>
      </c>
      <c r="O83" s="658"/>
      <c r="P83" s="246">
        <f t="shared" si="53"/>
        <v>0</v>
      </c>
      <c r="Q83" s="278" t="s">
        <v>306</v>
      </c>
      <c r="R83" s="326" t="s">
        <v>307</v>
      </c>
      <c r="S83" s="319" t="s">
        <v>100</v>
      </c>
      <c r="T83" s="281">
        <v>180</v>
      </c>
      <c r="U83" s="324">
        <v>31651</v>
      </c>
      <c r="V83" s="283">
        <f t="shared" si="68"/>
        <v>5697180</v>
      </c>
      <c r="W83" s="658"/>
      <c r="X83" s="246">
        <f t="shared" si="55"/>
        <v>0</v>
      </c>
      <c r="Y83" s="278" t="s">
        <v>306</v>
      </c>
      <c r="Z83" s="326" t="s">
        <v>307</v>
      </c>
      <c r="AA83" s="319" t="s">
        <v>100</v>
      </c>
      <c r="AB83" s="281">
        <v>180</v>
      </c>
      <c r="AC83" s="324">
        <v>32100</v>
      </c>
      <c r="AD83" s="283">
        <f t="shared" si="69"/>
        <v>5778000</v>
      </c>
      <c r="AE83" s="658"/>
      <c r="AF83" s="246">
        <f t="shared" si="57"/>
        <v>0</v>
      </c>
    </row>
    <row r="84" spans="1:32" s="235" customFormat="1" ht="16.5" outlineLevel="2" thickTop="1" thickBot="1">
      <c r="A84" s="285" t="s">
        <v>308</v>
      </c>
      <c r="B84" s="318" t="s">
        <v>309</v>
      </c>
      <c r="C84" s="273"/>
      <c r="D84" s="328"/>
      <c r="E84" s="275"/>
      <c r="F84" s="276"/>
      <c r="G84" s="658"/>
      <c r="H84" s="246" t="str">
        <f t="shared" si="51"/>
        <v/>
      </c>
      <c r="I84" s="285" t="s">
        <v>308</v>
      </c>
      <c r="J84" s="318" t="s">
        <v>309</v>
      </c>
      <c r="K84" s="273"/>
      <c r="L84" s="328"/>
      <c r="M84" s="275"/>
      <c r="N84" s="276"/>
      <c r="O84" s="658"/>
      <c r="P84" s="246" t="str">
        <f t="shared" si="53"/>
        <v/>
      </c>
      <c r="Q84" s="285" t="s">
        <v>308</v>
      </c>
      <c r="R84" s="318" t="s">
        <v>309</v>
      </c>
      <c r="S84" s="273"/>
      <c r="T84" s="328"/>
      <c r="U84" s="275"/>
      <c r="V84" s="276"/>
      <c r="W84" s="658"/>
      <c r="X84" s="246" t="str">
        <f t="shared" si="55"/>
        <v/>
      </c>
      <c r="Y84" s="285" t="s">
        <v>308</v>
      </c>
      <c r="Z84" s="318" t="s">
        <v>309</v>
      </c>
      <c r="AA84" s="273"/>
      <c r="AB84" s="328"/>
      <c r="AC84" s="275"/>
      <c r="AD84" s="276"/>
      <c r="AE84" s="658"/>
      <c r="AF84" s="246" t="str">
        <f t="shared" si="57"/>
        <v/>
      </c>
    </row>
    <row r="85" spans="1:32" s="235" customFormat="1" ht="91.5" outlineLevel="2" thickTop="1" thickBot="1">
      <c r="A85" s="278" t="s">
        <v>310</v>
      </c>
      <c r="B85" s="321" t="s">
        <v>311</v>
      </c>
      <c r="C85" s="301" t="s">
        <v>94</v>
      </c>
      <c r="D85" s="281">
        <v>80</v>
      </c>
      <c r="E85" s="322">
        <v>151799</v>
      </c>
      <c r="F85" s="319">
        <f t="shared" si="44"/>
        <v>12143920</v>
      </c>
      <c r="G85" s="658"/>
      <c r="H85" s="246">
        <f t="shared" si="51"/>
        <v>0</v>
      </c>
      <c r="I85" s="278" t="s">
        <v>310</v>
      </c>
      <c r="J85" s="321" t="s">
        <v>311</v>
      </c>
      <c r="K85" s="301" t="s">
        <v>94</v>
      </c>
      <c r="L85" s="281">
        <v>80</v>
      </c>
      <c r="M85" s="322">
        <v>105000</v>
      </c>
      <c r="N85" s="319">
        <f t="shared" ref="N85:N86" si="70">ROUND(L85*M85,0)</f>
        <v>8400000</v>
      </c>
      <c r="O85" s="658"/>
      <c r="P85" s="246">
        <f t="shared" si="53"/>
        <v>0</v>
      </c>
      <c r="Q85" s="278" t="s">
        <v>310</v>
      </c>
      <c r="R85" s="321" t="s">
        <v>311</v>
      </c>
      <c r="S85" s="301" t="s">
        <v>94</v>
      </c>
      <c r="T85" s="281">
        <v>80</v>
      </c>
      <c r="U85" s="322">
        <v>108461</v>
      </c>
      <c r="V85" s="319">
        <f t="shared" ref="V85:V86" si="71">ROUND(T85*U85,0)</f>
        <v>8676880</v>
      </c>
      <c r="W85" s="658"/>
      <c r="X85" s="246">
        <f t="shared" si="55"/>
        <v>0</v>
      </c>
      <c r="Y85" s="278" t="s">
        <v>310</v>
      </c>
      <c r="Z85" s="321" t="s">
        <v>311</v>
      </c>
      <c r="AA85" s="301" t="s">
        <v>94</v>
      </c>
      <c r="AB85" s="281">
        <v>80</v>
      </c>
      <c r="AC85" s="322">
        <v>110000</v>
      </c>
      <c r="AD85" s="319">
        <f t="shared" ref="AD85:AD86" si="72">ROUND(AB85*AC85,0)</f>
        <v>8800000</v>
      </c>
      <c r="AE85" s="658"/>
      <c r="AF85" s="246">
        <f t="shared" si="57"/>
        <v>0</v>
      </c>
    </row>
    <row r="86" spans="1:32" s="235" customFormat="1" ht="61.5" outlineLevel="2" thickTop="1" thickBot="1">
      <c r="A86" s="278" t="s">
        <v>312</v>
      </c>
      <c r="B86" s="321" t="s">
        <v>313</v>
      </c>
      <c r="C86" s="319" t="s">
        <v>314</v>
      </c>
      <c r="D86" s="313">
        <v>180</v>
      </c>
      <c r="E86" s="282">
        <v>18211</v>
      </c>
      <c r="F86" s="319">
        <f t="shared" si="44"/>
        <v>3277980</v>
      </c>
      <c r="G86" s="658"/>
      <c r="H86" s="246">
        <f t="shared" si="51"/>
        <v>0</v>
      </c>
      <c r="I86" s="278" t="s">
        <v>312</v>
      </c>
      <c r="J86" s="321" t="s">
        <v>313</v>
      </c>
      <c r="K86" s="319" t="s">
        <v>314</v>
      </c>
      <c r="L86" s="313">
        <v>180</v>
      </c>
      <c r="M86" s="282">
        <v>14300</v>
      </c>
      <c r="N86" s="319">
        <f t="shared" si="70"/>
        <v>2574000</v>
      </c>
      <c r="O86" s="658"/>
      <c r="P86" s="246">
        <f t="shared" si="53"/>
        <v>0</v>
      </c>
      <c r="Q86" s="278" t="s">
        <v>312</v>
      </c>
      <c r="R86" s="321" t="s">
        <v>313</v>
      </c>
      <c r="S86" s="319" t="s">
        <v>314</v>
      </c>
      <c r="T86" s="313">
        <v>180</v>
      </c>
      <c r="U86" s="282">
        <v>15383</v>
      </c>
      <c r="V86" s="319">
        <f t="shared" si="71"/>
        <v>2768940</v>
      </c>
      <c r="W86" s="658"/>
      <c r="X86" s="246">
        <f t="shared" si="55"/>
        <v>0</v>
      </c>
      <c r="Y86" s="278" t="s">
        <v>312</v>
      </c>
      <c r="Z86" s="321" t="s">
        <v>313</v>
      </c>
      <c r="AA86" s="319" t="s">
        <v>314</v>
      </c>
      <c r="AB86" s="313">
        <v>180</v>
      </c>
      <c r="AC86" s="282">
        <v>15600</v>
      </c>
      <c r="AD86" s="319">
        <f t="shared" si="72"/>
        <v>2808000</v>
      </c>
      <c r="AE86" s="658"/>
      <c r="AF86" s="246">
        <f t="shared" si="57"/>
        <v>0</v>
      </c>
    </row>
    <row r="87" spans="1:32" s="235" customFormat="1" ht="16.5" outlineLevel="2" thickTop="1" thickBot="1">
      <c r="A87" s="285" t="s">
        <v>315</v>
      </c>
      <c r="B87" s="318" t="s">
        <v>316</v>
      </c>
      <c r="C87" s="273"/>
      <c r="D87" s="274"/>
      <c r="E87" s="275"/>
      <c r="F87" s="276"/>
      <c r="G87" s="658"/>
      <c r="H87" s="246" t="str">
        <f t="shared" si="51"/>
        <v/>
      </c>
      <c r="I87" s="285" t="s">
        <v>315</v>
      </c>
      <c r="J87" s="318" t="s">
        <v>316</v>
      </c>
      <c r="K87" s="273"/>
      <c r="L87" s="274"/>
      <c r="M87" s="275"/>
      <c r="N87" s="276"/>
      <c r="O87" s="658"/>
      <c r="P87" s="246" t="str">
        <f t="shared" si="53"/>
        <v/>
      </c>
      <c r="Q87" s="285" t="s">
        <v>315</v>
      </c>
      <c r="R87" s="318" t="s">
        <v>316</v>
      </c>
      <c r="S87" s="273"/>
      <c r="T87" s="274"/>
      <c r="U87" s="275"/>
      <c r="V87" s="276"/>
      <c r="W87" s="658"/>
      <c r="X87" s="246" t="str">
        <f t="shared" si="55"/>
        <v/>
      </c>
      <c r="Y87" s="285" t="s">
        <v>315</v>
      </c>
      <c r="Z87" s="318" t="s">
        <v>316</v>
      </c>
      <c r="AA87" s="273"/>
      <c r="AB87" s="274"/>
      <c r="AC87" s="275"/>
      <c r="AD87" s="276"/>
      <c r="AE87" s="658"/>
      <c r="AF87" s="246" t="str">
        <f t="shared" si="57"/>
        <v/>
      </c>
    </row>
    <row r="88" spans="1:32" s="235" customFormat="1" ht="16.5" outlineLevel="2" thickTop="1" thickBot="1">
      <c r="A88" s="278" t="s">
        <v>317</v>
      </c>
      <c r="B88" s="329" t="s">
        <v>318</v>
      </c>
      <c r="C88" s="284" t="s">
        <v>319</v>
      </c>
      <c r="D88" s="281">
        <v>1</v>
      </c>
      <c r="E88" s="315">
        <v>434160</v>
      </c>
      <c r="F88" s="319">
        <f t="shared" si="44"/>
        <v>434160</v>
      </c>
      <c r="G88" s="658"/>
      <c r="H88" s="246">
        <f t="shared" si="51"/>
        <v>0</v>
      </c>
      <c r="I88" s="278" t="s">
        <v>317</v>
      </c>
      <c r="J88" s="329" t="s">
        <v>318</v>
      </c>
      <c r="K88" s="284" t="s">
        <v>319</v>
      </c>
      <c r="L88" s="281">
        <v>1</v>
      </c>
      <c r="M88" s="315">
        <v>1500000</v>
      </c>
      <c r="N88" s="319">
        <f t="shared" ref="N88" si="73">ROUND(L88*M88,0)</f>
        <v>1500000</v>
      </c>
      <c r="O88" s="658"/>
      <c r="P88" s="246">
        <f t="shared" si="53"/>
        <v>0</v>
      </c>
      <c r="Q88" s="278" t="s">
        <v>317</v>
      </c>
      <c r="R88" s="329" t="s">
        <v>318</v>
      </c>
      <c r="S88" s="284" t="s">
        <v>319</v>
      </c>
      <c r="T88" s="281">
        <v>1</v>
      </c>
      <c r="U88" s="315">
        <v>986001</v>
      </c>
      <c r="V88" s="319">
        <f t="shared" ref="V88" si="74">ROUND(T88*U88,0)</f>
        <v>986001</v>
      </c>
      <c r="W88" s="658"/>
      <c r="X88" s="246">
        <f t="shared" si="55"/>
        <v>0</v>
      </c>
      <c r="Y88" s="278" t="s">
        <v>317</v>
      </c>
      <c r="Z88" s="329" t="s">
        <v>318</v>
      </c>
      <c r="AA88" s="284" t="s">
        <v>319</v>
      </c>
      <c r="AB88" s="281">
        <v>1</v>
      </c>
      <c r="AC88" s="315">
        <v>1000000</v>
      </c>
      <c r="AD88" s="319">
        <f t="shared" ref="AD88" si="75">ROUND(AB88*AC88,0)</f>
        <v>1000000</v>
      </c>
      <c r="AE88" s="658"/>
      <c r="AF88" s="246">
        <f t="shared" si="57"/>
        <v>0</v>
      </c>
    </row>
    <row r="89" spans="1:32" s="235" customFormat="1" ht="16.5" outlineLevel="2" thickTop="1" thickBot="1">
      <c r="A89" s="285" t="s">
        <v>320</v>
      </c>
      <c r="B89" s="318" t="s">
        <v>321</v>
      </c>
      <c r="C89" s="273"/>
      <c r="D89" s="274"/>
      <c r="E89" s="275"/>
      <c r="F89" s="276"/>
      <c r="G89" s="658"/>
      <c r="H89" s="246" t="str">
        <f t="shared" si="51"/>
        <v/>
      </c>
      <c r="I89" s="285" t="s">
        <v>320</v>
      </c>
      <c r="J89" s="318" t="s">
        <v>321</v>
      </c>
      <c r="K89" s="273"/>
      <c r="L89" s="274"/>
      <c r="M89" s="275"/>
      <c r="N89" s="276"/>
      <c r="O89" s="658"/>
      <c r="P89" s="246" t="str">
        <f t="shared" si="53"/>
        <v/>
      </c>
      <c r="Q89" s="285" t="s">
        <v>320</v>
      </c>
      <c r="R89" s="318" t="s">
        <v>321</v>
      </c>
      <c r="S89" s="273"/>
      <c r="T89" s="274"/>
      <c r="U89" s="275"/>
      <c r="V89" s="276"/>
      <c r="W89" s="658"/>
      <c r="X89" s="246" t="str">
        <f t="shared" si="55"/>
        <v/>
      </c>
      <c r="Y89" s="285" t="s">
        <v>320</v>
      </c>
      <c r="Z89" s="318" t="s">
        <v>321</v>
      </c>
      <c r="AA89" s="273"/>
      <c r="AB89" s="274"/>
      <c r="AC89" s="275"/>
      <c r="AD89" s="276"/>
      <c r="AE89" s="658"/>
      <c r="AF89" s="246" t="str">
        <f t="shared" si="57"/>
        <v/>
      </c>
    </row>
    <row r="90" spans="1:32" s="235" customFormat="1" ht="16.5" outlineLevel="2" thickTop="1" thickBot="1">
      <c r="A90" s="278" t="s">
        <v>322</v>
      </c>
      <c r="B90" s="321" t="s">
        <v>323</v>
      </c>
      <c r="C90" s="301" t="s">
        <v>224</v>
      </c>
      <c r="D90" s="281">
        <v>1</v>
      </c>
      <c r="E90" s="322">
        <v>1447200</v>
      </c>
      <c r="F90" s="319">
        <f t="shared" si="44"/>
        <v>1447200</v>
      </c>
      <c r="G90" s="658"/>
      <c r="H90" s="246">
        <f t="shared" si="51"/>
        <v>0</v>
      </c>
      <c r="I90" s="278" t="s">
        <v>322</v>
      </c>
      <c r="J90" s="321" t="s">
        <v>323</v>
      </c>
      <c r="K90" s="301" t="s">
        <v>224</v>
      </c>
      <c r="L90" s="281">
        <v>1</v>
      </c>
      <c r="M90" s="322">
        <v>14200000</v>
      </c>
      <c r="N90" s="319">
        <f t="shared" ref="N90:N95" si="76">ROUND(L90*M90,0)</f>
        <v>14200000</v>
      </c>
      <c r="O90" s="658"/>
      <c r="P90" s="246">
        <f t="shared" si="53"/>
        <v>0</v>
      </c>
      <c r="Q90" s="278" t="s">
        <v>322</v>
      </c>
      <c r="R90" s="321" t="s">
        <v>323</v>
      </c>
      <c r="S90" s="301" t="s">
        <v>224</v>
      </c>
      <c r="T90" s="281">
        <v>1</v>
      </c>
      <c r="U90" s="322">
        <v>14099801</v>
      </c>
      <c r="V90" s="319">
        <f t="shared" ref="V90:V95" si="77">ROUND(T90*U90,0)</f>
        <v>14099801</v>
      </c>
      <c r="W90" s="658"/>
      <c r="X90" s="246">
        <f t="shared" si="55"/>
        <v>0</v>
      </c>
      <c r="Y90" s="278" t="s">
        <v>322</v>
      </c>
      <c r="Z90" s="321" t="s">
        <v>323</v>
      </c>
      <c r="AA90" s="301" t="s">
        <v>224</v>
      </c>
      <c r="AB90" s="281">
        <v>1</v>
      </c>
      <c r="AC90" s="322">
        <v>14300000</v>
      </c>
      <c r="AD90" s="319">
        <f t="shared" ref="AD90:AD95" si="78">ROUND(AB90*AC90,0)</f>
        <v>14300000</v>
      </c>
      <c r="AE90" s="658"/>
      <c r="AF90" s="246">
        <f t="shared" si="57"/>
        <v>0</v>
      </c>
    </row>
    <row r="91" spans="1:32" s="235" customFormat="1" ht="16.5" outlineLevel="2" thickTop="1" thickBot="1">
      <c r="A91" s="278" t="s">
        <v>324</v>
      </c>
      <c r="B91" s="329" t="s">
        <v>325</v>
      </c>
      <c r="C91" s="301" t="s">
        <v>224</v>
      </c>
      <c r="D91" s="281">
        <v>1</v>
      </c>
      <c r="E91" s="322">
        <v>1447200</v>
      </c>
      <c r="F91" s="319">
        <f t="shared" si="44"/>
        <v>1447200</v>
      </c>
      <c r="G91" s="658"/>
      <c r="H91" s="246">
        <f t="shared" si="51"/>
        <v>0</v>
      </c>
      <c r="I91" s="278" t="s">
        <v>324</v>
      </c>
      <c r="J91" s="329" t="s">
        <v>325</v>
      </c>
      <c r="K91" s="301" t="s">
        <v>224</v>
      </c>
      <c r="L91" s="281">
        <v>1</v>
      </c>
      <c r="M91" s="322">
        <v>39000000</v>
      </c>
      <c r="N91" s="319">
        <f t="shared" si="76"/>
        <v>39000000</v>
      </c>
      <c r="O91" s="658"/>
      <c r="P91" s="246">
        <f t="shared" si="53"/>
        <v>0</v>
      </c>
      <c r="Q91" s="278" t="s">
        <v>324</v>
      </c>
      <c r="R91" s="329" t="s">
        <v>325</v>
      </c>
      <c r="S91" s="301" t="s">
        <v>224</v>
      </c>
      <c r="T91" s="281">
        <v>1</v>
      </c>
      <c r="U91" s="322">
        <v>38256801</v>
      </c>
      <c r="V91" s="319">
        <f t="shared" si="77"/>
        <v>38256801</v>
      </c>
      <c r="W91" s="658"/>
      <c r="X91" s="246">
        <f t="shared" si="55"/>
        <v>0</v>
      </c>
      <c r="Y91" s="278" t="s">
        <v>324</v>
      </c>
      <c r="Z91" s="329" t="s">
        <v>325</v>
      </c>
      <c r="AA91" s="301" t="s">
        <v>224</v>
      </c>
      <c r="AB91" s="281">
        <v>1</v>
      </c>
      <c r="AC91" s="322">
        <v>38800000</v>
      </c>
      <c r="AD91" s="319">
        <f t="shared" si="78"/>
        <v>38800000</v>
      </c>
      <c r="AE91" s="658"/>
      <c r="AF91" s="246">
        <f t="shared" si="57"/>
        <v>0</v>
      </c>
    </row>
    <row r="92" spans="1:32" s="235" customFormat="1" ht="16.5" outlineLevel="2" thickTop="1" thickBot="1">
      <c r="A92" s="278" t="s">
        <v>326</v>
      </c>
      <c r="B92" s="321" t="s">
        <v>327</v>
      </c>
      <c r="C92" s="301" t="s">
        <v>224</v>
      </c>
      <c r="D92" s="281">
        <v>2</v>
      </c>
      <c r="E92" s="322">
        <v>1447200</v>
      </c>
      <c r="F92" s="319">
        <f t="shared" si="44"/>
        <v>2894400</v>
      </c>
      <c r="G92" s="658"/>
      <c r="H92" s="246">
        <f t="shared" si="51"/>
        <v>0</v>
      </c>
      <c r="I92" s="278" t="s">
        <v>326</v>
      </c>
      <c r="J92" s="321" t="s">
        <v>327</v>
      </c>
      <c r="K92" s="301" t="s">
        <v>224</v>
      </c>
      <c r="L92" s="281">
        <v>2</v>
      </c>
      <c r="M92" s="322">
        <v>39100000</v>
      </c>
      <c r="N92" s="319">
        <f t="shared" si="76"/>
        <v>78200000</v>
      </c>
      <c r="O92" s="658"/>
      <c r="P92" s="246">
        <f t="shared" si="53"/>
        <v>0</v>
      </c>
      <c r="Q92" s="278" t="s">
        <v>326</v>
      </c>
      <c r="R92" s="321" t="s">
        <v>327</v>
      </c>
      <c r="S92" s="301" t="s">
        <v>224</v>
      </c>
      <c r="T92" s="281">
        <v>2</v>
      </c>
      <c r="U92" s="322">
        <v>38651201</v>
      </c>
      <c r="V92" s="319">
        <f t="shared" si="77"/>
        <v>77302402</v>
      </c>
      <c r="W92" s="658"/>
      <c r="X92" s="246">
        <f t="shared" si="55"/>
        <v>0</v>
      </c>
      <c r="Y92" s="278" t="s">
        <v>326</v>
      </c>
      <c r="Z92" s="321" t="s">
        <v>327</v>
      </c>
      <c r="AA92" s="301" t="s">
        <v>224</v>
      </c>
      <c r="AB92" s="281">
        <v>2</v>
      </c>
      <c r="AC92" s="322">
        <v>39200000</v>
      </c>
      <c r="AD92" s="319">
        <f t="shared" si="78"/>
        <v>78400000</v>
      </c>
      <c r="AE92" s="658"/>
      <c r="AF92" s="246">
        <f t="shared" si="57"/>
        <v>0</v>
      </c>
    </row>
    <row r="93" spans="1:32" s="235" customFormat="1" ht="16.5" outlineLevel="2" thickTop="1" thickBot="1">
      <c r="A93" s="278" t="s">
        <v>328</v>
      </c>
      <c r="B93" s="329" t="s">
        <v>329</v>
      </c>
      <c r="C93" s="319" t="s">
        <v>224</v>
      </c>
      <c r="D93" s="281">
        <v>1</v>
      </c>
      <c r="E93" s="322">
        <v>1447200</v>
      </c>
      <c r="F93" s="319">
        <f t="shared" si="44"/>
        <v>1447200</v>
      </c>
      <c r="G93" s="658"/>
      <c r="H93" s="246">
        <f t="shared" si="51"/>
        <v>0</v>
      </c>
      <c r="I93" s="278" t="s">
        <v>328</v>
      </c>
      <c r="J93" s="329" t="s">
        <v>329</v>
      </c>
      <c r="K93" s="319" t="s">
        <v>224</v>
      </c>
      <c r="L93" s="281">
        <v>1</v>
      </c>
      <c r="M93" s="322">
        <v>6000000</v>
      </c>
      <c r="N93" s="319">
        <f t="shared" si="76"/>
        <v>6000000</v>
      </c>
      <c r="O93" s="658"/>
      <c r="P93" s="246">
        <f t="shared" si="53"/>
        <v>0</v>
      </c>
      <c r="Q93" s="278" t="s">
        <v>328</v>
      </c>
      <c r="R93" s="329" t="s">
        <v>329</v>
      </c>
      <c r="S93" s="319" t="s">
        <v>224</v>
      </c>
      <c r="T93" s="281">
        <v>1</v>
      </c>
      <c r="U93" s="322">
        <v>6034321</v>
      </c>
      <c r="V93" s="319">
        <f t="shared" si="77"/>
        <v>6034321</v>
      </c>
      <c r="W93" s="658"/>
      <c r="X93" s="246">
        <f t="shared" si="55"/>
        <v>0</v>
      </c>
      <c r="Y93" s="278" t="s">
        <v>328</v>
      </c>
      <c r="Z93" s="329" t="s">
        <v>329</v>
      </c>
      <c r="AA93" s="319" t="s">
        <v>224</v>
      </c>
      <c r="AB93" s="281">
        <v>1</v>
      </c>
      <c r="AC93" s="322">
        <v>6120000</v>
      </c>
      <c r="AD93" s="319">
        <f t="shared" si="78"/>
        <v>6120000</v>
      </c>
      <c r="AE93" s="658"/>
      <c r="AF93" s="246">
        <f t="shared" si="57"/>
        <v>0</v>
      </c>
    </row>
    <row r="94" spans="1:32" s="235" customFormat="1" ht="16.5" outlineLevel="2" thickTop="1" thickBot="1">
      <c r="A94" s="278" t="s">
        <v>330</v>
      </c>
      <c r="B94" s="329" t="s">
        <v>331</v>
      </c>
      <c r="C94" s="319" t="s">
        <v>224</v>
      </c>
      <c r="D94" s="281">
        <v>2</v>
      </c>
      <c r="E94" s="322">
        <v>1447200</v>
      </c>
      <c r="F94" s="319">
        <f t="shared" si="44"/>
        <v>2894400</v>
      </c>
      <c r="G94" s="658"/>
      <c r="H94" s="246">
        <f t="shared" si="51"/>
        <v>0</v>
      </c>
      <c r="I94" s="278" t="s">
        <v>330</v>
      </c>
      <c r="J94" s="329" t="s">
        <v>331</v>
      </c>
      <c r="K94" s="319" t="s">
        <v>224</v>
      </c>
      <c r="L94" s="281">
        <v>2</v>
      </c>
      <c r="M94" s="322">
        <v>23000000</v>
      </c>
      <c r="N94" s="319">
        <f t="shared" si="76"/>
        <v>46000000</v>
      </c>
      <c r="O94" s="658"/>
      <c r="P94" s="246">
        <f t="shared" si="53"/>
        <v>0</v>
      </c>
      <c r="Q94" s="278" t="s">
        <v>330</v>
      </c>
      <c r="R94" s="329" t="s">
        <v>331</v>
      </c>
      <c r="S94" s="319" t="s">
        <v>224</v>
      </c>
      <c r="T94" s="281">
        <v>2</v>
      </c>
      <c r="U94" s="322">
        <v>22875201</v>
      </c>
      <c r="V94" s="319">
        <f t="shared" si="77"/>
        <v>45750402</v>
      </c>
      <c r="W94" s="658"/>
      <c r="X94" s="246">
        <f t="shared" si="55"/>
        <v>0</v>
      </c>
      <c r="Y94" s="278" t="s">
        <v>330</v>
      </c>
      <c r="Z94" s="329" t="s">
        <v>331</v>
      </c>
      <c r="AA94" s="319" t="s">
        <v>224</v>
      </c>
      <c r="AB94" s="281">
        <v>2</v>
      </c>
      <c r="AC94" s="322">
        <v>23200000</v>
      </c>
      <c r="AD94" s="319">
        <f t="shared" si="78"/>
        <v>46400000</v>
      </c>
      <c r="AE94" s="658"/>
      <c r="AF94" s="246">
        <f t="shared" si="57"/>
        <v>0</v>
      </c>
    </row>
    <row r="95" spans="1:32" s="235" customFormat="1" ht="16.5" outlineLevel="2" thickTop="1" thickBot="1">
      <c r="A95" s="278" t="s">
        <v>332</v>
      </c>
      <c r="B95" s="321" t="s">
        <v>333</v>
      </c>
      <c r="C95" s="319" t="s">
        <v>224</v>
      </c>
      <c r="D95" s="281">
        <v>1</v>
      </c>
      <c r="E95" s="322">
        <v>1447200</v>
      </c>
      <c r="F95" s="319">
        <f t="shared" si="44"/>
        <v>1447200</v>
      </c>
      <c r="G95" s="659"/>
      <c r="H95" s="246">
        <f t="shared" si="51"/>
        <v>0</v>
      </c>
      <c r="I95" s="278" t="s">
        <v>332</v>
      </c>
      <c r="J95" s="321" t="s">
        <v>333</v>
      </c>
      <c r="K95" s="319" t="s">
        <v>224</v>
      </c>
      <c r="L95" s="281">
        <v>1</v>
      </c>
      <c r="M95" s="322">
        <v>6500000</v>
      </c>
      <c r="N95" s="319">
        <f t="shared" si="76"/>
        <v>6500000</v>
      </c>
      <c r="O95" s="659"/>
      <c r="P95" s="246">
        <f t="shared" si="53"/>
        <v>0</v>
      </c>
      <c r="Q95" s="278" t="s">
        <v>332</v>
      </c>
      <c r="R95" s="321" t="s">
        <v>333</v>
      </c>
      <c r="S95" s="319" t="s">
        <v>224</v>
      </c>
      <c r="T95" s="281">
        <v>1</v>
      </c>
      <c r="U95" s="322">
        <v>6468161</v>
      </c>
      <c r="V95" s="319">
        <f t="shared" si="77"/>
        <v>6468161</v>
      </c>
      <c r="W95" s="659"/>
      <c r="X95" s="246">
        <f t="shared" si="55"/>
        <v>0</v>
      </c>
      <c r="Y95" s="278" t="s">
        <v>332</v>
      </c>
      <c r="Z95" s="321" t="s">
        <v>333</v>
      </c>
      <c r="AA95" s="319" t="s">
        <v>224</v>
      </c>
      <c r="AB95" s="281">
        <v>1</v>
      </c>
      <c r="AC95" s="322">
        <v>6560000</v>
      </c>
      <c r="AD95" s="319">
        <f t="shared" si="78"/>
        <v>6560000</v>
      </c>
      <c r="AE95" s="659"/>
      <c r="AF95" s="246">
        <f t="shared" si="57"/>
        <v>0</v>
      </c>
    </row>
    <row r="96" spans="1:32" s="235" customFormat="1" ht="17.25" outlineLevel="2" thickTop="1" thickBot="1">
      <c r="A96" s="264" t="s">
        <v>334</v>
      </c>
      <c r="B96" s="330" t="s">
        <v>335</v>
      </c>
      <c r="C96" s="266"/>
      <c r="D96" s="267"/>
      <c r="E96" s="268"/>
      <c r="F96" s="269"/>
      <c r="G96" s="270">
        <f>SUM(F98:F147)</f>
        <v>262952445</v>
      </c>
      <c r="H96" s="246" t="str">
        <f t="shared" si="51"/>
        <v/>
      </c>
      <c r="I96" s="264" t="s">
        <v>334</v>
      </c>
      <c r="J96" s="330" t="s">
        <v>335</v>
      </c>
      <c r="K96" s="266"/>
      <c r="L96" s="267"/>
      <c r="M96" s="268"/>
      <c r="N96" s="269"/>
      <c r="O96" s="270">
        <f>SUM(N98:N147)</f>
        <v>287412588</v>
      </c>
      <c r="P96" s="246" t="str">
        <f t="shared" si="53"/>
        <v/>
      </c>
      <c r="Q96" s="264" t="s">
        <v>334</v>
      </c>
      <c r="R96" s="330" t="s">
        <v>335</v>
      </c>
      <c r="S96" s="266"/>
      <c r="T96" s="267"/>
      <c r="U96" s="268"/>
      <c r="V96" s="269"/>
      <c r="W96" s="270">
        <f>SUM(V98:V147)</f>
        <v>282695653</v>
      </c>
      <c r="X96" s="246" t="str">
        <f t="shared" si="55"/>
        <v/>
      </c>
      <c r="Y96" s="264" t="s">
        <v>334</v>
      </c>
      <c r="Z96" s="330" t="s">
        <v>335</v>
      </c>
      <c r="AA96" s="266"/>
      <c r="AB96" s="267"/>
      <c r="AC96" s="268"/>
      <c r="AD96" s="269"/>
      <c r="AE96" s="270">
        <f>SUM(AD98:AD147)</f>
        <v>286707374</v>
      </c>
      <c r="AF96" s="246" t="str">
        <f t="shared" si="57"/>
        <v/>
      </c>
    </row>
    <row r="97" spans="1:32" s="235" customFormat="1" ht="16.5" outlineLevel="2" thickTop="1" thickBot="1">
      <c r="A97" s="285" t="s">
        <v>336</v>
      </c>
      <c r="B97" s="331" t="s">
        <v>337</v>
      </c>
      <c r="C97" s="273"/>
      <c r="D97" s="274"/>
      <c r="E97" s="275"/>
      <c r="F97" s="276"/>
      <c r="G97" s="657">
        <v>0</v>
      </c>
      <c r="H97" s="246" t="str">
        <f t="shared" si="51"/>
        <v/>
      </c>
      <c r="I97" s="285" t="s">
        <v>336</v>
      </c>
      <c r="J97" s="331" t="s">
        <v>337</v>
      </c>
      <c r="K97" s="273"/>
      <c r="L97" s="274"/>
      <c r="M97" s="275"/>
      <c r="N97" s="276"/>
      <c r="O97" s="657">
        <v>0</v>
      </c>
      <c r="P97" s="246" t="str">
        <f t="shared" si="53"/>
        <v/>
      </c>
      <c r="Q97" s="285" t="s">
        <v>336</v>
      </c>
      <c r="R97" s="331" t="s">
        <v>337</v>
      </c>
      <c r="S97" s="273"/>
      <c r="T97" s="274"/>
      <c r="U97" s="275"/>
      <c r="V97" s="276"/>
      <c r="W97" s="657">
        <v>0</v>
      </c>
      <c r="X97" s="246" t="str">
        <f t="shared" si="55"/>
        <v/>
      </c>
      <c r="Y97" s="285" t="s">
        <v>336</v>
      </c>
      <c r="Z97" s="331" t="s">
        <v>337</v>
      </c>
      <c r="AA97" s="273"/>
      <c r="AB97" s="274"/>
      <c r="AC97" s="275"/>
      <c r="AD97" s="276"/>
      <c r="AE97" s="657">
        <v>0</v>
      </c>
      <c r="AF97" s="246" t="str">
        <f t="shared" si="57"/>
        <v/>
      </c>
    </row>
    <row r="98" spans="1:32" s="235" customFormat="1" ht="46.5" outlineLevel="2" thickTop="1" thickBot="1">
      <c r="A98" s="278"/>
      <c r="B98" s="307" t="s">
        <v>338</v>
      </c>
      <c r="C98" s="308"/>
      <c r="D98" s="309"/>
      <c r="E98" s="310"/>
      <c r="F98" s="311"/>
      <c r="G98" s="658"/>
      <c r="H98" s="246" t="str">
        <f t="shared" si="51"/>
        <v/>
      </c>
      <c r="I98" s="278"/>
      <c r="J98" s="307" t="s">
        <v>338</v>
      </c>
      <c r="K98" s="308"/>
      <c r="L98" s="309"/>
      <c r="M98" s="310"/>
      <c r="N98" s="311"/>
      <c r="O98" s="658"/>
      <c r="P98" s="246" t="str">
        <f t="shared" si="53"/>
        <v/>
      </c>
      <c r="Q98" s="278"/>
      <c r="R98" s="307" t="s">
        <v>338</v>
      </c>
      <c r="S98" s="308"/>
      <c r="T98" s="309"/>
      <c r="U98" s="310"/>
      <c r="V98" s="311"/>
      <c r="W98" s="658"/>
      <c r="X98" s="246" t="str">
        <f t="shared" si="55"/>
        <v/>
      </c>
      <c r="Y98" s="278"/>
      <c r="Z98" s="307" t="s">
        <v>338</v>
      </c>
      <c r="AA98" s="308"/>
      <c r="AB98" s="309"/>
      <c r="AC98" s="310"/>
      <c r="AD98" s="311"/>
      <c r="AE98" s="658"/>
      <c r="AF98" s="246" t="str">
        <f t="shared" si="57"/>
        <v/>
      </c>
    </row>
    <row r="99" spans="1:32" s="235" customFormat="1" ht="46.5" outlineLevel="2" thickTop="1" thickBot="1">
      <c r="A99" s="278" t="s">
        <v>339</v>
      </c>
      <c r="B99" s="329" t="s">
        <v>340</v>
      </c>
      <c r="C99" s="301" t="s">
        <v>224</v>
      </c>
      <c r="D99" s="281">
        <v>1</v>
      </c>
      <c r="E99" s="282">
        <v>1788480</v>
      </c>
      <c r="F99" s="315">
        <f t="shared" ref="F99:F147" si="79">ROUND(D99*E99,0)</f>
        <v>1788480</v>
      </c>
      <c r="G99" s="658"/>
      <c r="H99" s="246">
        <f t="shared" si="51"/>
        <v>0</v>
      </c>
      <c r="I99" s="278" t="s">
        <v>339</v>
      </c>
      <c r="J99" s="329" t="s">
        <v>340</v>
      </c>
      <c r="K99" s="301" t="s">
        <v>224</v>
      </c>
      <c r="L99" s="281">
        <v>1</v>
      </c>
      <c r="M99" s="282">
        <v>3566257</v>
      </c>
      <c r="N99" s="315">
        <f t="shared" ref="N99:N100" si="80">ROUND(L99*M99,0)</f>
        <v>3566257</v>
      </c>
      <c r="O99" s="658"/>
      <c r="P99" s="246">
        <f t="shared" si="53"/>
        <v>0</v>
      </c>
      <c r="Q99" s="278" t="s">
        <v>339</v>
      </c>
      <c r="R99" s="329" t="s">
        <v>340</v>
      </c>
      <c r="S99" s="301" t="s">
        <v>224</v>
      </c>
      <c r="T99" s="281">
        <v>1</v>
      </c>
      <c r="U99" s="282">
        <v>3569879</v>
      </c>
      <c r="V99" s="315">
        <f t="shared" ref="V99:V100" si="81">ROUND(T99*U99,0)</f>
        <v>3569879</v>
      </c>
      <c r="W99" s="658"/>
      <c r="X99" s="246">
        <f t="shared" si="55"/>
        <v>0</v>
      </c>
      <c r="Y99" s="278" t="s">
        <v>339</v>
      </c>
      <c r="Z99" s="329" t="s">
        <v>340</v>
      </c>
      <c r="AA99" s="301" t="s">
        <v>224</v>
      </c>
      <c r="AB99" s="281">
        <v>1</v>
      </c>
      <c r="AC99" s="282">
        <v>3620565</v>
      </c>
      <c r="AD99" s="315">
        <f t="shared" ref="AD99:AD100" si="82">ROUND(AB99*AC99,0)</f>
        <v>3620565</v>
      </c>
      <c r="AE99" s="658"/>
      <c r="AF99" s="246">
        <f t="shared" si="57"/>
        <v>0</v>
      </c>
    </row>
    <row r="100" spans="1:32" s="235" customFormat="1" ht="46.5" outlineLevel="2" thickTop="1" thickBot="1">
      <c r="A100" s="278" t="s">
        <v>341</v>
      </c>
      <c r="B100" s="329" t="s">
        <v>342</v>
      </c>
      <c r="C100" s="332" t="s">
        <v>224</v>
      </c>
      <c r="D100" s="333">
        <v>3</v>
      </c>
      <c r="E100" s="282">
        <v>1780200</v>
      </c>
      <c r="F100" s="315">
        <f t="shared" si="79"/>
        <v>5340600</v>
      </c>
      <c r="G100" s="658"/>
      <c r="H100" s="246">
        <f t="shared" si="51"/>
        <v>0</v>
      </c>
      <c r="I100" s="278" t="s">
        <v>341</v>
      </c>
      <c r="J100" s="329" t="s">
        <v>342</v>
      </c>
      <c r="K100" s="332" t="s">
        <v>224</v>
      </c>
      <c r="L100" s="333">
        <v>3</v>
      </c>
      <c r="M100" s="282">
        <v>1730507</v>
      </c>
      <c r="N100" s="315">
        <f t="shared" si="80"/>
        <v>5191521</v>
      </c>
      <c r="O100" s="658"/>
      <c r="P100" s="246">
        <f t="shared" si="53"/>
        <v>0</v>
      </c>
      <c r="Q100" s="278" t="s">
        <v>341</v>
      </c>
      <c r="R100" s="329" t="s">
        <v>342</v>
      </c>
      <c r="S100" s="332" t="s">
        <v>224</v>
      </c>
      <c r="T100" s="333">
        <v>3</v>
      </c>
      <c r="U100" s="282">
        <v>1732263</v>
      </c>
      <c r="V100" s="315">
        <f t="shared" si="81"/>
        <v>5196789</v>
      </c>
      <c r="W100" s="658"/>
      <c r="X100" s="246">
        <f t="shared" si="55"/>
        <v>0</v>
      </c>
      <c r="Y100" s="278" t="s">
        <v>341</v>
      </c>
      <c r="Z100" s="329" t="s">
        <v>342</v>
      </c>
      <c r="AA100" s="332" t="s">
        <v>224</v>
      </c>
      <c r="AB100" s="333">
        <v>3</v>
      </c>
      <c r="AC100" s="282">
        <v>1756859</v>
      </c>
      <c r="AD100" s="315">
        <f t="shared" si="82"/>
        <v>5270577</v>
      </c>
      <c r="AE100" s="658"/>
      <c r="AF100" s="246">
        <f t="shared" si="57"/>
        <v>0</v>
      </c>
    </row>
    <row r="101" spans="1:32" s="235" customFormat="1" ht="16.5" outlineLevel="2" thickTop="1" thickBot="1">
      <c r="A101" s="285" t="s">
        <v>343</v>
      </c>
      <c r="B101" s="331" t="s">
        <v>344</v>
      </c>
      <c r="C101" s="273"/>
      <c r="D101" s="274"/>
      <c r="E101" s="275"/>
      <c r="F101" s="276"/>
      <c r="G101" s="658"/>
      <c r="H101" s="246" t="str">
        <f t="shared" si="51"/>
        <v/>
      </c>
      <c r="I101" s="285" t="s">
        <v>343</v>
      </c>
      <c r="J101" s="331" t="s">
        <v>344</v>
      </c>
      <c r="K101" s="273"/>
      <c r="L101" s="274"/>
      <c r="M101" s="275"/>
      <c r="N101" s="276"/>
      <c r="O101" s="658"/>
      <c r="P101" s="246" t="str">
        <f t="shared" si="53"/>
        <v/>
      </c>
      <c r="Q101" s="285" t="s">
        <v>343</v>
      </c>
      <c r="R101" s="331" t="s">
        <v>344</v>
      </c>
      <c r="S101" s="273"/>
      <c r="T101" s="274"/>
      <c r="U101" s="275"/>
      <c r="V101" s="276"/>
      <c r="W101" s="658"/>
      <c r="X101" s="246" t="str">
        <f t="shared" si="55"/>
        <v/>
      </c>
      <c r="Y101" s="285" t="s">
        <v>343</v>
      </c>
      <c r="Z101" s="331" t="s">
        <v>344</v>
      </c>
      <c r="AA101" s="273"/>
      <c r="AB101" s="274"/>
      <c r="AC101" s="275"/>
      <c r="AD101" s="276"/>
      <c r="AE101" s="658"/>
      <c r="AF101" s="246" t="str">
        <f t="shared" si="57"/>
        <v/>
      </c>
    </row>
    <row r="102" spans="1:32" s="235" customFormat="1" ht="61.5" outlineLevel="2" thickTop="1" thickBot="1">
      <c r="A102" s="334" t="s">
        <v>345</v>
      </c>
      <c r="B102" s="335" t="s">
        <v>346</v>
      </c>
      <c r="C102" s="336" t="s">
        <v>224</v>
      </c>
      <c r="D102" s="337">
        <v>1</v>
      </c>
      <c r="E102" s="282">
        <v>3105000</v>
      </c>
      <c r="F102" s="315">
        <f t="shared" si="79"/>
        <v>3105000</v>
      </c>
      <c r="G102" s="658"/>
      <c r="H102" s="246">
        <f t="shared" si="51"/>
        <v>0</v>
      </c>
      <c r="I102" s="334" t="s">
        <v>345</v>
      </c>
      <c r="J102" s="335" t="s">
        <v>346</v>
      </c>
      <c r="K102" s="336" t="s">
        <v>224</v>
      </c>
      <c r="L102" s="337">
        <v>1</v>
      </c>
      <c r="M102" s="282">
        <v>1758227</v>
      </c>
      <c r="N102" s="315">
        <f t="shared" ref="N102" si="83">ROUND(L102*M102,0)</f>
        <v>1758227</v>
      </c>
      <c r="O102" s="658"/>
      <c r="P102" s="246">
        <f t="shared" si="53"/>
        <v>0</v>
      </c>
      <c r="Q102" s="334" t="s">
        <v>345</v>
      </c>
      <c r="R102" s="335" t="s">
        <v>346</v>
      </c>
      <c r="S102" s="336" t="s">
        <v>224</v>
      </c>
      <c r="T102" s="337">
        <v>1</v>
      </c>
      <c r="U102" s="282">
        <v>1760011</v>
      </c>
      <c r="V102" s="315">
        <f t="shared" ref="V102" si="84">ROUND(T102*U102,0)</f>
        <v>1760011</v>
      </c>
      <c r="W102" s="658"/>
      <c r="X102" s="246">
        <f t="shared" si="55"/>
        <v>0</v>
      </c>
      <c r="Y102" s="334" t="s">
        <v>345</v>
      </c>
      <c r="Z102" s="335" t="s">
        <v>346</v>
      </c>
      <c r="AA102" s="336" t="s">
        <v>224</v>
      </c>
      <c r="AB102" s="337">
        <v>1</v>
      </c>
      <c r="AC102" s="282">
        <v>1785001</v>
      </c>
      <c r="AD102" s="315">
        <f t="shared" ref="AD102" si="85">ROUND(AB102*AC102,0)</f>
        <v>1785001</v>
      </c>
      <c r="AE102" s="658"/>
      <c r="AF102" s="246">
        <f t="shared" si="57"/>
        <v>0</v>
      </c>
    </row>
    <row r="103" spans="1:32" s="235" customFormat="1" ht="16.5" outlineLevel="2" thickTop="1" thickBot="1">
      <c r="A103" s="285" t="s">
        <v>347</v>
      </c>
      <c r="B103" s="331" t="s">
        <v>348</v>
      </c>
      <c r="C103" s="273"/>
      <c r="D103" s="274"/>
      <c r="E103" s="275"/>
      <c r="F103" s="276"/>
      <c r="G103" s="658"/>
      <c r="H103" s="246" t="str">
        <f t="shared" si="51"/>
        <v/>
      </c>
      <c r="I103" s="285" t="s">
        <v>347</v>
      </c>
      <c r="J103" s="331" t="s">
        <v>348</v>
      </c>
      <c r="K103" s="273"/>
      <c r="L103" s="274"/>
      <c r="M103" s="275"/>
      <c r="N103" s="276"/>
      <c r="O103" s="658"/>
      <c r="P103" s="246" t="str">
        <f t="shared" si="53"/>
        <v/>
      </c>
      <c r="Q103" s="285" t="s">
        <v>347</v>
      </c>
      <c r="R103" s="331" t="s">
        <v>348</v>
      </c>
      <c r="S103" s="273"/>
      <c r="T103" s="274"/>
      <c r="U103" s="275"/>
      <c r="V103" s="276"/>
      <c r="W103" s="658"/>
      <c r="X103" s="246" t="str">
        <f t="shared" si="55"/>
        <v/>
      </c>
      <c r="Y103" s="285" t="s">
        <v>347</v>
      </c>
      <c r="Z103" s="331" t="s">
        <v>348</v>
      </c>
      <c r="AA103" s="273"/>
      <c r="AB103" s="274"/>
      <c r="AC103" s="275"/>
      <c r="AD103" s="276"/>
      <c r="AE103" s="658"/>
      <c r="AF103" s="246" t="str">
        <f t="shared" si="57"/>
        <v/>
      </c>
    </row>
    <row r="104" spans="1:32" s="235" customFormat="1" ht="46.5" outlineLevel="2" thickTop="1" thickBot="1">
      <c r="A104" s="278"/>
      <c r="B104" s="307" t="s">
        <v>349</v>
      </c>
      <c r="C104" s="308"/>
      <c r="D104" s="309"/>
      <c r="E104" s="310"/>
      <c r="F104" s="311"/>
      <c r="G104" s="658"/>
      <c r="H104" s="246" t="str">
        <f t="shared" si="51"/>
        <v/>
      </c>
      <c r="I104" s="278"/>
      <c r="J104" s="307" t="s">
        <v>349</v>
      </c>
      <c r="K104" s="308"/>
      <c r="L104" s="309"/>
      <c r="M104" s="310"/>
      <c r="N104" s="311"/>
      <c r="O104" s="658"/>
      <c r="P104" s="246" t="str">
        <f t="shared" si="53"/>
        <v/>
      </c>
      <c r="Q104" s="278"/>
      <c r="R104" s="307" t="s">
        <v>349</v>
      </c>
      <c r="S104" s="308"/>
      <c r="T104" s="309"/>
      <c r="U104" s="310"/>
      <c r="V104" s="311"/>
      <c r="W104" s="658"/>
      <c r="X104" s="246" t="str">
        <f t="shared" si="55"/>
        <v/>
      </c>
      <c r="Y104" s="278"/>
      <c r="Z104" s="307" t="s">
        <v>349</v>
      </c>
      <c r="AA104" s="308"/>
      <c r="AB104" s="309"/>
      <c r="AC104" s="310"/>
      <c r="AD104" s="311"/>
      <c r="AE104" s="658"/>
      <c r="AF104" s="246" t="str">
        <f t="shared" si="57"/>
        <v/>
      </c>
    </row>
    <row r="105" spans="1:32" s="235" customFormat="1" ht="45.75" outlineLevel="2" thickTop="1">
      <c r="A105" s="334" t="s">
        <v>350</v>
      </c>
      <c r="B105" s="288" t="s">
        <v>351</v>
      </c>
      <c r="C105" s="336" t="s">
        <v>224</v>
      </c>
      <c r="D105" s="337">
        <v>2</v>
      </c>
      <c r="E105" s="282">
        <v>1919925</v>
      </c>
      <c r="F105" s="315">
        <f t="shared" si="79"/>
        <v>3839850</v>
      </c>
      <c r="G105" s="658"/>
      <c r="H105" s="246">
        <f t="shared" si="51"/>
        <v>0</v>
      </c>
      <c r="I105" s="334" t="s">
        <v>350</v>
      </c>
      <c r="J105" s="288" t="s">
        <v>351</v>
      </c>
      <c r="K105" s="336" t="s">
        <v>224</v>
      </c>
      <c r="L105" s="337">
        <v>2</v>
      </c>
      <c r="M105" s="282">
        <v>2164425</v>
      </c>
      <c r="N105" s="315">
        <f t="shared" ref="N105:N137" si="86">ROUND(L105*M105,0)</f>
        <v>4328850</v>
      </c>
      <c r="O105" s="658"/>
      <c r="P105" s="246">
        <f t="shared" si="53"/>
        <v>0</v>
      </c>
      <c r="Q105" s="334" t="s">
        <v>350</v>
      </c>
      <c r="R105" s="288" t="s">
        <v>351</v>
      </c>
      <c r="S105" s="336" t="s">
        <v>224</v>
      </c>
      <c r="T105" s="337">
        <v>2</v>
      </c>
      <c r="U105" s="282">
        <v>2166623</v>
      </c>
      <c r="V105" s="315">
        <f t="shared" ref="V105:V137" si="87">ROUND(T105*U105,0)</f>
        <v>4333246</v>
      </c>
      <c r="W105" s="658"/>
      <c r="X105" s="246">
        <f t="shared" si="55"/>
        <v>0</v>
      </c>
      <c r="Y105" s="334" t="s">
        <v>350</v>
      </c>
      <c r="Z105" s="288" t="s">
        <v>351</v>
      </c>
      <c r="AA105" s="336" t="s">
        <v>224</v>
      </c>
      <c r="AB105" s="337">
        <v>2</v>
      </c>
      <c r="AC105" s="282">
        <v>2197385</v>
      </c>
      <c r="AD105" s="315">
        <f t="shared" ref="AD105:AD137" si="88">ROUND(AB105*AC105,0)</f>
        <v>4394770</v>
      </c>
      <c r="AE105" s="658"/>
      <c r="AF105" s="246">
        <f t="shared" si="57"/>
        <v>0</v>
      </c>
    </row>
    <row r="106" spans="1:32" s="235" customFormat="1" ht="60" outlineLevel="2">
      <c r="A106" s="334" t="s">
        <v>352</v>
      </c>
      <c r="B106" s="288" t="s">
        <v>353</v>
      </c>
      <c r="C106" s="319" t="s">
        <v>224</v>
      </c>
      <c r="D106" s="313">
        <v>9</v>
      </c>
      <c r="E106" s="282">
        <v>77625</v>
      </c>
      <c r="F106" s="315">
        <f t="shared" si="79"/>
        <v>698625</v>
      </c>
      <c r="G106" s="658"/>
      <c r="H106" s="246">
        <f t="shared" si="51"/>
        <v>0</v>
      </c>
      <c r="I106" s="334" t="s">
        <v>352</v>
      </c>
      <c r="J106" s="288" t="s">
        <v>353</v>
      </c>
      <c r="K106" s="319" t="s">
        <v>224</v>
      </c>
      <c r="L106" s="313">
        <v>9</v>
      </c>
      <c r="M106" s="282">
        <v>44937</v>
      </c>
      <c r="N106" s="315">
        <f t="shared" si="86"/>
        <v>404433</v>
      </c>
      <c r="O106" s="658"/>
      <c r="P106" s="246">
        <f t="shared" si="53"/>
        <v>0</v>
      </c>
      <c r="Q106" s="334" t="s">
        <v>352</v>
      </c>
      <c r="R106" s="288" t="s">
        <v>353</v>
      </c>
      <c r="S106" s="319" t="s">
        <v>224</v>
      </c>
      <c r="T106" s="313">
        <v>9</v>
      </c>
      <c r="U106" s="282">
        <v>44983</v>
      </c>
      <c r="V106" s="315">
        <f t="shared" si="87"/>
        <v>404847</v>
      </c>
      <c r="W106" s="658"/>
      <c r="X106" s="246">
        <f t="shared" si="55"/>
        <v>0</v>
      </c>
      <c r="Y106" s="334" t="s">
        <v>352</v>
      </c>
      <c r="Z106" s="288" t="s">
        <v>353</v>
      </c>
      <c r="AA106" s="319" t="s">
        <v>224</v>
      </c>
      <c r="AB106" s="313">
        <v>9</v>
      </c>
      <c r="AC106" s="282">
        <v>45621</v>
      </c>
      <c r="AD106" s="315">
        <f t="shared" si="88"/>
        <v>410589</v>
      </c>
      <c r="AE106" s="658"/>
      <c r="AF106" s="246">
        <f t="shared" si="57"/>
        <v>0</v>
      </c>
    </row>
    <row r="107" spans="1:32" s="235" customFormat="1" ht="45" outlineLevel="2">
      <c r="A107" s="334" t="s">
        <v>354</v>
      </c>
      <c r="B107" s="288" t="s">
        <v>355</v>
      </c>
      <c r="C107" s="319" t="s">
        <v>224</v>
      </c>
      <c r="D107" s="313">
        <v>15</v>
      </c>
      <c r="E107" s="282">
        <v>93150</v>
      </c>
      <c r="F107" s="315">
        <f t="shared" si="79"/>
        <v>1397250</v>
      </c>
      <c r="G107" s="658"/>
      <c r="H107" s="246">
        <f t="shared" si="51"/>
        <v>0</v>
      </c>
      <c r="I107" s="334" t="s">
        <v>354</v>
      </c>
      <c r="J107" s="288" t="s">
        <v>355</v>
      </c>
      <c r="K107" s="319" t="s">
        <v>224</v>
      </c>
      <c r="L107" s="313">
        <v>15</v>
      </c>
      <c r="M107" s="282">
        <v>106581</v>
      </c>
      <c r="N107" s="315">
        <f t="shared" si="86"/>
        <v>1598715</v>
      </c>
      <c r="O107" s="658"/>
      <c r="P107" s="246">
        <f t="shared" si="53"/>
        <v>0</v>
      </c>
      <c r="Q107" s="334" t="s">
        <v>354</v>
      </c>
      <c r="R107" s="288" t="s">
        <v>355</v>
      </c>
      <c r="S107" s="319" t="s">
        <v>224</v>
      </c>
      <c r="T107" s="313">
        <v>15</v>
      </c>
      <c r="U107" s="282">
        <v>106689</v>
      </c>
      <c r="V107" s="315">
        <f t="shared" si="87"/>
        <v>1600335</v>
      </c>
      <c r="W107" s="658"/>
      <c r="X107" s="246">
        <f t="shared" si="55"/>
        <v>0</v>
      </c>
      <c r="Y107" s="334" t="s">
        <v>354</v>
      </c>
      <c r="Z107" s="288" t="s">
        <v>355</v>
      </c>
      <c r="AA107" s="319" t="s">
        <v>224</v>
      </c>
      <c r="AB107" s="313">
        <v>15</v>
      </c>
      <c r="AC107" s="282">
        <v>108203</v>
      </c>
      <c r="AD107" s="315">
        <f t="shared" si="88"/>
        <v>1623045</v>
      </c>
      <c r="AE107" s="658"/>
      <c r="AF107" s="246">
        <f t="shared" si="57"/>
        <v>0</v>
      </c>
    </row>
    <row r="108" spans="1:32" s="235" customFormat="1" ht="45" outlineLevel="2">
      <c r="A108" s="334" t="s">
        <v>356</v>
      </c>
      <c r="B108" s="288" t="s">
        <v>357</v>
      </c>
      <c r="C108" s="319" t="s">
        <v>224</v>
      </c>
      <c r="D108" s="313">
        <v>35</v>
      </c>
      <c r="E108" s="282">
        <v>93150</v>
      </c>
      <c r="F108" s="315">
        <f t="shared" si="79"/>
        <v>3260250</v>
      </c>
      <c r="G108" s="658"/>
      <c r="H108" s="246">
        <f t="shared" si="51"/>
        <v>0</v>
      </c>
      <c r="I108" s="334" t="s">
        <v>356</v>
      </c>
      <c r="J108" s="288" t="s">
        <v>357</v>
      </c>
      <c r="K108" s="319" t="s">
        <v>224</v>
      </c>
      <c r="L108" s="313">
        <v>35</v>
      </c>
      <c r="M108" s="282">
        <v>49415</v>
      </c>
      <c r="N108" s="315">
        <f t="shared" si="86"/>
        <v>1729525</v>
      </c>
      <c r="O108" s="658"/>
      <c r="P108" s="246">
        <f t="shared" si="53"/>
        <v>0</v>
      </c>
      <c r="Q108" s="334" t="s">
        <v>356</v>
      </c>
      <c r="R108" s="288" t="s">
        <v>357</v>
      </c>
      <c r="S108" s="319" t="s">
        <v>224</v>
      </c>
      <c r="T108" s="313">
        <v>35</v>
      </c>
      <c r="U108" s="282">
        <v>49465</v>
      </c>
      <c r="V108" s="315">
        <f t="shared" si="87"/>
        <v>1731275</v>
      </c>
      <c r="W108" s="658"/>
      <c r="X108" s="246">
        <f t="shared" si="55"/>
        <v>0</v>
      </c>
      <c r="Y108" s="334" t="s">
        <v>356</v>
      </c>
      <c r="Z108" s="288" t="s">
        <v>357</v>
      </c>
      <c r="AA108" s="319" t="s">
        <v>224</v>
      </c>
      <c r="AB108" s="313">
        <v>35</v>
      </c>
      <c r="AC108" s="282">
        <v>50167</v>
      </c>
      <c r="AD108" s="315">
        <f t="shared" si="88"/>
        <v>1755845</v>
      </c>
      <c r="AE108" s="658"/>
      <c r="AF108" s="246">
        <f t="shared" si="57"/>
        <v>0</v>
      </c>
    </row>
    <row r="109" spans="1:32" s="235" customFormat="1" ht="60" outlineLevel="2">
      <c r="A109" s="334" t="s">
        <v>358</v>
      </c>
      <c r="B109" s="288" t="s">
        <v>359</v>
      </c>
      <c r="C109" s="319" t="s">
        <v>224</v>
      </c>
      <c r="D109" s="313">
        <v>6</v>
      </c>
      <c r="E109" s="282">
        <v>879750</v>
      </c>
      <c r="F109" s="315">
        <f t="shared" si="79"/>
        <v>5278500</v>
      </c>
      <c r="G109" s="658"/>
      <c r="H109" s="246">
        <f t="shared" si="51"/>
        <v>0</v>
      </c>
      <c r="I109" s="334" t="s">
        <v>358</v>
      </c>
      <c r="J109" s="288" t="s">
        <v>359</v>
      </c>
      <c r="K109" s="319" t="s">
        <v>224</v>
      </c>
      <c r="L109" s="313">
        <v>6</v>
      </c>
      <c r="M109" s="282">
        <v>1306111</v>
      </c>
      <c r="N109" s="315">
        <f t="shared" si="86"/>
        <v>7836666</v>
      </c>
      <c r="O109" s="658"/>
      <c r="P109" s="246">
        <f t="shared" si="53"/>
        <v>0</v>
      </c>
      <c r="Q109" s="334" t="s">
        <v>358</v>
      </c>
      <c r="R109" s="288" t="s">
        <v>359</v>
      </c>
      <c r="S109" s="319" t="s">
        <v>224</v>
      </c>
      <c r="T109" s="313">
        <v>6</v>
      </c>
      <c r="U109" s="282">
        <v>1307437</v>
      </c>
      <c r="V109" s="315">
        <f t="shared" si="87"/>
        <v>7844622</v>
      </c>
      <c r="W109" s="658"/>
      <c r="X109" s="246">
        <f t="shared" si="55"/>
        <v>0</v>
      </c>
      <c r="Y109" s="334" t="s">
        <v>358</v>
      </c>
      <c r="Z109" s="288" t="s">
        <v>359</v>
      </c>
      <c r="AA109" s="319" t="s">
        <v>224</v>
      </c>
      <c r="AB109" s="313">
        <v>6</v>
      </c>
      <c r="AC109" s="282">
        <v>1326001</v>
      </c>
      <c r="AD109" s="315">
        <f t="shared" si="88"/>
        <v>7956006</v>
      </c>
      <c r="AE109" s="658"/>
      <c r="AF109" s="246">
        <f t="shared" si="57"/>
        <v>0</v>
      </c>
    </row>
    <row r="110" spans="1:32" s="235" customFormat="1" ht="60" outlineLevel="2">
      <c r="A110" s="334" t="s">
        <v>360</v>
      </c>
      <c r="B110" s="288" t="s">
        <v>361</v>
      </c>
      <c r="C110" s="319" t="s">
        <v>224</v>
      </c>
      <c r="D110" s="313">
        <v>12</v>
      </c>
      <c r="E110" s="282">
        <v>808565</v>
      </c>
      <c r="F110" s="315">
        <f t="shared" si="79"/>
        <v>9702780</v>
      </c>
      <c r="G110" s="658"/>
      <c r="H110" s="246">
        <f t="shared" si="51"/>
        <v>0</v>
      </c>
      <c r="I110" s="334" t="s">
        <v>360</v>
      </c>
      <c r="J110" s="288" t="s">
        <v>361</v>
      </c>
      <c r="K110" s="319" t="s">
        <v>224</v>
      </c>
      <c r="L110" s="313">
        <v>12</v>
      </c>
      <c r="M110" s="282">
        <v>1350000</v>
      </c>
      <c r="N110" s="315">
        <f t="shared" si="86"/>
        <v>16200000</v>
      </c>
      <c r="O110" s="658"/>
      <c r="P110" s="246">
        <f t="shared" si="53"/>
        <v>0</v>
      </c>
      <c r="Q110" s="334" t="s">
        <v>360</v>
      </c>
      <c r="R110" s="288" t="s">
        <v>361</v>
      </c>
      <c r="S110" s="319" t="s">
        <v>224</v>
      </c>
      <c r="T110" s="313">
        <v>12</v>
      </c>
      <c r="U110" s="282">
        <v>1344013</v>
      </c>
      <c r="V110" s="315">
        <f t="shared" si="87"/>
        <v>16128156</v>
      </c>
      <c r="W110" s="658"/>
      <c r="X110" s="246">
        <f t="shared" si="55"/>
        <v>0</v>
      </c>
      <c r="Y110" s="334" t="s">
        <v>360</v>
      </c>
      <c r="Z110" s="288" t="s">
        <v>361</v>
      </c>
      <c r="AA110" s="319" t="s">
        <v>224</v>
      </c>
      <c r="AB110" s="313">
        <v>12</v>
      </c>
      <c r="AC110" s="282">
        <v>1363095</v>
      </c>
      <c r="AD110" s="315">
        <f t="shared" si="88"/>
        <v>16357140</v>
      </c>
      <c r="AE110" s="658"/>
      <c r="AF110" s="246">
        <f t="shared" si="57"/>
        <v>0</v>
      </c>
    </row>
    <row r="111" spans="1:32" s="235" customFormat="1" ht="30" outlineLevel="2">
      <c r="A111" s="334" t="s">
        <v>362</v>
      </c>
      <c r="B111" s="288" t="s">
        <v>363</v>
      </c>
      <c r="C111" s="319" t="s">
        <v>224</v>
      </c>
      <c r="D111" s="313">
        <v>110</v>
      </c>
      <c r="E111" s="282">
        <v>25875</v>
      </c>
      <c r="F111" s="315">
        <f t="shared" si="79"/>
        <v>2846250</v>
      </c>
      <c r="G111" s="658"/>
      <c r="H111" s="246">
        <f t="shared" si="51"/>
        <v>0</v>
      </c>
      <c r="I111" s="334" t="s">
        <v>362</v>
      </c>
      <c r="J111" s="288" t="s">
        <v>363</v>
      </c>
      <c r="K111" s="319" t="s">
        <v>224</v>
      </c>
      <c r="L111" s="313">
        <v>110</v>
      </c>
      <c r="M111" s="282">
        <v>32989</v>
      </c>
      <c r="N111" s="315">
        <f t="shared" si="86"/>
        <v>3628790</v>
      </c>
      <c r="O111" s="658"/>
      <c r="P111" s="246">
        <f t="shared" si="53"/>
        <v>0</v>
      </c>
      <c r="Q111" s="334" t="s">
        <v>362</v>
      </c>
      <c r="R111" s="288" t="s">
        <v>363</v>
      </c>
      <c r="S111" s="319" t="s">
        <v>224</v>
      </c>
      <c r="T111" s="313">
        <v>110</v>
      </c>
      <c r="U111" s="282">
        <v>33023</v>
      </c>
      <c r="V111" s="315">
        <f t="shared" si="87"/>
        <v>3632530</v>
      </c>
      <c r="W111" s="658"/>
      <c r="X111" s="246">
        <f t="shared" si="55"/>
        <v>0</v>
      </c>
      <c r="Y111" s="334" t="s">
        <v>362</v>
      </c>
      <c r="Z111" s="288" t="s">
        <v>363</v>
      </c>
      <c r="AA111" s="319" t="s">
        <v>224</v>
      </c>
      <c r="AB111" s="313">
        <v>110</v>
      </c>
      <c r="AC111" s="282">
        <v>33491</v>
      </c>
      <c r="AD111" s="315">
        <f t="shared" si="88"/>
        <v>3684010</v>
      </c>
      <c r="AE111" s="658"/>
      <c r="AF111" s="246">
        <f t="shared" si="57"/>
        <v>0</v>
      </c>
    </row>
    <row r="112" spans="1:32" s="235" customFormat="1" ht="45" outlineLevel="2">
      <c r="A112" s="334" t="s">
        <v>364</v>
      </c>
      <c r="B112" s="288" t="s">
        <v>365</v>
      </c>
      <c r="C112" s="319" t="s">
        <v>224</v>
      </c>
      <c r="D112" s="313">
        <v>25</v>
      </c>
      <c r="E112" s="282">
        <v>15525</v>
      </c>
      <c r="F112" s="315">
        <f t="shared" si="79"/>
        <v>388125</v>
      </c>
      <c r="G112" s="658"/>
      <c r="H112" s="246">
        <f t="shared" si="51"/>
        <v>0</v>
      </c>
      <c r="I112" s="334" t="s">
        <v>364</v>
      </c>
      <c r="J112" s="288" t="s">
        <v>365</v>
      </c>
      <c r="K112" s="319" t="s">
        <v>224</v>
      </c>
      <c r="L112" s="313">
        <v>25</v>
      </c>
      <c r="M112" s="282">
        <v>31175</v>
      </c>
      <c r="N112" s="315">
        <f t="shared" si="86"/>
        <v>779375</v>
      </c>
      <c r="O112" s="658"/>
      <c r="P112" s="246">
        <f t="shared" si="53"/>
        <v>0</v>
      </c>
      <c r="Q112" s="334" t="s">
        <v>364</v>
      </c>
      <c r="R112" s="288" t="s">
        <v>365</v>
      </c>
      <c r="S112" s="319" t="s">
        <v>224</v>
      </c>
      <c r="T112" s="313">
        <v>25</v>
      </c>
      <c r="U112" s="282">
        <v>31207</v>
      </c>
      <c r="V112" s="315">
        <f t="shared" si="87"/>
        <v>780175</v>
      </c>
      <c r="W112" s="658"/>
      <c r="X112" s="246">
        <f t="shared" si="55"/>
        <v>0</v>
      </c>
      <c r="Y112" s="334" t="s">
        <v>364</v>
      </c>
      <c r="Z112" s="288" t="s">
        <v>365</v>
      </c>
      <c r="AA112" s="319" t="s">
        <v>224</v>
      </c>
      <c r="AB112" s="313">
        <v>25</v>
      </c>
      <c r="AC112" s="282">
        <v>31649</v>
      </c>
      <c r="AD112" s="315">
        <f t="shared" si="88"/>
        <v>791225</v>
      </c>
      <c r="AE112" s="658"/>
      <c r="AF112" s="246">
        <f t="shared" si="57"/>
        <v>0</v>
      </c>
    </row>
    <row r="113" spans="1:32" s="235" customFormat="1" ht="30" outlineLevel="2">
      <c r="A113" s="334" t="s">
        <v>366</v>
      </c>
      <c r="B113" s="288" t="s">
        <v>367</v>
      </c>
      <c r="C113" s="319" t="s">
        <v>224</v>
      </c>
      <c r="D113" s="313">
        <v>4</v>
      </c>
      <c r="E113" s="282">
        <v>149040</v>
      </c>
      <c r="F113" s="315">
        <f t="shared" si="79"/>
        <v>596160</v>
      </c>
      <c r="G113" s="658"/>
      <c r="H113" s="246">
        <f t="shared" si="51"/>
        <v>0</v>
      </c>
      <c r="I113" s="334" t="s">
        <v>366</v>
      </c>
      <c r="J113" s="288" t="s">
        <v>367</v>
      </c>
      <c r="K113" s="319" t="s">
        <v>224</v>
      </c>
      <c r="L113" s="313">
        <v>4</v>
      </c>
      <c r="M113" s="282">
        <v>165455</v>
      </c>
      <c r="N113" s="315">
        <f t="shared" si="86"/>
        <v>661820</v>
      </c>
      <c r="O113" s="658"/>
      <c r="P113" s="246">
        <f t="shared" si="53"/>
        <v>0</v>
      </c>
      <c r="Q113" s="334" t="s">
        <v>366</v>
      </c>
      <c r="R113" s="288" t="s">
        <v>367</v>
      </c>
      <c r="S113" s="319" t="s">
        <v>224</v>
      </c>
      <c r="T113" s="313">
        <v>4</v>
      </c>
      <c r="U113" s="282">
        <v>165623</v>
      </c>
      <c r="V113" s="315">
        <f t="shared" si="87"/>
        <v>662492</v>
      </c>
      <c r="W113" s="658"/>
      <c r="X113" s="246">
        <f t="shared" si="55"/>
        <v>0</v>
      </c>
      <c r="Y113" s="334" t="s">
        <v>366</v>
      </c>
      <c r="Z113" s="288" t="s">
        <v>367</v>
      </c>
      <c r="AA113" s="319" t="s">
        <v>224</v>
      </c>
      <c r="AB113" s="313">
        <v>4</v>
      </c>
      <c r="AC113" s="282">
        <v>167973</v>
      </c>
      <c r="AD113" s="315">
        <f t="shared" si="88"/>
        <v>671892</v>
      </c>
      <c r="AE113" s="658"/>
      <c r="AF113" s="246">
        <f t="shared" si="57"/>
        <v>0</v>
      </c>
    </row>
    <row r="114" spans="1:32" s="235" customFormat="1" ht="45" outlineLevel="2">
      <c r="A114" s="334" t="s">
        <v>368</v>
      </c>
      <c r="B114" s="288" t="s">
        <v>369</v>
      </c>
      <c r="C114" s="319" t="s">
        <v>224</v>
      </c>
      <c r="D114" s="313">
        <v>16</v>
      </c>
      <c r="E114" s="282">
        <v>258750</v>
      </c>
      <c r="F114" s="315">
        <f t="shared" si="79"/>
        <v>4140000</v>
      </c>
      <c r="G114" s="658"/>
      <c r="H114" s="246">
        <f t="shared" si="51"/>
        <v>0</v>
      </c>
      <c r="I114" s="334" t="s">
        <v>368</v>
      </c>
      <c r="J114" s="288" t="s">
        <v>369</v>
      </c>
      <c r="K114" s="319" t="s">
        <v>224</v>
      </c>
      <c r="L114" s="313">
        <v>16</v>
      </c>
      <c r="M114" s="282">
        <v>166437</v>
      </c>
      <c r="N114" s="315">
        <f t="shared" si="86"/>
        <v>2662992</v>
      </c>
      <c r="O114" s="658"/>
      <c r="P114" s="246">
        <f t="shared" si="53"/>
        <v>0</v>
      </c>
      <c r="Q114" s="334" t="s">
        <v>368</v>
      </c>
      <c r="R114" s="288" t="s">
        <v>369</v>
      </c>
      <c r="S114" s="319" t="s">
        <v>224</v>
      </c>
      <c r="T114" s="313">
        <v>16</v>
      </c>
      <c r="U114" s="282">
        <v>166607</v>
      </c>
      <c r="V114" s="315">
        <f t="shared" si="87"/>
        <v>2665712</v>
      </c>
      <c r="W114" s="658"/>
      <c r="X114" s="246">
        <f t="shared" si="55"/>
        <v>0</v>
      </c>
      <c r="Y114" s="334" t="s">
        <v>368</v>
      </c>
      <c r="Z114" s="288" t="s">
        <v>369</v>
      </c>
      <c r="AA114" s="319" t="s">
        <v>224</v>
      </c>
      <c r="AB114" s="313">
        <v>16</v>
      </c>
      <c r="AC114" s="282">
        <v>168971</v>
      </c>
      <c r="AD114" s="315">
        <f t="shared" si="88"/>
        <v>2703536</v>
      </c>
      <c r="AE114" s="658"/>
      <c r="AF114" s="246">
        <f t="shared" si="57"/>
        <v>0</v>
      </c>
    </row>
    <row r="115" spans="1:32" s="235" customFormat="1" ht="45" outlineLevel="2">
      <c r="A115" s="334" t="s">
        <v>370</v>
      </c>
      <c r="B115" s="288" t="s">
        <v>371</v>
      </c>
      <c r="C115" s="319" t="s">
        <v>224</v>
      </c>
      <c r="D115" s="313">
        <v>140</v>
      </c>
      <c r="E115" s="282">
        <v>26082</v>
      </c>
      <c r="F115" s="315">
        <f t="shared" si="79"/>
        <v>3651480</v>
      </c>
      <c r="G115" s="658"/>
      <c r="H115" s="246">
        <f t="shared" si="51"/>
        <v>0</v>
      </c>
      <c r="I115" s="334" t="s">
        <v>370</v>
      </c>
      <c r="J115" s="288" t="s">
        <v>371</v>
      </c>
      <c r="K115" s="319" t="s">
        <v>224</v>
      </c>
      <c r="L115" s="313">
        <v>140</v>
      </c>
      <c r="M115" s="282">
        <v>24953</v>
      </c>
      <c r="N115" s="315">
        <f t="shared" si="86"/>
        <v>3493420</v>
      </c>
      <c r="O115" s="658"/>
      <c r="P115" s="246">
        <f t="shared" si="53"/>
        <v>0</v>
      </c>
      <c r="Q115" s="334" t="s">
        <v>370</v>
      </c>
      <c r="R115" s="288" t="s">
        <v>371</v>
      </c>
      <c r="S115" s="319" t="s">
        <v>224</v>
      </c>
      <c r="T115" s="313">
        <v>140</v>
      </c>
      <c r="U115" s="282">
        <v>24977</v>
      </c>
      <c r="V115" s="315">
        <f t="shared" si="87"/>
        <v>3496780</v>
      </c>
      <c r="W115" s="658"/>
      <c r="X115" s="246">
        <f t="shared" si="55"/>
        <v>0</v>
      </c>
      <c r="Y115" s="334" t="s">
        <v>370</v>
      </c>
      <c r="Z115" s="288" t="s">
        <v>371</v>
      </c>
      <c r="AA115" s="319" t="s">
        <v>224</v>
      </c>
      <c r="AB115" s="313">
        <v>140</v>
      </c>
      <c r="AC115" s="282">
        <v>25331</v>
      </c>
      <c r="AD115" s="315">
        <f t="shared" si="88"/>
        <v>3546340</v>
      </c>
      <c r="AE115" s="658"/>
      <c r="AF115" s="246">
        <f t="shared" si="57"/>
        <v>0</v>
      </c>
    </row>
    <row r="116" spans="1:32" s="235" customFormat="1" ht="75" outlineLevel="2">
      <c r="A116" s="334" t="s">
        <v>372</v>
      </c>
      <c r="B116" s="288" t="s">
        <v>373</v>
      </c>
      <c r="C116" s="319" t="s">
        <v>224</v>
      </c>
      <c r="D116" s="313">
        <v>8</v>
      </c>
      <c r="E116" s="282">
        <v>77625</v>
      </c>
      <c r="F116" s="315">
        <f t="shared" si="79"/>
        <v>621000</v>
      </c>
      <c r="G116" s="658"/>
      <c r="H116" s="246">
        <f t="shared" si="51"/>
        <v>0</v>
      </c>
      <c r="I116" s="334" t="s">
        <v>372</v>
      </c>
      <c r="J116" s="288" t="s">
        <v>373</v>
      </c>
      <c r="K116" s="319" t="s">
        <v>224</v>
      </c>
      <c r="L116" s="313">
        <v>8</v>
      </c>
      <c r="M116" s="282">
        <v>34917</v>
      </c>
      <c r="N116" s="315">
        <f t="shared" si="86"/>
        <v>279336</v>
      </c>
      <c r="O116" s="658"/>
      <c r="P116" s="246">
        <f t="shared" si="53"/>
        <v>0</v>
      </c>
      <c r="Q116" s="334" t="s">
        <v>372</v>
      </c>
      <c r="R116" s="288" t="s">
        <v>373</v>
      </c>
      <c r="S116" s="319" t="s">
        <v>224</v>
      </c>
      <c r="T116" s="313">
        <v>8</v>
      </c>
      <c r="U116" s="282">
        <v>34951</v>
      </c>
      <c r="V116" s="315">
        <f t="shared" si="87"/>
        <v>279608</v>
      </c>
      <c r="W116" s="658"/>
      <c r="X116" s="246">
        <f t="shared" si="55"/>
        <v>0</v>
      </c>
      <c r="Y116" s="334" t="s">
        <v>372</v>
      </c>
      <c r="Z116" s="288" t="s">
        <v>373</v>
      </c>
      <c r="AA116" s="319" t="s">
        <v>224</v>
      </c>
      <c r="AB116" s="313">
        <v>8</v>
      </c>
      <c r="AC116" s="282">
        <v>35447</v>
      </c>
      <c r="AD116" s="315">
        <f t="shared" si="88"/>
        <v>283576</v>
      </c>
      <c r="AE116" s="658"/>
      <c r="AF116" s="246">
        <f t="shared" si="57"/>
        <v>0</v>
      </c>
    </row>
    <row r="117" spans="1:32" s="235" customFormat="1" ht="45" outlineLevel="2">
      <c r="A117" s="334" t="s">
        <v>374</v>
      </c>
      <c r="B117" s="288" t="s">
        <v>375</v>
      </c>
      <c r="C117" s="319" t="s">
        <v>224</v>
      </c>
      <c r="D117" s="313">
        <v>16</v>
      </c>
      <c r="E117" s="282">
        <v>82800</v>
      </c>
      <c r="F117" s="315">
        <f t="shared" si="79"/>
        <v>1324800</v>
      </c>
      <c r="G117" s="658"/>
      <c r="H117" s="246">
        <f t="shared" si="51"/>
        <v>0</v>
      </c>
      <c r="I117" s="334" t="s">
        <v>374</v>
      </c>
      <c r="J117" s="288" t="s">
        <v>375</v>
      </c>
      <c r="K117" s="319" t="s">
        <v>224</v>
      </c>
      <c r="L117" s="313">
        <v>16</v>
      </c>
      <c r="M117" s="282">
        <v>63889</v>
      </c>
      <c r="N117" s="315">
        <f t="shared" si="86"/>
        <v>1022224</v>
      </c>
      <c r="O117" s="658"/>
      <c r="P117" s="246">
        <f t="shared" si="53"/>
        <v>0</v>
      </c>
      <c r="Q117" s="334" t="s">
        <v>374</v>
      </c>
      <c r="R117" s="288" t="s">
        <v>375</v>
      </c>
      <c r="S117" s="319" t="s">
        <v>224</v>
      </c>
      <c r="T117" s="313">
        <v>16</v>
      </c>
      <c r="U117" s="282">
        <v>63953</v>
      </c>
      <c r="V117" s="315">
        <f t="shared" si="87"/>
        <v>1023248</v>
      </c>
      <c r="W117" s="658"/>
      <c r="X117" s="246">
        <f t="shared" si="55"/>
        <v>0</v>
      </c>
      <c r="Y117" s="334" t="s">
        <v>374</v>
      </c>
      <c r="Z117" s="288" t="s">
        <v>375</v>
      </c>
      <c r="AA117" s="319" t="s">
        <v>224</v>
      </c>
      <c r="AB117" s="313">
        <v>16</v>
      </c>
      <c r="AC117" s="282">
        <v>64861</v>
      </c>
      <c r="AD117" s="315">
        <f t="shared" si="88"/>
        <v>1037776</v>
      </c>
      <c r="AE117" s="658"/>
      <c r="AF117" s="246">
        <f t="shared" si="57"/>
        <v>0</v>
      </c>
    </row>
    <row r="118" spans="1:32" s="235" customFormat="1" ht="75" outlineLevel="2">
      <c r="A118" s="334" t="s">
        <v>376</v>
      </c>
      <c r="B118" s="288" t="s">
        <v>377</v>
      </c>
      <c r="C118" s="319" t="s">
        <v>224</v>
      </c>
      <c r="D118" s="313">
        <v>8</v>
      </c>
      <c r="E118" s="282">
        <v>516465</v>
      </c>
      <c r="F118" s="315">
        <f t="shared" si="79"/>
        <v>4131720</v>
      </c>
      <c r="G118" s="658"/>
      <c r="H118" s="246">
        <f t="shared" si="51"/>
        <v>0</v>
      </c>
      <c r="I118" s="334" t="s">
        <v>376</v>
      </c>
      <c r="J118" s="288" t="s">
        <v>377</v>
      </c>
      <c r="K118" s="319" t="s">
        <v>224</v>
      </c>
      <c r="L118" s="313">
        <v>8</v>
      </c>
      <c r="M118" s="282">
        <v>437159</v>
      </c>
      <c r="N118" s="315">
        <f t="shared" si="86"/>
        <v>3497272</v>
      </c>
      <c r="O118" s="658"/>
      <c r="P118" s="246">
        <f t="shared" si="53"/>
        <v>0</v>
      </c>
      <c r="Q118" s="334" t="s">
        <v>376</v>
      </c>
      <c r="R118" s="288" t="s">
        <v>377</v>
      </c>
      <c r="S118" s="319" t="s">
        <v>224</v>
      </c>
      <c r="T118" s="313">
        <v>8</v>
      </c>
      <c r="U118" s="282">
        <v>437603</v>
      </c>
      <c r="V118" s="315">
        <f t="shared" si="87"/>
        <v>3500824</v>
      </c>
      <c r="W118" s="658"/>
      <c r="X118" s="246">
        <f t="shared" si="55"/>
        <v>0</v>
      </c>
      <c r="Y118" s="334" t="s">
        <v>376</v>
      </c>
      <c r="Z118" s="288" t="s">
        <v>377</v>
      </c>
      <c r="AA118" s="319" t="s">
        <v>224</v>
      </c>
      <c r="AB118" s="313">
        <v>8</v>
      </c>
      <c r="AC118" s="282">
        <v>443815</v>
      </c>
      <c r="AD118" s="315">
        <f t="shared" si="88"/>
        <v>3550520</v>
      </c>
      <c r="AE118" s="658"/>
      <c r="AF118" s="246">
        <f t="shared" si="57"/>
        <v>0</v>
      </c>
    </row>
    <row r="119" spans="1:32" s="235" customFormat="1" ht="45" outlineLevel="2">
      <c r="A119" s="334" t="s">
        <v>378</v>
      </c>
      <c r="B119" s="288" t="s">
        <v>379</v>
      </c>
      <c r="C119" s="319" t="s">
        <v>224</v>
      </c>
      <c r="D119" s="313">
        <v>16</v>
      </c>
      <c r="E119" s="282">
        <v>67275</v>
      </c>
      <c r="F119" s="315">
        <f t="shared" si="79"/>
        <v>1076400</v>
      </c>
      <c r="G119" s="658"/>
      <c r="H119" s="246">
        <f t="shared" si="51"/>
        <v>0</v>
      </c>
      <c r="I119" s="334" t="s">
        <v>378</v>
      </c>
      <c r="J119" s="288" t="s">
        <v>379</v>
      </c>
      <c r="K119" s="319" t="s">
        <v>224</v>
      </c>
      <c r="L119" s="313">
        <v>16</v>
      </c>
      <c r="M119" s="282">
        <v>36387</v>
      </c>
      <c r="N119" s="315">
        <f t="shared" si="86"/>
        <v>582192</v>
      </c>
      <c r="O119" s="658"/>
      <c r="P119" s="246">
        <f t="shared" si="53"/>
        <v>0</v>
      </c>
      <c r="Q119" s="334" t="s">
        <v>378</v>
      </c>
      <c r="R119" s="288" t="s">
        <v>379</v>
      </c>
      <c r="S119" s="319" t="s">
        <v>224</v>
      </c>
      <c r="T119" s="313">
        <v>16</v>
      </c>
      <c r="U119" s="282">
        <v>36425</v>
      </c>
      <c r="V119" s="315">
        <f t="shared" si="87"/>
        <v>582800</v>
      </c>
      <c r="W119" s="658"/>
      <c r="X119" s="246">
        <f t="shared" si="55"/>
        <v>0</v>
      </c>
      <c r="Y119" s="334" t="s">
        <v>378</v>
      </c>
      <c r="Z119" s="288" t="s">
        <v>379</v>
      </c>
      <c r="AA119" s="319" t="s">
        <v>224</v>
      </c>
      <c r="AB119" s="313">
        <v>16</v>
      </c>
      <c r="AC119" s="282">
        <v>36941</v>
      </c>
      <c r="AD119" s="315">
        <f t="shared" si="88"/>
        <v>591056</v>
      </c>
      <c r="AE119" s="658"/>
      <c r="AF119" s="246">
        <f t="shared" si="57"/>
        <v>0</v>
      </c>
    </row>
    <row r="120" spans="1:32" s="235" customFormat="1" ht="45" outlineLevel="2">
      <c r="A120" s="334" t="s">
        <v>380</v>
      </c>
      <c r="B120" s="288" t="s">
        <v>381</v>
      </c>
      <c r="C120" s="336" t="s">
        <v>224</v>
      </c>
      <c r="D120" s="337">
        <v>1</v>
      </c>
      <c r="E120" s="282">
        <v>124200</v>
      </c>
      <c r="F120" s="315">
        <f t="shared" si="79"/>
        <v>124200</v>
      </c>
      <c r="G120" s="658"/>
      <c r="H120" s="246">
        <f t="shared" si="51"/>
        <v>0</v>
      </c>
      <c r="I120" s="334" t="s">
        <v>380</v>
      </c>
      <c r="J120" s="288" t="s">
        <v>381</v>
      </c>
      <c r="K120" s="336" t="s">
        <v>224</v>
      </c>
      <c r="L120" s="337">
        <v>1</v>
      </c>
      <c r="M120" s="282">
        <v>147611</v>
      </c>
      <c r="N120" s="315">
        <f t="shared" si="86"/>
        <v>147611</v>
      </c>
      <c r="O120" s="658"/>
      <c r="P120" s="246">
        <f t="shared" si="53"/>
        <v>0</v>
      </c>
      <c r="Q120" s="334" t="s">
        <v>380</v>
      </c>
      <c r="R120" s="288" t="s">
        <v>381</v>
      </c>
      <c r="S120" s="336" t="s">
        <v>224</v>
      </c>
      <c r="T120" s="337">
        <v>1</v>
      </c>
      <c r="U120" s="282">
        <v>147761</v>
      </c>
      <c r="V120" s="315">
        <f t="shared" si="87"/>
        <v>147761</v>
      </c>
      <c r="W120" s="658"/>
      <c r="X120" s="246">
        <f t="shared" si="55"/>
        <v>0</v>
      </c>
      <c r="Y120" s="334" t="s">
        <v>380</v>
      </c>
      <c r="Z120" s="288" t="s">
        <v>381</v>
      </c>
      <c r="AA120" s="336" t="s">
        <v>224</v>
      </c>
      <c r="AB120" s="337">
        <v>1</v>
      </c>
      <c r="AC120" s="282">
        <v>149857</v>
      </c>
      <c r="AD120" s="315">
        <f t="shared" si="88"/>
        <v>149857</v>
      </c>
      <c r="AE120" s="658"/>
      <c r="AF120" s="246">
        <f t="shared" si="57"/>
        <v>0</v>
      </c>
    </row>
    <row r="121" spans="1:32" s="235" customFormat="1" ht="30" outlineLevel="2">
      <c r="A121" s="334" t="s">
        <v>382</v>
      </c>
      <c r="B121" s="288" t="s">
        <v>383</v>
      </c>
      <c r="C121" s="336" t="s">
        <v>224</v>
      </c>
      <c r="D121" s="337">
        <v>50</v>
      </c>
      <c r="E121" s="282">
        <v>15525</v>
      </c>
      <c r="F121" s="315">
        <f t="shared" si="79"/>
        <v>776250</v>
      </c>
      <c r="G121" s="658"/>
      <c r="H121" s="246">
        <f t="shared" si="51"/>
        <v>0</v>
      </c>
      <c r="I121" s="334" t="s">
        <v>382</v>
      </c>
      <c r="J121" s="288" t="s">
        <v>383</v>
      </c>
      <c r="K121" s="336" t="s">
        <v>224</v>
      </c>
      <c r="L121" s="337">
        <v>50</v>
      </c>
      <c r="M121" s="282">
        <v>55281</v>
      </c>
      <c r="N121" s="315">
        <f t="shared" si="86"/>
        <v>2764050</v>
      </c>
      <c r="O121" s="658"/>
      <c r="P121" s="246">
        <f t="shared" si="53"/>
        <v>0</v>
      </c>
      <c r="Q121" s="334" t="s">
        <v>382</v>
      </c>
      <c r="R121" s="288" t="s">
        <v>383</v>
      </c>
      <c r="S121" s="336" t="s">
        <v>224</v>
      </c>
      <c r="T121" s="337">
        <v>50</v>
      </c>
      <c r="U121" s="282">
        <v>55337</v>
      </c>
      <c r="V121" s="315">
        <f t="shared" si="87"/>
        <v>2766850</v>
      </c>
      <c r="W121" s="658"/>
      <c r="X121" s="246">
        <f t="shared" si="55"/>
        <v>0</v>
      </c>
      <c r="Y121" s="334" t="s">
        <v>382</v>
      </c>
      <c r="Z121" s="288" t="s">
        <v>383</v>
      </c>
      <c r="AA121" s="336" t="s">
        <v>224</v>
      </c>
      <c r="AB121" s="337">
        <v>50</v>
      </c>
      <c r="AC121" s="282">
        <v>56121</v>
      </c>
      <c r="AD121" s="315">
        <f t="shared" si="88"/>
        <v>2806050</v>
      </c>
      <c r="AE121" s="658"/>
      <c r="AF121" s="246">
        <f t="shared" si="57"/>
        <v>0</v>
      </c>
    </row>
    <row r="122" spans="1:32" s="235" customFormat="1" ht="45" outlineLevel="2">
      <c r="A122" s="334" t="s">
        <v>384</v>
      </c>
      <c r="B122" s="288" t="s">
        <v>385</v>
      </c>
      <c r="C122" s="336" t="s">
        <v>224</v>
      </c>
      <c r="D122" s="337">
        <v>1</v>
      </c>
      <c r="E122" s="282">
        <v>1863000</v>
      </c>
      <c r="F122" s="315">
        <f t="shared" si="79"/>
        <v>1863000</v>
      </c>
      <c r="G122" s="658"/>
      <c r="H122" s="246">
        <f t="shared" si="51"/>
        <v>0</v>
      </c>
      <c r="I122" s="334" t="s">
        <v>384</v>
      </c>
      <c r="J122" s="288" t="s">
        <v>385</v>
      </c>
      <c r="K122" s="336" t="s">
        <v>224</v>
      </c>
      <c r="L122" s="337">
        <v>1</v>
      </c>
      <c r="M122" s="282">
        <v>710243</v>
      </c>
      <c r="N122" s="315">
        <f t="shared" si="86"/>
        <v>710243</v>
      </c>
      <c r="O122" s="658"/>
      <c r="P122" s="246">
        <f t="shared" si="53"/>
        <v>0</v>
      </c>
      <c r="Q122" s="334" t="s">
        <v>384</v>
      </c>
      <c r="R122" s="288" t="s">
        <v>385</v>
      </c>
      <c r="S122" s="336" t="s">
        <v>224</v>
      </c>
      <c r="T122" s="337">
        <v>1</v>
      </c>
      <c r="U122" s="282">
        <v>710963</v>
      </c>
      <c r="V122" s="315">
        <f t="shared" si="87"/>
        <v>710963</v>
      </c>
      <c r="W122" s="658"/>
      <c r="X122" s="246">
        <f t="shared" si="55"/>
        <v>0</v>
      </c>
      <c r="Y122" s="334" t="s">
        <v>384</v>
      </c>
      <c r="Z122" s="288" t="s">
        <v>385</v>
      </c>
      <c r="AA122" s="336" t="s">
        <v>224</v>
      </c>
      <c r="AB122" s="337">
        <v>1</v>
      </c>
      <c r="AC122" s="282">
        <v>721057</v>
      </c>
      <c r="AD122" s="315">
        <f t="shared" si="88"/>
        <v>721057</v>
      </c>
      <c r="AE122" s="658"/>
      <c r="AF122" s="246">
        <f t="shared" si="57"/>
        <v>0</v>
      </c>
    </row>
    <row r="123" spans="1:32" s="235" customFormat="1" ht="45" outlineLevel="2">
      <c r="A123" s="334" t="s">
        <v>386</v>
      </c>
      <c r="B123" s="288" t="s">
        <v>387</v>
      </c>
      <c r="C123" s="336" t="s">
        <v>104</v>
      </c>
      <c r="D123" s="333">
        <v>12</v>
      </c>
      <c r="E123" s="282">
        <v>36225</v>
      </c>
      <c r="F123" s="315">
        <f t="shared" si="79"/>
        <v>434700</v>
      </c>
      <c r="G123" s="658"/>
      <c r="H123" s="246">
        <f t="shared" si="51"/>
        <v>0</v>
      </c>
      <c r="I123" s="334" t="s">
        <v>386</v>
      </c>
      <c r="J123" s="288" t="s">
        <v>387</v>
      </c>
      <c r="K123" s="336" t="s">
        <v>104</v>
      </c>
      <c r="L123" s="333">
        <v>12</v>
      </c>
      <c r="M123" s="282">
        <v>29565</v>
      </c>
      <c r="N123" s="315">
        <f t="shared" si="86"/>
        <v>354780</v>
      </c>
      <c r="O123" s="658"/>
      <c r="P123" s="246">
        <f t="shared" si="53"/>
        <v>0</v>
      </c>
      <c r="Q123" s="334" t="s">
        <v>386</v>
      </c>
      <c r="R123" s="288" t="s">
        <v>387</v>
      </c>
      <c r="S123" s="336" t="s">
        <v>104</v>
      </c>
      <c r="T123" s="333">
        <v>12</v>
      </c>
      <c r="U123" s="282">
        <v>29595</v>
      </c>
      <c r="V123" s="315">
        <f t="shared" si="87"/>
        <v>355140</v>
      </c>
      <c r="W123" s="658"/>
      <c r="X123" s="246">
        <f t="shared" si="55"/>
        <v>0</v>
      </c>
      <c r="Y123" s="334" t="s">
        <v>386</v>
      </c>
      <c r="Z123" s="288" t="s">
        <v>387</v>
      </c>
      <c r="AA123" s="336" t="s">
        <v>104</v>
      </c>
      <c r="AB123" s="333">
        <v>12</v>
      </c>
      <c r="AC123" s="282">
        <v>30015</v>
      </c>
      <c r="AD123" s="315">
        <f t="shared" si="88"/>
        <v>360180</v>
      </c>
      <c r="AE123" s="658"/>
      <c r="AF123" s="246">
        <f t="shared" si="57"/>
        <v>0</v>
      </c>
    </row>
    <row r="124" spans="1:32" s="235" customFormat="1" ht="75" outlineLevel="2">
      <c r="A124" s="334" t="s">
        <v>388</v>
      </c>
      <c r="B124" s="338" t="s">
        <v>389</v>
      </c>
      <c r="C124" s="336" t="s">
        <v>224</v>
      </c>
      <c r="D124" s="333">
        <v>1</v>
      </c>
      <c r="E124" s="282">
        <v>93138500</v>
      </c>
      <c r="F124" s="315">
        <f t="shared" si="79"/>
        <v>93138500</v>
      </c>
      <c r="G124" s="658"/>
      <c r="H124" s="246">
        <f t="shared" si="51"/>
        <v>0</v>
      </c>
      <c r="I124" s="334" t="s">
        <v>388</v>
      </c>
      <c r="J124" s="338" t="s">
        <v>389</v>
      </c>
      <c r="K124" s="336" t="s">
        <v>224</v>
      </c>
      <c r="L124" s="333">
        <v>1</v>
      </c>
      <c r="M124" s="282">
        <v>138000000</v>
      </c>
      <c r="N124" s="315">
        <f t="shared" si="86"/>
        <v>138000000</v>
      </c>
      <c r="O124" s="658"/>
      <c r="P124" s="246">
        <f t="shared" si="53"/>
        <v>0</v>
      </c>
      <c r="Q124" s="334" t="s">
        <v>388</v>
      </c>
      <c r="R124" s="338" t="s">
        <v>389</v>
      </c>
      <c r="S124" s="336" t="s">
        <v>224</v>
      </c>
      <c r="T124" s="333">
        <v>1</v>
      </c>
      <c r="U124" s="282">
        <v>134096001</v>
      </c>
      <c r="V124" s="315">
        <f t="shared" si="87"/>
        <v>134096001</v>
      </c>
      <c r="W124" s="658"/>
      <c r="X124" s="246">
        <f t="shared" si="55"/>
        <v>0</v>
      </c>
      <c r="Y124" s="334" t="s">
        <v>388</v>
      </c>
      <c r="Z124" s="338" t="s">
        <v>389</v>
      </c>
      <c r="AA124" s="336" t="s">
        <v>224</v>
      </c>
      <c r="AB124" s="333">
        <v>1</v>
      </c>
      <c r="AC124" s="282">
        <v>136000000</v>
      </c>
      <c r="AD124" s="315">
        <f t="shared" si="88"/>
        <v>136000000</v>
      </c>
      <c r="AE124" s="658"/>
      <c r="AF124" s="246">
        <f t="shared" si="57"/>
        <v>0</v>
      </c>
    </row>
    <row r="125" spans="1:32" s="235" customFormat="1" ht="75" outlineLevel="2">
      <c r="A125" s="334" t="s">
        <v>390</v>
      </c>
      <c r="B125" s="335" t="s">
        <v>391</v>
      </c>
      <c r="C125" s="336" t="s">
        <v>224</v>
      </c>
      <c r="D125" s="333">
        <v>1</v>
      </c>
      <c r="E125" s="282">
        <v>10235000</v>
      </c>
      <c r="F125" s="315">
        <f t="shared" si="79"/>
        <v>10235000</v>
      </c>
      <c r="G125" s="658"/>
      <c r="H125" s="246">
        <f t="shared" si="51"/>
        <v>0</v>
      </c>
      <c r="I125" s="334" t="s">
        <v>390</v>
      </c>
      <c r="J125" s="335" t="s">
        <v>391</v>
      </c>
      <c r="K125" s="336" t="s">
        <v>224</v>
      </c>
      <c r="L125" s="333">
        <v>1</v>
      </c>
      <c r="M125" s="282">
        <v>14000000</v>
      </c>
      <c r="N125" s="315">
        <f t="shared" si="86"/>
        <v>14000000</v>
      </c>
      <c r="O125" s="658"/>
      <c r="P125" s="246">
        <f t="shared" si="53"/>
        <v>0</v>
      </c>
      <c r="Q125" s="334" t="s">
        <v>390</v>
      </c>
      <c r="R125" s="335" t="s">
        <v>391</v>
      </c>
      <c r="S125" s="336" t="s">
        <v>224</v>
      </c>
      <c r="T125" s="333">
        <v>1</v>
      </c>
      <c r="U125" s="282">
        <v>13661031</v>
      </c>
      <c r="V125" s="315">
        <f t="shared" si="87"/>
        <v>13661031</v>
      </c>
      <c r="W125" s="658"/>
      <c r="X125" s="246">
        <f t="shared" si="55"/>
        <v>0</v>
      </c>
      <c r="Y125" s="334" t="s">
        <v>390</v>
      </c>
      <c r="Z125" s="335" t="s">
        <v>391</v>
      </c>
      <c r="AA125" s="336" t="s">
        <v>224</v>
      </c>
      <c r="AB125" s="333">
        <v>1</v>
      </c>
      <c r="AC125" s="282">
        <v>13855001</v>
      </c>
      <c r="AD125" s="315">
        <f t="shared" si="88"/>
        <v>13855001</v>
      </c>
      <c r="AE125" s="658"/>
      <c r="AF125" s="246">
        <f t="shared" si="57"/>
        <v>0</v>
      </c>
    </row>
    <row r="126" spans="1:32" s="235" customFormat="1" ht="120" outlineLevel="2">
      <c r="A126" s="334" t="s">
        <v>392</v>
      </c>
      <c r="B126" s="335" t="s">
        <v>393</v>
      </c>
      <c r="C126" s="336" t="s">
        <v>224</v>
      </c>
      <c r="D126" s="333">
        <v>1</v>
      </c>
      <c r="E126" s="282">
        <v>16376000</v>
      </c>
      <c r="F126" s="315">
        <f t="shared" si="79"/>
        <v>16376000</v>
      </c>
      <c r="G126" s="658"/>
      <c r="H126" s="246">
        <f t="shared" si="51"/>
        <v>0</v>
      </c>
      <c r="I126" s="334" t="s">
        <v>392</v>
      </c>
      <c r="J126" s="335" t="s">
        <v>393</v>
      </c>
      <c r="K126" s="336" t="s">
        <v>224</v>
      </c>
      <c r="L126" s="333">
        <v>1</v>
      </c>
      <c r="M126" s="282">
        <v>33000000</v>
      </c>
      <c r="N126" s="315">
        <f t="shared" si="86"/>
        <v>33000000</v>
      </c>
      <c r="O126" s="658"/>
      <c r="P126" s="246">
        <f t="shared" si="53"/>
        <v>0</v>
      </c>
      <c r="Q126" s="334" t="s">
        <v>392</v>
      </c>
      <c r="R126" s="335" t="s">
        <v>393</v>
      </c>
      <c r="S126" s="336" t="s">
        <v>224</v>
      </c>
      <c r="T126" s="333">
        <v>1</v>
      </c>
      <c r="U126" s="282">
        <v>32509901</v>
      </c>
      <c r="V126" s="315">
        <f t="shared" si="87"/>
        <v>32509901</v>
      </c>
      <c r="W126" s="658"/>
      <c r="X126" s="246">
        <f t="shared" si="55"/>
        <v>0</v>
      </c>
      <c r="Y126" s="334" t="s">
        <v>392</v>
      </c>
      <c r="Z126" s="335" t="s">
        <v>393</v>
      </c>
      <c r="AA126" s="336" t="s">
        <v>224</v>
      </c>
      <c r="AB126" s="333">
        <v>1</v>
      </c>
      <c r="AC126" s="282">
        <v>32971501</v>
      </c>
      <c r="AD126" s="315">
        <f t="shared" si="88"/>
        <v>32971501</v>
      </c>
      <c r="AE126" s="658"/>
      <c r="AF126" s="246">
        <f t="shared" si="57"/>
        <v>0</v>
      </c>
    </row>
    <row r="127" spans="1:32" s="235" customFormat="1" ht="90" outlineLevel="2">
      <c r="A127" s="334" t="s">
        <v>394</v>
      </c>
      <c r="B127" s="335" t="s">
        <v>395</v>
      </c>
      <c r="C127" s="336" t="s">
        <v>104</v>
      </c>
      <c r="D127" s="333">
        <v>42</v>
      </c>
      <c r="E127" s="282">
        <v>818800</v>
      </c>
      <c r="F127" s="315">
        <f t="shared" si="79"/>
        <v>34389600</v>
      </c>
      <c r="G127" s="658"/>
      <c r="H127" s="246">
        <f t="shared" si="51"/>
        <v>0</v>
      </c>
      <c r="I127" s="334" t="s">
        <v>394</v>
      </c>
      <c r="J127" s="335" t="s">
        <v>395</v>
      </c>
      <c r="K127" s="336" t="s">
        <v>104</v>
      </c>
      <c r="L127" s="333">
        <v>42</v>
      </c>
      <c r="M127" s="282">
        <v>85589</v>
      </c>
      <c r="N127" s="315">
        <f t="shared" si="86"/>
        <v>3594738</v>
      </c>
      <c r="O127" s="658"/>
      <c r="P127" s="246">
        <f t="shared" si="53"/>
        <v>0</v>
      </c>
      <c r="Q127" s="334" t="s">
        <v>394</v>
      </c>
      <c r="R127" s="335" t="s">
        <v>395</v>
      </c>
      <c r="S127" s="336" t="s">
        <v>104</v>
      </c>
      <c r="T127" s="333">
        <v>42</v>
      </c>
      <c r="U127" s="282">
        <v>85675</v>
      </c>
      <c r="V127" s="315">
        <f t="shared" si="87"/>
        <v>3598350</v>
      </c>
      <c r="W127" s="658"/>
      <c r="X127" s="246">
        <f t="shared" si="55"/>
        <v>0</v>
      </c>
      <c r="Y127" s="334" t="s">
        <v>394</v>
      </c>
      <c r="Z127" s="335" t="s">
        <v>395</v>
      </c>
      <c r="AA127" s="336" t="s">
        <v>104</v>
      </c>
      <c r="AB127" s="333">
        <v>42</v>
      </c>
      <c r="AC127" s="282">
        <v>86891</v>
      </c>
      <c r="AD127" s="315">
        <f t="shared" si="88"/>
        <v>3649422</v>
      </c>
      <c r="AE127" s="658"/>
      <c r="AF127" s="246">
        <f t="shared" si="57"/>
        <v>0</v>
      </c>
    </row>
    <row r="128" spans="1:32" s="235" customFormat="1" ht="300" outlineLevel="2">
      <c r="A128" s="334" t="s">
        <v>396</v>
      </c>
      <c r="B128" s="338" t="s">
        <v>397</v>
      </c>
      <c r="C128" s="336" t="s">
        <v>224</v>
      </c>
      <c r="D128" s="333">
        <v>1</v>
      </c>
      <c r="E128" s="282">
        <v>15525000</v>
      </c>
      <c r="F128" s="315">
        <f t="shared" si="79"/>
        <v>15525000</v>
      </c>
      <c r="G128" s="658"/>
      <c r="H128" s="246">
        <f t="shared" si="51"/>
        <v>0</v>
      </c>
      <c r="I128" s="334" t="s">
        <v>396</v>
      </c>
      <c r="J128" s="338" t="s">
        <v>397</v>
      </c>
      <c r="K128" s="336" t="s">
        <v>224</v>
      </c>
      <c r="L128" s="333">
        <v>1</v>
      </c>
      <c r="M128" s="282">
        <v>3384485</v>
      </c>
      <c r="N128" s="315">
        <f t="shared" si="86"/>
        <v>3384485</v>
      </c>
      <c r="O128" s="658"/>
      <c r="P128" s="246">
        <f t="shared" si="53"/>
        <v>0</v>
      </c>
      <c r="Q128" s="334" t="s">
        <v>396</v>
      </c>
      <c r="R128" s="338" t="s">
        <v>397</v>
      </c>
      <c r="S128" s="336" t="s">
        <v>224</v>
      </c>
      <c r="T128" s="333">
        <v>1</v>
      </c>
      <c r="U128" s="282">
        <v>3387921</v>
      </c>
      <c r="V128" s="315">
        <f t="shared" si="87"/>
        <v>3387921</v>
      </c>
      <c r="W128" s="658"/>
      <c r="X128" s="246">
        <f t="shared" si="55"/>
        <v>0</v>
      </c>
      <c r="Y128" s="334" t="s">
        <v>396</v>
      </c>
      <c r="Z128" s="338" t="s">
        <v>397</v>
      </c>
      <c r="AA128" s="336" t="s">
        <v>224</v>
      </c>
      <c r="AB128" s="333">
        <v>1</v>
      </c>
      <c r="AC128" s="282">
        <v>3436025</v>
      </c>
      <c r="AD128" s="315">
        <f t="shared" si="88"/>
        <v>3436025</v>
      </c>
      <c r="AE128" s="658"/>
      <c r="AF128" s="246">
        <f t="shared" si="57"/>
        <v>0</v>
      </c>
    </row>
    <row r="129" spans="1:32" s="235" customFormat="1" ht="90" outlineLevel="2">
      <c r="A129" s="334" t="s">
        <v>398</v>
      </c>
      <c r="B129" s="338" t="s">
        <v>399</v>
      </c>
      <c r="C129" s="332" t="s">
        <v>400</v>
      </c>
      <c r="D129" s="339">
        <v>73</v>
      </c>
      <c r="E129" s="340">
        <v>82800</v>
      </c>
      <c r="F129" s="341">
        <f t="shared" si="79"/>
        <v>6044400</v>
      </c>
      <c r="G129" s="658"/>
      <c r="H129" s="246">
        <f t="shared" si="51"/>
        <v>0</v>
      </c>
      <c r="I129" s="334" t="s">
        <v>398</v>
      </c>
      <c r="J129" s="338" t="s">
        <v>399</v>
      </c>
      <c r="K129" s="332" t="s">
        <v>400</v>
      </c>
      <c r="L129" s="339">
        <v>73</v>
      </c>
      <c r="M129" s="340">
        <v>51483</v>
      </c>
      <c r="N129" s="341">
        <f t="shared" si="86"/>
        <v>3758259</v>
      </c>
      <c r="O129" s="658"/>
      <c r="P129" s="246">
        <f t="shared" si="53"/>
        <v>0</v>
      </c>
      <c r="Q129" s="334" t="s">
        <v>398</v>
      </c>
      <c r="R129" s="338" t="s">
        <v>399</v>
      </c>
      <c r="S129" s="332" t="s">
        <v>400</v>
      </c>
      <c r="T129" s="339">
        <v>73</v>
      </c>
      <c r="U129" s="340">
        <v>51535</v>
      </c>
      <c r="V129" s="341">
        <f t="shared" si="87"/>
        <v>3762055</v>
      </c>
      <c r="W129" s="658"/>
      <c r="X129" s="246">
        <f t="shared" si="55"/>
        <v>0</v>
      </c>
      <c r="Y129" s="334" t="s">
        <v>398</v>
      </c>
      <c r="Z129" s="338" t="s">
        <v>399</v>
      </c>
      <c r="AA129" s="332" t="s">
        <v>400</v>
      </c>
      <c r="AB129" s="339">
        <v>73</v>
      </c>
      <c r="AC129" s="340">
        <v>52265</v>
      </c>
      <c r="AD129" s="341">
        <f t="shared" si="88"/>
        <v>3815345</v>
      </c>
      <c r="AE129" s="658"/>
      <c r="AF129" s="246">
        <f t="shared" si="57"/>
        <v>0</v>
      </c>
    </row>
    <row r="130" spans="1:32" s="235" customFormat="1" ht="90" outlineLevel="2">
      <c r="A130" s="334" t="s">
        <v>401</v>
      </c>
      <c r="B130" s="338" t="s">
        <v>402</v>
      </c>
      <c r="C130" s="332" t="s">
        <v>400</v>
      </c>
      <c r="D130" s="339">
        <v>37</v>
      </c>
      <c r="E130" s="340">
        <v>102465</v>
      </c>
      <c r="F130" s="341">
        <f t="shared" si="79"/>
        <v>3791205</v>
      </c>
      <c r="G130" s="658"/>
      <c r="H130" s="246">
        <f t="shared" si="51"/>
        <v>0</v>
      </c>
      <c r="I130" s="334" t="s">
        <v>401</v>
      </c>
      <c r="J130" s="338" t="s">
        <v>402</v>
      </c>
      <c r="K130" s="332" t="s">
        <v>400</v>
      </c>
      <c r="L130" s="339">
        <v>37</v>
      </c>
      <c r="M130" s="340">
        <v>53689</v>
      </c>
      <c r="N130" s="341">
        <f t="shared" si="86"/>
        <v>1986493</v>
      </c>
      <c r="O130" s="658"/>
      <c r="P130" s="246">
        <f t="shared" si="53"/>
        <v>0</v>
      </c>
      <c r="Q130" s="334" t="s">
        <v>401</v>
      </c>
      <c r="R130" s="338" t="s">
        <v>402</v>
      </c>
      <c r="S130" s="332" t="s">
        <v>400</v>
      </c>
      <c r="T130" s="339">
        <v>37</v>
      </c>
      <c r="U130" s="340">
        <v>53743</v>
      </c>
      <c r="V130" s="341">
        <f t="shared" si="87"/>
        <v>1988491</v>
      </c>
      <c r="W130" s="658"/>
      <c r="X130" s="246">
        <f t="shared" si="55"/>
        <v>0</v>
      </c>
      <c r="Y130" s="334" t="s">
        <v>401</v>
      </c>
      <c r="Z130" s="338" t="s">
        <v>402</v>
      </c>
      <c r="AA130" s="332" t="s">
        <v>400</v>
      </c>
      <c r="AB130" s="339">
        <v>37</v>
      </c>
      <c r="AC130" s="340">
        <v>54505</v>
      </c>
      <c r="AD130" s="341">
        <f t="shared" si="88"/>
        <v>2016685</v>
      </c>
      <c r="AE130" s="658"/>
      <c r="AF130" s="246">
        <f t="shared" si="57"/>
        <v>0</v>
      </c>
    </row>
    <row r="131" spans="1:32" s="235" customFormat="1" ht="45" outlineLevel="2">
      <c r="A131" s="334" t="s">
        <v>403</v>
      </c>
      <c r="B131" s="338" t="s">
        <v>404</v>
      </c>
      <c r="C131" s="332" t="s">
        <v>400</v>
      </c>
      <c r="D131" s="339">
        <v>440</v>
      </c>
      <c r="E131" s="340">
        <v>15525</v>
      </c>
      <c r="F131" s="341">
        <f t="shared" si="79"/>
        <v>6831000</v>
      </c>
      <c r="G131" s="658"/>
      <c r="H131" s="246">
        <f t="shared" si="51"/>
        <v>0</v>
      </c>
      <c r="I131" s="334" t="s">
        <v>403</v>
      </c>
      <c r="J131" s="338" t="s">
        <v>404</v>
      </c>
      <c r="K131" s="332" t="s">
        <v>400</v>
      </c>
      <c r="L131" s="339">
        <v>440</v>
      </c>
      <c r="M131" s="340">
        <v>17023</v>
      </c>
      <c r="N131" s="341">
        <f t="shared" si="86"/>
        <v>7490120</v>
      </c>
      <c r="O131" s="658"/>
      <c r="P131" s="246">
        <f t="shared" si="53"/>
        <v>0</v>
      </c>
      <c r="Q131" s="334" t="s">
        <v>403</v>
      </c>
      <c r="R131" s="338" t="s">
        <v>404</v>
      </c>
      <c r="S131" s="332" t="s">
        <v>400</v>
      </c>
      <c r="T131" s="339">
        <v>440</v>
      </c>
      <c r="U131" s="340">
        <v>17041</v>
      </c>
      <c r="V131" s="341">
        <f t="shared" si="87"/>
        <v>7498040</v>
      </c>
      <c r="W131" s="658"/>
      <c r="X131" s="246">
        <f t="shared" si="55"/>
        <v>0</v>
      </c>
      <c r="Y131" s="334" t="s">
        <v>403</v>
      </c>
      <c r="Z131" s="338" t="s">
        <v>404</v>
      </c>
      <c r="AA131" s="332" t="s">
        <v>400</v>
      </c>
      <c r="AB131" s="339">
        <v>440</v>
      </c>
      <c r="AC131" s="340">
        <v>17281</v>
      </c>
      <c r="AD131" s="341">
        <f t="shared" si="88"/>
        <v>7603640</v>
      </c>
      <c r="AE131" s="658"/>
      <c r="AF131" s="246">
        <f t="shared" si="57"/>
        <v>0</v>
      </c>
    </row>
    <row r="132" spans="1:32" s="235" customFormat="1" ht="45" outlineLevel="2">
      <c r="A132" s="334" t="s">
        <v>405</v>
      </c>
      <c r="B132" s="338" t="s">
        <v>406</v>
      </c>
      <c r="C132" s="332" t="s">
        <v>400</v>
      </c>
      <c r="D132" s="339">
        <v>75</v>
      </c>
      <c r="E132" s="340">
        <v>18630</v>
      </c>
      <c r="F132" s="341">
        <f t="shared" si="79"/>
        <v>1397250</v>
      </c>
      <c r="G132" s="658"/>
      <c r="H132" s="246">
        <f t="shared" si="51"/>
        <v>0</v>
      </c>
      <c r="I132" s="334" t="s">
        <v>405</v>
      </c>
      <c r="J132" s="338" t="s">
        <v>406</v>
      </c>
      <c r="K132" s="332" t="s">
        <v>400</v>
      </c>
      <c r="L132" s="339">
        <v>75</v>
      </c>
      <c r="M132" s="340">
        <v>12429</v>
      </c>
      <c r="N132" s="341">
        <f t="shared" si="86"/>
        <v>932175</v>
      </c>
      <c r="O132" s="658"/>
      <c r="P132" s="246">
        <f t="shared" si="53"/>
        <v>0</v>
      </c>
      <c r="Q132" s="334" t="s">
        <v>405</v>
      </c>
      <c r="R132" s="338" t="s">
        <v>406</v>
      </c>
      <c r="S132" s="332" t="s">
        <v>400</v>
      </c>
      <c r="T132" s="339">
        <v>75</v>
      </c>
      <c r="U132" s="340">
        <v>12441</v>
      </c>
      <c r="V132" s="341">
        <f t="shared" si="87"/>
        <v>933075</v>
      </c>
      <c r="W132" s="658"/>
      <c r="X132" s="246">
        <f t="shared" si="55"/>
        <v>0</v>
      </c>
      <c r="Y132" s="334" t="s">
        <v>405</v>
      </c>
      <c r="Z132" s="338" t="s">
        <v>406</v>
      </c>
      <c r="AA132" s="332" t="s">
        <v>400</v>
      </c>
      <c r="AB132" s="339">
        <v>75</v>
      </c>
      <c r="AC132" s="340">
        <v>12617</v>
      </c>
      <c r="AD132" s="341">
        <f t="shared" si="88"/>
        <v>946275</v>
      </c>
      <c r="AE132" s="658"/>
      <c r="AF132" s="246">
        <f t="shared" si="57"/>
        <v>0</v>
      </c>
    </row>
    <row r="133" spans="1:32" s="235" customFormat="1" ht="45" outlineLevel="2">
      <c r="A133" s="334" t="s">
        <v>407</v>
      </c>
      <c r="B133" s="338" t="s">
        <v>408</v>
      </c>
      <c r="C133" s="332" t="s">
        <v>400</v>
      </c>
      <c r="D133" s="339">
        <v>24</v>
      </c>
      <c r="E133" s="340">
        <v>20700</v>
      </c>
      <c r="F133" s="341">
        <f t="shared" si="79"/>
        <v>496800</v>
      </c>
      <c r="G133" s="658"/>
      <c r="H133" s="246">
        <f t="shared" si="51"/>
        <v>0</v>
      </c>
      <c r="I133" s="334" t="s">
        <v>407</v>
      </c>
      <c r="J133" s="338" t="s">
        <v>408</v>
      </c>
      <c r="K133" s="332" t="s">
        <v>400</v>
      </c>
      <c r="L133" s="339">
        <v>24</v>
      </c>
      <c r="M133" s="340">
        <v>26537</v>
      </c>
      <c r="N133" s="341">
        <f t="shared" si="86"/>
        <v>636888</v>
      </c>
      <c r="O133" s="658"/>
      <c r="P133" s="246">
        <f t="shared" si="53"/>
        <v>0</v>
      </c>
      <c r="Q133" s="334" t="s">
        <v>407</v>
      </c>
      <c r="R133" s="338" t="s">
        <v>408</v>
      </c>
      <c r="S133" s="332" t="s">
        <v>400</v>
      </c>
      <c r="T133" s="339">
        <v>24</v>
      </c>
      <c r="U133" s="340">
        <v>26565</v>
      </c>
      <c r="V133" s="341">
        <f t="shared" si="87"/>
        <v>637560</v>
      </c>
      <c r="W133" s="658"/>
      <c r="X133" s="246">
        <f t="shared" si="55"/>
        <v>0</v>
      </c>
      <c r="Y133" s="334" t="s">
        <v>407</v>
      </c>
      <c r="Z133" s="338" t="s">
        <v>408</v>
      </c>
      <c r="AA133" s="332" t="s">
        <v>400</v>
      </c>
      <c r="AB133" s="339">
        <v>24</v>
      </c>
      <c r="AC133" s="340">
        <v>26941</v>
      </c>
      <c r="AD133" s="341">
        <f t="shared" si="88"/>
        <v>646584</v>
      </c>
      <c r="AE133" s="658"/>
      <c r="AF133" s="246">
        <f t="shared" si="57"/>
        <v>0</v>
      </c>
    </row>
    <row r="134" spans="1:32" s="235" customFormat="1" ht="45" outlineLevel="2">
      <c r="A134" s="334" t="s">
        <v>409</v>
      </c>
      <c r="B134" s="338" t="s">
        <v>410</v>
      </c>
      <c r="C134" s="332" t="s">
        <v>400</v>
      </c>
      <c r="D134" s="339">
        <v>503</v>
      </c>
      <c r="E134" s="340">
        <v>4140</v>
      </c>
      <c r="F134" s="341">
        <f t="shared" si="79"/>
        <v>2082420</v>
      </c>
      <c r="G134" s="658"/>
      <c r="H134" s="246">
        <f t="shared" si="51"/>
        <v>0</v>
      </c>
      <c r="I134" s="334" t="s">
        <v>409</v>
      </c>
      <c r="J134" s="338" t="s">
        <v>410</v>
      </c>
      <c r="K134" s="332" t="s">
        <v>400</v>
      </c>
      <c r="L134" s="339">
        <v>503</v>
      </c>
      <c r="M134" s="340">
        <v>11053</v>
      </c>
      <c r="N134" s="341">
        <f t="shared" si="86"/>
        <v>5559659</v>
      </c>
      <c r="O134" s="658"/>
      <c r="P134" s="246">
        <f t="shared" si="53"/>
        <v>0</v>
      </c>
      <c r="Q134" s="334" t="s">
        <v>409</v>
      </c>
      <c r="R134" s="338" t="s">
        <v>410</v>
      </c>
      <c r="S134" s="332" t="s">
        <v>400</v>
      </c>
      <c r="T134" s="339">
        <v>503</v>
      </c>
      <c r="U134" s="340">
        <v>11065</v>
      </c>
      <c r="V134" s="341">
        <f t="shared" si="87"/>
        <v>5565695</v>
      </c>
      <c r="W134" s="658"/>
      <c r="X134" s="246">
        <f t="shared" si="55"/>
        <v>0</v>
      </c>
      <c r="Y134" s="334" t="s">
        <v>409</v>
      </c>
      <c r="Z134" s="338" t="s">
        <v>410</v>
      </c>
      <c r="AA134" s="332" t="s">
        <v>400</v>
      </c>
      <c r="AB134" s="339">
        <v>503</v>
      </c>
      <c r="AC134" s="340">
        <v>11221</v>
      </c>
      <c r="AD134" s="341">
        <f t="shared" si="88"/>
        <v>5644163</v>
      </c>
      <c r="AE134" s="658"/>
      <c r="AF134" s="246">
        <f t="shared" si="57"/>
        <v>0</v>
      </c>
    </row>
    <row r="135" spans="1:32" s="235" customFormat="1" ht="30" outlineLevel="2">
      <c r="A135" s="334" t="s">
        <v>411</v>
      </c>
      <c r="B135" s="338" t="s">
        <v>412</v>
      </c>
      <c r="C135" s="332" t="s">
        <v>413</v>
      </c>
      <c r="D135" s="339">
        <v>27</v>
      </c>
      <c r="E135" s="340">
        <v>15525</v>
      </c>
      <c r="F135" s="341">
        <f t="shared" si="79"/>
        <v>419175</v>
      </c>
      <c r="G135" s="658"/>
      <c r="H135" s="246">
        <f t="shared" si="51"/>
        <v>0</v>
      </c>
      <c r="I135" s="334" t="s">
        <v>411</v>
      </c>
      <c r="J135" s="338" t="s">
        <v>412</v>
      </c>
      <c r="K135" s="332" t="s">
        <v>413</v>
      </c>
      <c r="L135" s="339">
        <v>27</v>
      </c>
      <c r="M135" s="340">
        <v>25631</v>
      </c>
      <c r="N135" s="341">
        <f t="shared" si="86"/>
        <v>692037</v>
      </c>
      <c r="O135" s="658"/>
      <c r="P135" s="246">
        <f t="shared" si="53"/>
        <v>0</v>
      </c>
      <c r="Q135" s="334" t="s">
        <v>411</v>
      </c>
      <c r="R135" s="338" t="s">
        <v>412</v>
      </c>
      <c r="S135" s="332" t="s">
        <v>413</v>
      </c>
      <c r="T135" s="339">
        <v>27</v>
      </c>
      <c r="U135" s="340">
        <v>25657</v>
      </c>
      <c r="V135" s="341">
        <f t="shared" si="87"/>
        <v>692739</v>
      </c>
      <c r="W135" s="658"/>
      <c r="X135" s="246">
        <f t="shared" si="55"/>
        <v>0</v>
      </c>
      <c r="Y135" s="334" t="s">
        <v>411</v>
      </c>
      <c r="Z135" s="338" t="s">
        <v>412</v>
      </c>
      <c r="AA135" s="332" t="s">
        <v>413</v>
      </c>
      <c r="AB135" s="339">
        <v>27</v>
      </c>
      <c r="AC135" s="340">
        <v>26021</v>
      </c>
      <c r="AD135" s="341">
        <f t="shared" si="88"/>
        <v>702567</v>
      </c>
      <c r="AE135" s="658"/>
      <c r="AF135" s="246">
        <f t="shared" si="57"/>
        <v>0</v>
      </c>
    </row>
    <row r="136" spans="1:32" s="235" customFormat="1" ht="30" outlineLevel="2">
      <c r="A136" s="334" t="s">
        <v>414</v>
      </c>
      <c r="B136" s="338" t="s">
        <v>415</v>
      </c>
      <c r="C136" s="332" t="s">
        <v>413</v>
      </c>
      <c r="D136" s="339">
        <v>3</v>
      </c>
      <c r="E136" s="340">
        <v>31050</v>
      </c>
      <c r="F136" s="341">
        <f t="shared" si="79"/>
        <v>93150</v>
      </c>
      <c r="G136" s="658"/>
      <c r="H136" s="246">
        <f t="shared" ref="H136:H199" si="89">IF(AND(D136="",C136=""),"",IF(E136=0,1,0))</f>
        <v>0</v>
      </c>
      <c r="I136" s="334" t="s">
        <v>414</v>
      </c>
      <c r="J136" s="338" t="s">
        <v>415</v>
      </c>
      <c r="K136" s="332" t="s">
        <v>413</v>
      </c>
      <c r="L136" s="339">
        <v>3</v>
      </c>
      <c r="M136" s="340">
        <v>29361</v>
      </c>
      <c r="N136" s="341">
        <f t="shared" si="86"/>
        <v>88083</v>
      </c>
      <c r="O136" s="658"/>
      <c r="P136" s="246">
        <f t="shared" ref="P136:P199" si="90">IF(AND(L136="",K136=""),"",IF(M136=0,1,0))</f>
        <v>0</v>
      </c>
      <c r="Q136" s="334" t="s">
        <v>414</v>
      </c>
      <c r="R136" s="338" t="s">
        <v>415</v>
      </c>
      <c r="S136" s="332" t="s">
        <v>413</v>
      </c>
      <c r="T136" s="339">
        <v>3</v>
      </c>
      <c r="U136" s="340">
        <v>29391</v>
      </c>
      <c r="V136" s="341">
        <f t="shared" si="87"/>
        <v>88173</v>
      </c>
      <c r="W136" s="658"/>
      <c r="X136" s="246">
        <f t="shared" ref="X136:X199" si="91">IF(AND(T136="",S136=""),"",IF(U136=0,1,0))</f>
        <v>0</v>
      </c>
      <c r="Y136" s="334" t="s">
        <v>414</v>
      </c>
      <c r="Z136" s="338" t="s">
        <v>415</v>
      </c>
      <c r="AA136" s="332" t="s">
        <v>413</v>
      </c>
      <c r="AB136" s="339">
        <v>3</v>
      </c>
      <c r="AC136" s="340">
        <v>29807</v>
      </c>
      <c r="AD136" s="341">
        <f t="shared" si="88"/>
        <v>89421</v>
      </c>
      <c r="AE136" s="658"/>
      <c r="AF136" s="246">
        <f t="shared" ref="AF136:AF199" si="92">IF(AND(AB136="",AA136=""),"",IF(AC136=0,1,0))</f>
        <v>0</v>
      </c>
    </row>
    <row r="137" spans="1:32" s="235" customFormat="1" ht="30" outlineLevel="2">
      <c r="A137" s="334" t="s">
        <v>416</v>
      </c>
      <c r="B137" s="338" t="s">
        <v>417</v>
      </c>
      <c r="C137" s="332" t="s">
        <v>413</v>
      </c>
      <c r="D137" s="339">
        <v>18</v>
      </c>
      <c r="E137" s="340">
        <v>20700</v>
      </c>
      <c r="F137" s="341">
        <f t="shared" si="79"/>
        <v>372600</v>
      </c>
      <c r="G137" s="658"/>
      <c r="H137" s="246">
        <f t="shared" si="89"/>
        <v>0</v>
      </c>
      <c r="I137" s="334" t="s">
        <v>416</v>
      </c>
      <c r="J137" s="338" t="s">
        <v>417</v>
      </c>
      <c r="K137" s="332" t="s">
        <v>413</v>
      </c>
      <c r="L137" s="339">
        <v>18</v>
      </c>
      <c r="M137" s="340">
        <v>30157</v>
      </c>
      <c r="N137" s="341">
        <f t="shared" si="86"/>
        <v>542826</v>
      </c>
      <c r="O137" s="658"/>
      <c r="P137" s="246">
        <f t="shared" si="90"/>
        <v>0</v>
      </c>
      <c r="Q137" s="334" t="s">
        <v>416</v>
      </c>
      <c r="R137" s="338" t="s">
        <v>417</v>
      </c>
      <c r="S137" s="332" t="s">
        <v>413</v>
      </c>
      <c r="T137" s="339">
        <v>18</v>
      </c>
      <c r="U137" s="340">
        <v>30187</v>
      </c>
      <c r="V137" s="341">
        <f t="shared" si="87"/>
        <v>543366</v>
      </c>
      <c r="W137" s="658"/>
      <c r="X137" s="246">
        <f t="shared" si="91"/>
        <v>0</v>
      </c>
      <c r="Y137" s="334" t="s">
        <v>416</v>
      </c>
      <c r="Z137" s="338" t="s">
        <v>417</v>
      </c>
      <c r="AA137" s="332" t="s">
        <v>413</v>
      </c>
      <c r="AB137" s="339">
        <v>18</v>
      </c>
      <c r="AC137" s="340">
        <v>30615</v>
      </c>
      <c r="AD137" s="341">
        <f t="shared" si="88"/>
        <v>551070</v>
      </c>
      <c r="AE137" s="658"/>
      <c r="AF137" s="246">
        <f t="shared" si="92"/>
        <v>0</v>
      </c>
    </row>
    <row r="138" spans="1:32" s="235" customFormat="1" ht="105" outlineLevel="2">
      <c r="A138" s="334" t="s">
        <v>418</v>
      </c>
      <c r="B138" s="338" t="s">
        <v>419</v>
      </c>
      <c r="C138" s="332" t="s">
        <v>400</v>
      </c>
      <c r="D138" s="339">
        <v>30</v>
      </c>
      <c r="E138" s="340">
        <v>62100</v>
      </c>
      <c r="F138" s="341">
        <f>ROUND(D138*E138,0)</f>
        <v>1863000</v>
      </c>
      <c r="G138" s="658"/>
      <c r="H138" s="246">
        <f t="shared" si="89"/>
        <v>0</v>
      </c>
      <c r="I138" s="334" t="s">
        <v>418</v>
      </c>
      <c r="J138" s="338" t="s">
        <v>419</v>
      </c>
      <c r="K138" s="332" t="s">
        <v>400</v>
      </c>
      <c r="L138" s="339">
        <v>30</v>
      </c>
      <c r="M138" s="340">
        <v>59725</v>
      </c>
      <c r="N138" s="341">
        <f>ROUND(L138*M138,0)</f>
        <v>1791750</v>
      </c>
      <c r="O138" s="658"/>
      <c r="P138" s="246">
        <f t="shared" si="90"/>
        <v>0</v>
      </c>
      <c r="Q138" s="334" t="s">
        <v>418</v>
      </c>
      <c r="R138" s="338" t="s">
        <v>419</v>
      </c>
      <c r="S138" s="332" t="s">
        <v>400</v>
      </c>
      <c r="T138" s="339">
        <v>30</v>
      </c>
      <c r="U138" s="340">
        <v>59785</v>
      </c>
      <c r="V138" s="341">
        <f>ROUND(T138*U138,0)</f>
        <v>1793550</v>
      </c>
      <c r="W138" s="658"/>
      <c r="X138" s="246">
        <f t="shared" si="91"/>
        <v>0</v>
      </c>
      <c r="Y138" s="334" t="s">
        <v>418</v>
      </c>
      <c r="Z138" s="338" t="s">
        <v>419</v>
      </c>
      <c r="AA138" s="332" t="s">
        <v>400</v>
      </c>
      <c r="AB138" s="339">
        <v>30</v>
      </c>
      <c r="AC138" s="340">
        <v>60633</v>
      </c>
      <c r="AD138" s="341">
        <f>ROUND(AB138*AC138,0)</f>
        <v>1818990</v>
      </c>
      <c r="AE138" s="658"/>
      <c r="AF138" s="246">
        <f t="shared" si="92"/>
        <v>0</v>
      </c>
    </row>
    <row r="139" spans="1:32" s="235" customFormat="1" ht="30" outlineLevel="2">
      <c r="A139" s="334" t="s">
        <v>420</v>
      </c>
      <c r="B139" s="338" t="s">
        <v>421</v>
      </c>
      <c r="C139" s="332" t="s">
        <v>413</v>
      </c>
      <c r="D139" s="339">
        <v>5</v>
      </c>
      <c r="E139" s="340">
        <v>15525</v>
      </c>
      <c r="F139" s="341">
        <f t="shared" si="79"/>
        <v>77625</v>
      </c>
      <c r="G139" s="658"/>
      <c r="H139" s="246">
        <f t="shared" si="89"/>
        <v>0</v>
      </c>
      <c r="I139" s="334" t="s">
        <v>420</v>
      </c>
      <c r="J139" s="338" t="s">
        <v>421</v>
      </c>
      <c r="K139" s="332" t="s">
        <v>413</v>
      </c>
      <c r="L139" s="339">
        <v>5</v>
      </c>
      <c r="M139" s="340">
        <v>9851</v>
      </c>
      <c r="N139" s="341">
        <f t="shared" ref="N139:N147" si="93">ROUND(L139*M139,0)</f>
        <v>49255</v>
      </c>
      <c r="O139" s="658"/>
      <c r="P139" s="246">
        <f t="shared" si="90"/>
        <v>0</v>
      </c>
      <c r="Q139" s="334" t="s">
        <v>420</v>
      </c>
      <c r="R139" s="338" t="s">
        <v>421</v>
      </c>
      <c r="S139" s="332" t="s">
        <v>413</v>
      </c>
      <c r="T139" s="339">
        <v>5</v>
      </c>
      <c r="U139" s="340">
        <v>9861</v>
      </c>
      <c r="V139" s="341">
        <f t="shared" ref="V139:V147" si="94">ROUND(T139*U139,0)</f>
        <v>49305</v>
      </c>
      <c r="W139" s="658"/>
      <c r="X139" s="246">
        <f t="shared" si="91"/>
        <v>0</v>
      </c>
      <c r="Y139" s="334" t="s">
        <v>420</v>
      </c>
      <c r="Z139" s="338" t="s">
        <v>421</v>
      </c>
      <c r="AA139" s="332" t="s">
        <v>413</v>
      </c>
      <c r="AB139" s="339">
        <v>5</v>
      </c>
      <c r="AC139" s="340">
        <v>9999</v>
      </c>
      <c r="AD139" s="341">
        <f t="shared" ref="AD139:AD147" si="95">ROUND(AB139*AC139,0)</f>
        <v>49995</v>
      </c>
      <c r="AE139" s="658"/>
      <c r="AF139" s="246">
        <f t="shared" si="92"/>
        <v>0</v>
      </c>
    </row>
    <row r="140" spans="1:32" s="235" customFormat="1" ht="210" outlineLevel="2">
      <c r="A140" s="334" t="s">
        <v>422</v>
      </c>
      <c r="B140" s="338" t="s">
        <v>423</v>
      </c>
      <c r="C140" s="332" t="s">
        <v>413</v>
      </c>
      <c r="D140" s="339">
        <v>1</v>
      </c>
      <c r="E140" s="340">
        <v>8280000</v>
      </c>
      <c r="F140" s="341">
        <f t="shared" si="79"/>
        <v>8280000</v>
      </c>
      <c r="G140" s="658"/>
      <c r="H140" s="246">
        <f t="shared" si="89"/>
        <v>0</v>
      </c>
      <c r="I140" s="334" t="s">
        <v>422</v>
      </c>
      <c r="J140" s="338" t="s">
        <v>423</v>
      </c>
      <c r="K140" s="332" t="s">
        <v>413</v>
      </c>
      <c r="L140" s="339">
        <v>1</v>
      </c>
      <c r="M140" s="340">
        <v>4378819</v>
      </c>
      <c r="N140" s="341">
        <f t="shared" si="93"/>
        <v>4378819</v>
      </c>
      <c r="O140" s="658"/>
      <c r="P140" s="246">
        <f t="shared" si="90"/>
        <v>0</v>
      </c>
      <c r="Q140" s="334" t="s">
        <v>422</v>
      </c>
      <c r="R140" s="338" t="s">
        <v>423</v>
      </c>
      <c r="S140" s="332" t="s">
        <v>413</v>
      </c>
      <c r="T140" s="339">
        <v>1</v>
      </c>
      <c r="U140" s="340">
        <v>4383265</v>
      </c>
      <c r="V140" s="341">
        <f t="shared" si="94"/>
        <v>4383265</v>
      </c>
      <c r="W140" s="658"/>
      <c r="X140" s="246">
        <f t="shared" si="91"/>
        <v>0</v>
      </c>
      <c r="Y140" s="334" t="s">
        <v>422</v>
      </c>
      <c r="Z140" s="338" t="s">
        <v>423</v>
      </c>
      <c r="AA140" s="332" t="s">
        <v>413</v>
      </c>
      <c r="AB140" s="339">
        <v>1</v>
      </c>
      <c r="AC140" s="340">
        <v>4445501</v>
      </c>
      <c r="AD140" s="341">
        <f t="shared" si="95"/>
        <v>4445501</v>
      </c>
      <c r="AE140" s="658"/>
      <c r="AF140" s="246">
        <f t="shared" si="92"/>
        <v>0</v>
      </c>
    </row>
    <row r="141" spans="1:32" s="235" customFormat="1" ht="45" outlineLevel="2">
      <c r="A141" s="334" t="s">
        <v>424</v>
      </c>
      <c r="B141" s="338" t="s">
        <v>425</v>
      </c>
      <c r="C141" s="332" t="s">
        <v>400</v>
      </c>
      <c r="D141" s="339">
        <v>58</v>
      </c>
      <c r="E141" s="340">
        <v>51750</v>
      </c>
      <c r="F141" s="341">
        <f t="shared" si="79"/>
        <v>3001500</v>
      </c>
      <c r="G141" s="658"/>
      <c r="H141" s="246">
        <f t="shared" si="89"/>
        <v>0</v>
      </c>
      <c r="I141" s="334" t="s">
        <v>424</v>
      </c>
      <c r="J141" s="338" t="s">
        <v>425</v>
      </c>
      <c r="K141" s="332" t="s">
        <v>400</v>
      </c>
      <c r="L141" s="339">
        <v>58</v>
      </c>
      <c r="M141" s="340">
        <v>49401</v>
      </c>
      <c r="N141" s="341">
        <f t="shared" si="93"/>
        <v>2865258</v>
      </c>
      <c r="O141" s="658"/>
      <c r="P141" s="246">
        <f t="shared" si="90"/>
        <v>0</v>
      </c>
      <c r="Q141" s="334" t="s">
        <v>424</v>
      </c>
      <c r="R141" s="338" t="s">
        <v>425</v>
      </c>
      <c r="S141" s="332" t="s">
        <v>400</v>
      </c>
      <c r="T141" s="339">
        <v>58</v>
      </c>
      <c r="U141" s="340">
        <v>49451</v>
      </c>
      <c r="V141" s="341">
        <f t="shared" si="94"/>
        <v>2868158</v>
      </c>
      <c r="W141" s="658"/>
      <c r="X141" s="246">
        <f t="shared" si="91"/>
        <v>0</v>
      </c>
      <c r="Y141" s="334" t="s">
        <v>424</v>
      </c>
      <c r="Z141" s="338" t="s">
        <v>425</v>
      </c>
      <c r="AA141" s="332" t="s">
        <v>400</v>
      </c>
      <c r="AB141" s="339">
        <v>58</v>
      </c>
      <c r="AC141" s="340">
        <v>50153</v>
      </c>
      <c r="AD141" s="341">
        <f t="shared" si="95"/>
        <v>2908874</v>
      </c>
      <c r="AE141" s="658"/>
      <c r="AF141" s="246">
        <f t="shared" si="92"/>
        <v>0</v>
      </c>
    </row>
    <row r="142" spans="1:32" s="235" customFormat="1" ht="75" outlineLevel="2">
      <c r="A142" s="334" t="s">
        <v>426</v>
      </c>
      <c r="B142" s="338" t="s">
        <v>427</v>
      </c>
      <c r="C142" s="332" t="s">
        <v>413</v>
      </c>
      <c r="D142" s="339">
        <v>1</v>
      </c>
      <c r="E142" s="340">
        <v>31050</v>
      </c>
      <c r="F142" s="341">
        <f t="shared" si="79"/>
        <v>31050</v>
      </c>
      <c r="G142" s="658"/>
      <c r="H142" s="246">
        <f t="shared" si="89"/>
        <v>0</v>
      </c>
      <c r="I142" s="334" t="s">
        <v>426</v>
      </c>
      <c r="J142" s="338" t="s">
        <v>427</v>
      </c>
      <c r="K142" s="332" t="s">
        <v>413</v>
      </c>
      <c r="L142" s="339">
        <v>1</v>
      </c>
      <c r="M142" s="340">
        <v>22339</v>
      </c>
      <c r="N142" s="341">
        <f t="shared" si="93"/>
        <v>22339</v>
      </c>
      <c r="O142" s="658"/>
      <c r="P142" s="246">
        <f t="shared" si="90"/>
        <v>0</v>
      </c>
      <c r="Q142" s="334" t="s">
        <v>426</v>
      </c>
      <c r="R142" s="338" t="s">
        <v>427</v>
      </c>
      <c r="S142" s="332" t="s">
        <v>413</v>
      </c>
      <c r="T142" s="339">
        <v>1</v>
      </c>
      <c r="U142" s="340">
        <v>22363</v>
      </c>
      <c r="V142" s="341">
        <f t="shared" si="94"/>
        <v>22363</v>
      </c>
      <c r="W142" s="658"/>
      <c r="X142" s="246">
        <f t="shared" si="91"/>
        <v>0</v>
      </c>
      <c r="Y142" s="334" t="s">
        <v>426</v>
      </c>
      <c r="Z142" s="338" t="s">
        <v>427</v>
      </c>
      <c r="AA142" s="332" t="s">
        <v>413</v>
      </c>
      <c r="AB142" s="339">
        <v>1</v>
      </c>
      <c r="AC142" s="340">
        <v>22679</v>
      </c>
      <c r="AD142" s="341">
        <f t="shared" si="95"/>
        <v>22679</v>
      </c>
      <c r="AE142" s="658"/>
      <c r="AF142" s="246">
        <f t="shared" si="92"/>
        <v>0</v>
      </c>
    </row>
    <row r="143" spans="1:32" s="235" customFormat="1" ht="30" outlineLevel="2">
      <c r="A143" s="334" t="s">
        <v>428</v>
      </c>
      <c r="B143" s="338" t="s">
        <v>429</v>
      </c>
      <c r="C143" s="332" t="s">
        <v>413</v>
      </c>
      <c r="D143" s="339">
        <v>6</v>
      </c>
      <c r="E143" s="340">
        <v>20700</v>
      </c>
      <c r="F143" s="341">
        <f t="shared" si="79"/>
        <v>124200</v>
      </c>
      <c r="G143" s="658"/>
      <c r="H143" s="246">
        <f t="shared" si="89"/>
        <v>0</v>
      </c>
      <c r="I143" s="334" t="s">
        <v>428</v>
      </c>
      <c r="J143" s="338" t="s">
        <v>429</v>
      </c>
      <c r="K143" s="332" t="s">
        <v>413</v>
      </c>
      <c r="L143" s="339">
        <v>6</v>
      </c>
      <c r="M143" s="340">
        <v>20323</v>
      </c>
      <c r="N143" s="341">
        <f t="shared" si="93"/>
        <v>121938</v>
      </c>
      <c r="O143" s="658"/>
      <c r="P143" s="246">
        <f t="shared" si="90"/>
        <v>0</v>
      </c>
      <c r="Q143" s="334" t="s">
        <v>428</v>
      </c>
      <c r="R143" s="338" t="s">
        <v>429</v>
      </c>
      <c r="S143" s="332" t="s">
        <v>413</v>
      </c>
      <c r="T143" s="339">
        <v>6</v>
      </c>
      <c r="U143" s="340">
        <v>20343</v>
      </c>
      <c r="V143" s="341">
        <f t="shared" si="94"/>
        <v>122058</v>
      </c>
      <c r="W143" s="658"/>
      <c r="X143" s="246">
        <f t="shared" si="91"/>
        <v>0</v>
      </c>
      <c r="Y143" s="334" t="s">
        <v>428</v>
      </c>
      <c r="Z143" s="338" t="s">
        <v>429</v>
      </c>
      <c r="AA143" s="332" t="s">
        <v>413</v>
      </c>
      <c r="AB143" s="339">
        <v>6</v>
      </c>
      <c r="AC143" s="340">
        <v>20631</v>
      </c>
      <c r="AD143" s="341">
        <f t="shared" si="95"/>
        <v>123786</v>
      </c>
      <c r="AE143" s="658"/>
      <c r="AF143" s="246">
        <f t="shared" si="92"/>
        <v>0</v>
      </c>
    </row>
    <row r="144" spans="1:32" s="235" customFormat="1" ht="120" outlineLevel="2">
      <c r="A144" s="334" t="s">
        <v>430</v>
      </c>
      <c r="B144" s="338" t="s">
        <v>431</v>
      </c>
      <c r="C144" s="332" t="s">
        <v>413</v>
      </c>
      <c r="D144" s="339">
        <v>4</v>
      </c>
      <c r="E144" s="340">
        <v>77625</v>
      </c>
      <c r="F144" s="341">
        <f t="shared" si="79"/>
        <v>310500</v>
      </c>
      <c r="G144" s="658"/>
      <c r="H144" s="246">
        <f t="shared" si="89"/>
        <v>0</v>
      </c>
      <c r="I144" s="334" t="s">
        <v>430</v>
      </c>
      <c r="J144" s="338" t="s">
        <v>431</v>
      </c>
      <c r="K144" s="332" t="s">
        <v>413</v>
      </c>
      <c r="L144" s="339">
        <v>4</v>
      </c>
      <c r="M144" s="340">
        <v>56565</v>
      </c>
      <c r="N144" s="341">
        <f t="shared" si="93"/>
        <v>226260</v>
      </c>
      <c r="O144" s="658"/>
      <c r="P144" s="246">
        <f t="shared" si="90"/>
        <v>0</v>
      </c>
      <c r="Q144" s="334" t="s">
        <v>430</v>
      </c>
      <c r="R144" s="338" t="s">
        <v>431</v>
      </c>
      <c r="S144" s="332" t="s">
        <v>413</v>
      </c>
      <c r="T144" s="339">
        <v>4</v>
      </c>
      <c r="U144" s="340">
        <v>56623</v>
      </c>
      <c r="V144" s="341">
        <f t="shared" si="94"/>
        <v>226492</v>
      </c>
      <c r="W144" s="658"/>
      <c r="X144" s="246">
        <f t="shared" si="91"/>
        <v>0</v>
      </c>
      <c r="Y144" s="334" t="s">
        <v>430</v>
      </c>
      <c r="Z144" s="338" t="s">
        <v>431</v>
      </c>
      <c r="AA144" s="332" t="s">
        <v>413</v>
      </c>
      <c r="AB144" s="339">
        <v>4</v>
      </c>
      <c r="AC144" s="340">
        <v>57425</v>
      </c>
      <c r="AD144" s="341">
        <f t="shared" si="95"/>
        <v>229700</v>
      </c>
      <c r="AE144" s="658"/>
      <c r="AF144" s="246">
        <f t="shared" si="92"/>
        <v>0</v>
      </c>
    </row>
    <row r="145" spans="1:32" s="235" customFormat="1" ht="120" outlineLevel="2">
      <c r="A145" s="334" t="s">
        <v>432</v>
      </c>
      <c r="B145" s="338" t="s">
        <v>433</v>
      </c>
      <c r="C145" s="332" t="s">
        <v>413</v>
      </c>
      <c r="D145" s="339">
        <v>7</v>
      </c>
      <c r="E145" s="340">
        <v>93150</v>
      </c>
      <c r="F145" s="341">
        <f t="shared" si="79"/>
        <v>652050</v>
      </c>
      <c r="G145" s="658"/>
      <c r="H145" s="246">
        <f t="shared" si="89"/>
        <v>0</v>
      </c>
      <c r="I145" s="334" t="s">
        <v>432</v>
      </c>
      <c r="J145" s="338" t="s">
        <v>433</v>
      </c>
      <c r="K145" s="332" t="s">
        <v>413</v>
      </c>
      <c r="L145" s="339">
        <v>7</v>
      </c>
      <c r="M145" s="340">
        <v>53261</v>
      </c>
      <c r="N145" s="341">
        <f t="shared" si="93"/>
        <v>372827</v>
      </c>
      <c r="O145" s="658"/>
      <c r="P145" s="246">
        <f t="shared" si="90"/>
        <v>0</v>
      </c>
      <c r="Q145" s="334" t="s">
        <v>432</v>
      </c>
      <c r="R145" s="338" t="s">
        <v>433</v>
      </c>
      <c r="S145" s="332" t="s">
        <v>413</v>
      </c>
      <c r="T145" s="339">
        <v>7</v>
      </c>
      <c r="U145" s="340">
        <v>53315</v>
      </c>
      <c r="V145" s="341">
        <f t="shared" si="94"/>
        <v>373205</v>
      </c>
      <c r="W145" s="658"/>
      <c r="X145" s="246">
        <f t="shared" si="91"/>
        <v>0</v>
      </c>
      <c r="Y145" s="334" t="s">
        <v>432</v>
      </c>
      <c r="Z145" s="338" t="s">
        <v>433</v>
      </c>
      <c r="AA145" s="332" t="s">
        <v>413</v>
      </c>
      <c r="AB145" s="339">
        <v>7</v>
      </c>
      <c r="AC145" s="340">
        <v>54071</v>
      </c>
      <c r="AD145" s="341">
        <f t="shared" si="95"/>
        <v>378497</v>
      </c>
      <c r="AE145" s="658"/>
      <c r="AF145" s="246">
        <f t="shared" si="92"/>
        <v>0</v>
      </c>
    </row>
    <row r="146" spans="1:32" s="235" customFormat="1" ht="120" outlineLevel="2">
      <c r="A146" s="334" t="s">
        <v>434</v>
      </c>
      <c r="B146" s="338" t="s">
        <v>435</v>
      </c>
      <c r="C146" s="332" t="s">
        <v>413</v>
      </c>
      <c r="D146" s="339">
        <v>8</v>
      </c>
      <c r="E146" s="340">
        <v>56925</v>
      </c>
      <c r="F146" s="341">
        <f t="shared" si="79"/>
        <v>455400</v>
      </c>
      <c r="G146" s="658"/>
      <c r="H146" s="246">
        <f t="shared" si="89"/>
        <v>0</v>
      </c>
      <c r="I146" s="334" t="s">
        <v>434</v>
      </c>
      <c r="J146" s="338" t="s">
        <v>435</v>
      </c>
      <c r="K146" s="332" t="s">
        <v>413</v>
      </c>
      <c r="L146" s="339">
        <v>8</v>
      </c>
      <c r="M146" s="340">
        <v>39281</v>
      </c>
      <c r="N146" s="341">
        <f t="shared" si="93"/>
        <v>314248</v>
      </c>
      <c r="O146" s="658"/>
      <c r="P146" s="246">
        <f t="shared" si="90"/>
        <v>0</v>
      </c>
      <c r="Q146" s="334" t="s">
        <v>434</v>
      </c>
      <c r="R146" s="338" t="s">
        <v>435</v>
      </c>
      <c r="S146" s="332" t="s">
        <v>413</v>
      </c>
      <c r="T146" s="339">
        <v>8</v>
      </c>
      <c r="U146" s="340">
        <v>39321</v>
      </c>
      <c r="V146" s="341">
        <f t="shared" si="94"/>
        <v>314568</v>
      </c>
      <c r="W146" s="658"/>
      <c r="X146" s="246">
        <f t="shared" si="91"/>
        <v>0</v>
      </c>
      <c r="Y146" s="334" t="s">
        <v>434</v>
      </c>
      <c r="Z146" s="338" t="s">
        <v>435</v>
      </c>
      <c r="AA146" s="332" t="s">
        <v>413</v>
      </c>
      <c r="AB146" s="339">
        <v>8</v>
      </c>
      <c r="AC146" s="340">
        <v>39879</v>
      </c>
      <c r="AD146" s="341">
        <f t="shared" si="95"/>
        <v>319032</v>
      </c>
      <c r="AE146" s="658"/>
      <c r="AF146" s="246">
        <f t="shared" si="92"/>
        <v>0</v>
      </c>
    </row>
    <row r="147" spans="1:32" s="235" customFormat="1" ht="105.75" outlineLevel="2" thickBot="1">
      <c r="A147" s="334" t="s">
        <v>436</v>
      </c>
      <c r="B147" s="338" t="s">
        <v>437</v>
      </c>
      <c r="C147" s="332" t="s">
        <v>413</v>
      </c>
      <c r="D147" s="339">
        <v>8</v>
      </c>
      <c r="E147" s="340">
        <v>72450</v>
      </c>
      <c r="F147" s="341">
        <f t="shared" si="79"/>
        <v>579600</v>
      </c>
      <c r="G147" s="660"/>
      <c r="H147" s="246">
        <f t="shared" si="89"/>
        <v>0</v>
      </c>
      <c r="I147" s="334" t="s">
        <v>436</v>
      </c>
      <c r="J147" s="338" t="s">
        <v>437</v>
      </c>
      <c r="K147" s="332" t="s">
        <v>413</v>
      </c>
      <c r="L147" s="339">
        <v>8</v>
      </c>
      <c r="M147" s="340">
        <v>50729</v>
      </c>
      <c r="N147" s="341">
        <f t="shared" si="93"/>
        <v>405832</v>
      </c>
      <c r="O147" s="660"/>
      <c r="P147" s="246">
        <f t="shared" si="90"/>
        <v>0</v>
      </c>
      <c r="Q147" s="334" t="s">
        <v>436</v>
      </c>
      <c r="R147" s="338" t="s">
        <v>437</v>
      </c>
      <c r="S147" s="332" t="s">
        <v>413</v>
      </c>
      <c r="T147" s="339">
        <v>8</v>
      </c>
      <c r="U147" s="340">
        <v>50781</v>
      </c>
      <c r="V147" s="341">
        <f t="shared" si="94"/>
        <v>406248</v>
      </c>
      <c r="W147" s="660"/>
      <c r="X147" s="246">
        <f t="shared" si="91"/>
        <v>0</v>
      </c>
      <c r="Y147" s="334" t="s">
        <v>436</v>
      </c>
      <c r="Z147" s="338" t="s">
        <v>437</v>
      </c>
      <c r="AA147" s="332" t="s">
        <v>413</v>
      </c>
      <c r="AB147" s="339">
        <v>8</v>
      </c>
      <c r="AC147" s="340">
        <v>51501</v>
      </c>
      <c r="AD147" s="341">
        <f t="shared" si="95"/>
        <v>412008</v>
      </c>
      <c r="AE147" s="660"/>
      <c r="AF147" s="246">
        <f t="shared" si="92"/>
        <v>0</v>
      </c>
    </row>
    <row r="148" spans="1:32" s="235" customFormat="1" ht="17.25" outlineLevel="2" thickTop="1" thickBot="1">
      <c r="A148" s="264"/>
      <c r="B148" s="330" t="s">
        <v>438</v>
      </c>
      <c r="C148" s="266"/>
      <c r="D148" s="267"/>
      <c r="E148" s="268"/>
      <c r="F148" s="269"/>
      <c r="G148" s="342">
        <f>SUM(F150:F207)</f>
        <v>105197285</v>
      </c>
      <c r="H148" s="246" t="str">
        <f t="shared" si="89"/>
        <v/>
      </c>
      <c r="I148" s="264"/>
      <c r="J148" s="330" t="s">
        <v>438</v>
      </c>
      <c r="K148" s="266"/>
      <c r="L148" s="267"/>
      <c r="M148" s="268"/>
      <c r="N148" s="269"/>
      <c r="O148" s="342">
        <f>SUM(N150:N207)</f>
        <v>128699505</v>
      </c>
      <c r="P148" s="246" t="str">
        <f t="shared" si="90"/>
        <v/>
      </c>
      <c r="Q148" s="264"/>
      <c r="R148" s="330" t="s">
        <v>438</v>
      </c>
      <c r="S148" s="266"/>
      <c r="T148" s="267"/>
      <c r="U148" s="268"/>
      <c r="V148" s="269"/>
      <c r="W148" s="342">
        <f>SUM(V150:V207)</f>
        <v>128574396</v>
      </c>
      <c r="X148" s="246" t="str">
        <f t="shared" si="91"/>
        <v/>
      </c>
      <c r="Y148" s="264"/>
      <c r="Z148" s="330" t="s">
        <v>438</v>
      </c>
      <c r="AA148" s="266"/>
      <c r="AB148" s="267"/>
      <c r="AC148" s="268"/>
      <c r="AD148" s="269"/>
      <c r="AE148" s="342">
        <f>SUM(AD150:AD207)</f>
        <v>130396186</v>
      </c>
      <c r="AF148" s="246" t="str">
        <f t="shared" si="92"/>
        <v/>
      </c>
    </row>
    <row r="149" spans="1:32" s="235" customFormat="1" ht="17.25" outlineLevel="2" thickTop="1" thickBot="1">
      <c r="A149" s="343" t="s">
        <v>439</v>
      </c>
      <c r="B149" s="344" t="s">
        <v>440</v>
      </c>
      <c r="C149" s="345"/>
      <c r="D149" s="346"/>
      <c r="E149" s="347"/>
      <c r="F149" s="348"/>
      <c r="G149" s="349">
        <f>SUM(F150:F157)</f>
        <v>27015682</v>
      </c>
      <c r="H149" s="246" t="str">
        <f t="shared" si="89"/>
        <v/>
      </c>
      <c r="I149" s="343" t="s">
        <v>439</v>
      </c>
      <c r="J149" s="344" t="s">
        <v>440</v>
      </c>
      <c r="K149" s="345"/>
      <c r="L149" s="346"/>
      <c r="M149" s="347"/>
      <c r="N149" s="348"/>
      <c r="O149" s="349">
        <f>SUM(N150:N157)</f>
        <v>42590702</v>
      </c>
      <c r="P149" s="246" t="str">
        <f t="shared" si="90"/>
        <v/>
      </c>
      <c r="Q149" s="343" t="s">
        <v>439</v>
      </c>
      <c r="R149" s="344" t="s">
        <v>440</v>
      </c>
      <c r="S149" s="345"/>
      <c r="T149" s="346"/>
      <c r="U149" s="347"/>
      <c r="V149" s="348"/>
      <c r="W149" s="349">
        <f>SUM(V150:V157)</f>
        <v>42591022</v>
      </c>
      <c r="X149" s="246" t="str">
        <f t="shared" si="91"/>
        <v/>
      </c>
      <c r="Y149" s="343" t="s">
        <v>439</v>
      </c>
      <c r="Z149" s="344" t="s">
        <v>440</v>
      </c>
      <c r="AA149" s="345"/>
      <c r="AB149" s="346"/>
      <c r="AC149" s="347"/>
      <c r="AD149" s="348"/>
      <c r="AE149" s="349">
        <f>SUM(AD150:AD157)</f>
        <v>43195686</v>
      </c>
      <c r="AF149" s="246" t="str">
        <f t="shared" si="92"/>
        <v/>
      </c>
    </row>
    <row r="150" spans="1:32" s="235" customFormat="1" ht="39" outlineLevel="2" thickTop="1">
      <c r="A150" s="334" t="s">
        <v>441</v>
      </c>
      <c r="B150" s="350" t="s">
        <v>442</v>
      </c>
      <c r="C150" s="332" t="s">
        <v>224</v>
      </c>
      <c r="D150" s="333">
        <v>1</v>
      </c>
      <c r="E150" s="351">
        <v>1995825</v>
      </c>
      <c r="F150" s="315">
        <f t="shared" ref="F150:F157" si="96">ROUND(D150*E150,0)</f>
        <v>1995825</v>
      </c>
      <c r="G150" s="657">
        <v>0</v>
      </c>
      <c r="H150" s="246">
        <f t="shared" si="89"/>
        <v>0</v>
      </c>
      <c r="I150" s="334" t="s">
        <v>441</v>
      </c>
      <c r="J150" s="350" t="s">
        <v>442</v>
      </c>
      <c r="K150" s="332" t="s">
        <v>224</v>
      </c>
      <c r="L150" s="333">
        <v>1</v>
      </c>
      <c r="M150" s="351">
        <v>14500000</v>
      </c>
      <c r="N150" s="315">
        <f t="shared" ref="N150:N157" si="97">ROUND(L150*M150,0)</f>
        <v>14500000</v>
      </c>
      <c r="O150" s="657">
        <v>0</v>
      </c>
      <c r="P150" s="246">
        <f t="shared" si="90"/>
        <v>0</v>
      </c>
      <c r="Q150" s="334" t="s">
        <v>441</v>
      </c>
      <c r="R150" s="350" t="s">
        <v>442</v>
      </c>
      <c r="S150" s="332" t="s">
        <v>224</v>
      </c>
      <c r="T150" s="333">
        <v>1</v>
      </c>
      <c r="U150" s="351">
        <v>14440465</v>
      </c>
      <c r="V150" s="315">
        <f t="shared" ref="V150:V157" si="98">ROUND(T150*U150,0)</f>
        <v>14440465</v>
      </c>
      <c r="W150" s="657">
        <v>0</v>
      </c>
      <c r="X150" s="246">
        <f t="shared" si="91"/>
        <v>0</v>
      </c>
      <c r="Y150" s="334" t="s">
        <v>441</v>
      </c>
      <c r="Z150" s="350" t="s">
        <v>442</v>
      </c>
      <c r="AA150" s="332" t="s">
        <v>224</v>
      </c>
      <c r="AB150" s="333">
        <v>1</v>
      </c>
      <c r="AC150" s="351">
        <v>14645501</v>
      </c>
      <c r="AD150" s="315">
        <f t="shared" ref="AD150:AD157" si="99">ROUND(AB150*AC150,0)</f>
        <v>14645501</v>
      </c>
      <c r="AE150" s="657">
        <v>0</v>
      </c>
      <c r="AF150" s="246">
        <f t="shared" si="92"/>
        <v>0</v>
      </c>
    </row>
    <row r="151" spans="1:32" s="235" customFormat="1" ht="30" outlineLevel="2">
      <c r="A151" s="334" t="s">
        <v>443</v>
      </c>
      <c r="B151" s="352" t="s">
        <v>444</v>
      </c>
      <c r="C151" s="332" t="s">
        <v>224</v>
      </c>
      <c r="D151" s="333">
        <v>14</v>
      </c>
      <c r="E151" s="353">
        <v>705192</v>
      </c>
      <c r="F151" s="315">
        <f t="shared" si="96"/>
        <v>9872688</v>
      </c>
      <c r="G151" s="658"/>
      <c r="H151" s="246">
        <f t="shared" si="89"/>
        <v>0</v>
      </c>
      <c r="I151" s="334" t="s">
        <v>443</v>
      </c>
      <c r="J151" s="352" t="s">
        <v>444</v>
      </c>
      <c r="K151" s="332" t="s">
        <v>224</v>
      </c>
      <c r="L151" s="333">
        <v>14</v>
      </c>
      <c r="M151" s="353">
        <v>450000</v>
      </c>
      <c r="N151" s="315">
        <f t="shared" si="97"/>
        <v>6300000</v>
      </c>
      <c r="O151" s="658"/>
      <c r="P151" s="246">
        <f t="shared" si="90"/>
        <v>0</v>
      </c>
      <c r="Q151" s="334" t="s">
        <v>443</v>
      </c>
      <c r="R151" s="352" t="s">
        <v>444</v>
      </c>
      <c r="S151" s="332" t="s">
        <v>224</v>
      </c>
      <c r="T151" s="333">
        <v>14</v>
      </c>
      <c r="U151" s="353">
        <v>446207</v>
      </c>
      <c r="V151" s="315">
        <f t="shared" si="98"/>
        <v>6246898</v>
      </c>
      <c r="W151" s="658"/>
      <c r="X151" s="246">
        <f t="shared" si="91"/>
        <v>0</v>
      </c>
      <c r="Y151" s="334" t="s">
        <v>443</v>
      </c>
      <c r="Z151" s="352" t="s">
        <v>444</v>
      </c>
      <c r="AA151" s="332" t="s">
        <v>224</v>
      </c>
      <c r="AB151" s="333">
        <v>14</v>
      </c>
      <c r="AC151" s="353">
        <v>452541</v>
      </c>
      <c r="AD151" s="315">
        <f t="shared" si="99"/>
        <v>6335574</v>
      </c>
      <c r="AE151" s="658"/>
      <c r="AF151" s="246">
        <f t="shared" si="92"/>
        <v>0</v>
      </c>
    </row>
    <row r="152" spans="1:32" s="235" customFormat="1" ht="30" outlineLevel="2">
      <c r="A152" s="334" t="s">
        <v>445</v>
      </c>
      <c r="B152" s="352" t="s">
        <v>446</v>
      </c>
      <c r="C152" s="332" t="s">
        <v>224</v>
      </c>
      <c r="D152" s="333">
        <v>3</v>
      </c>
      <c r="E152" s="353">
        <v>2553633</v>
      </c>
      <c r="F152" s="315">
        <f t="shared" si="96"/>
        <v>7660899</v>
      </c>
      <c r="G152" s="658"/>
      <c r="H152" s="246">
        <f t="shared" si="89"/>
        <v>0</v>
      </c>
      <c r="I152" s="334" t="s">
        <v>445</v>
      </c>
      <c r="J152" s="352" t="s">
        <v>446</v>
      </c>
      <c r="K152" s="332" t="s">
        <v>224</v>
      </c>
      <c r="L152" s="333">
        <v>3</v>
      </c>
      <c r="M152" s="353">
        <v>2000000</v>
      </c>
      <c r="N152" s="315">
        <f t="shared" si="97"/>
        <v>6000000</v>
      </c>
      <c r="O152" s="658"/>
      <c r="P152" s="246">
        <f t="shared" si="90"/>
        <v>0</v>
      </c>
      <c r="Q152" s="334" t="s">
        <v>445</v>
      </c>
      <c r="R152" s="352" t="s">
        <v>446</v>
      </c>
      <c r="S152" s="332" t="s">
        <v>224</v>
      </c>
      <c r="T152" s="333">
        <v>3</v>
      </c>
      <c r="U152" s="353">
        <v>2036585</v>
      </c>
      <c r="V152" s="315">
        <f t="shared" si="98"/>
        <v>6109755</v>
      </c>
      <c r="W152" s="658"/>
      <c r="X152" s="246">
        <f t="shared" si="91"/>
        <v>0</v>
      </c>
      <c r="Y152" s="334" t="s">
        <v>445</v>
      </c>
      <c r="Z152" s="352" t="s">
        <v>446</v>
      </c>
      <c r="AA152" s="332" t="s">
        <v>224</v>
      </c>
      <c r="AB152" s="333">
        <v>3</v>
      </c>
      <c r="AC152" s="353">
        <v>2065501</v>
      </c>
      <c r="AD152" s="315">
        <f t="shared" si="99"/>
        <v>6196503</v>
      </c>
      <c r="AE152" s="658"/>
      <c r="AF152" s="246">
        <f t="shared" si="92"/>
        <v>0</v>
      </c>
    </row>
    <row r="153" spans="1:32" s="235" customFormat="1" ht="75" outlineLevel="2">
      <c r="A153" s="334" t="s">
        <v>447</v>
      </c>
      <c r="B153" s="354" t="s">
        <v>448</v>
      </c>
      <c r="C153" s="332" t="s">
        <v>224</v>
      </c>
      <c r="D153" s="333">
        <v>1</v>
      </c>
      <c r="E153" s="353">
        <v>1242000</v>
      </c>
      <c r="F153" s="315">
        <f t="shared" si="96"/>
        <v>1242000</v>
      </c>
      <c r="G153" s="658"/>
      <c r="H153" s="246">
        <f t="shared" si="89"/>
        <v>0</v>
      </c>
      <c r="I153" s="334" t="s">
        <v>447</v>
      </c>
      <c r="J153" s="354" t="s">
        <v>448</v>
      </c>
      <c r="K153" s="332" t="s">
        <v>224</v>
      </c>
      <c r="L153" s="333">
        <v>1</v>
      </c>
      <c r="M153" s="353">
        <v>1750000</v>
      </c>
      <c r="N153" s="315">
        <f t="shared" si="97"/>
        <v>1750000</v>
      </c>
      <c r="O153" s="658"/>
      <c r="P153" s="246">
        <f t="shared" si="90"/>
        <v>0</v>
      </c>
      <c r="Q153" s="334" t="s">
        <v>447</v>
      </c>
      <c r="R153" s="354" t="s">
        <v>448</v>
      </c>
      <c r="S153" s="332" t="s">
        <v>224</v>
      </c>
      <c r="T153" s="333">
        <v>1</v>
      </c>
      <c r="U153" s="353">
        <v>1758047</v>
      </c>
      <c r="V153" s="315">
        <f t="shared" si="98"/>
        <v>1758047</v>
      </c>
      <c r="W153" s="658"/>
      <c r="X153" s="246">
        <f t="shared" si="91"/>
        <v>0</v>
      </c>
      <c r="Y153" s="334" t="s">
        <v>447</v>
      </c>
      <c r="Z153" s="354" t="s">
        <v>448</v>
      </c>
      <c r="AA153" s="332" t="s">
        <v>224</v>
      </c>
      <c r="AB153" s="333">
        <v>1</v>
      </c>
      <c r="AC153" s="353">
        <v>1783009</v>
      </c>
      <c r="AD153" s="315">
        <f t="shared" si="99"/>
        <v>1783009</v>
      </c>
      <c r="AE153" s="658"/>
      <c r="AF153" s="246">
        <f t="shared" si="92"/>
        <v>0</v>
      </c>
    </row>
    <row r="154" spans="1:32" s="235" customFormat="1" ht="15.75" outlineLevel="2" thickBot="1">
      <c r="A154" s="334" t="s">
        <v>449</v>
      </c>
      <c r="B154" s="335" t="s">
        <v>450</v>
      </c>
      <c r="C154" s="332" t="s">
        <v>224</v>
      </c>
      <c r="D154" s="333">
        <v>17</v>
      </c>
      <c r="E154" s="355">
        <v>102350</v>
      </c>
      <c r="F154" s="314">
        <f t="shared" si="96"/>
        <v>1739950</v>
      </c>
      <c r="G154" s="658"/>
      <c r="H154" s="246">
        <f t="shared" si="89"/>
        <v>0</v>
      </c>
      <c r="I154" s="334" t="s">
        <v>449</v>
      </c>
      <c r="J154" s="335" t="s">
        <v>450</v>
      </c>
      <c r="K154" s="332" t="s">
        <v>224</v>
      </c>
      <c r="L154" s="333">
        <v>17</v>
      </c>
      <c r="M154" s="355">
        <v>74000</v>
      </c>
      <c r="N154" s="314">
        <f t="shared" si="97"/>
        <v>1258000</v>
      </c>
      <c r="O154" s="658"/>
      <c r="P154" s="246">
        <f t="shared" si="90"/>
        <v>0</v>
      </c>
      <c r="Q154" s="334" t="s">
        <v>449</v>
      </c>
      <c r="R154" s="335" t="s">
        <v>450</v>
      </c>
      <c r="S154" s="332" t="s">
        <v>224</v>
      </c>
      <c r="T154" s="333">
        <v>17</v>
      </c>
      <c r="U154" s="355">
        <v>72951</v>
      </c>
      <c r="V154" s="314">
        <f t="shared" si="98"/>
        <v>1240167</v>
      </c>
      <c r="W154" s="658"/>
      <c r="X154" s="246">
        <f t="shared" si="91"/>
        <v>0</v>
      </c>
      <c r="Y154" s="334" t="s">
        <v>449</v>
      </c>
      <c r="Z154" s="335" t="s">
        <v>450</v>
      </c>
      <c r="AA154" s="332" t="s">
        <v>224</v>
      </c>
      <c r="AB154" s="333">
        <v>17</v>
      </c>
      <c r="AC154" s="355">
        <v>73985</v>
      </c>
      <c r="AD154" s="314">
        <f t="shared" si="99"/>
        <v>1257745</v>
      </c>
      <c r="AE154" s="658"/>
      <c r="AF154" s="246">
        <f t="shared" si="92"/>
        <v>0</v>
      </c>
    </row>
    <row r="155" spans="1:32" s="235" customFormat="1" ht="30" outlineLevel="2">
      <c r="A155" s="334" t="s">
        <v>451</v>
      </c>
      <c r="B155" s="354" t="s">
        <v>452</v>
      </c>
      <c r="C155" s="332" t="s">
        <v>224</v>
      </c>
      <c r="D155" s="333">
        <v>1</v>
      </c>
      <c r="E155" s="353">
        <v>2065860</v>
      </c>
      <c r="F155" s="315">
        <f t="shared" si="96"/>
        <v>2065860</v>
      </c>
      <c r="G155" s="658"/>
      <c r="H155" s="246">
        <f t="shared" si="89"/>
        <v>0</v>
      </c>
      <c r="I155" s="334" t="s">
        <v>451</v>
      </c>
      <c r="J155" s="354" t="s">
        <v>452</v>
      </c>
      <c r="K155" s="332" t="s">
        <v>224</v>
      </c>
      <c r="L155" s="333">
        <v>1</v>
      </c>
      <c r="M155" s="353">
        <v>7126901</v>
      </c>
      <c r="N155" s="315">
        <f t="shared" si="97"/>
        <v>7126901</v>
      </c>
      <c r="O155" s="658"/>
      <c r="P155" s="246">
        <f t="shared" si="90"/>
        <v>0</v>
      </c>
      <c r="Q155" s="334" t="s">
        <v>451</v>
      </c>
      <c r="R155" s="354" t="s">
        <v>452</v>
      </c>
      <c r="S155" s="332" t="s">
        <v>224</v>
      </c>
      <c r="T155" s="333">
        <v>1</v>
      </c>
      <c r="U155" s="353">
        <v>7134135</v>
      </c>
      <c r="V155" s="315">
        <f t="shared" si="98"/>
        <v>7134135</v>
      </c>
      <c r="W155" s="658"/>
      <c r="X155" s="246">
        <f t="shared" si="91"/>
        <v>0</v>
      </c>
      <c r="Y155" s="334" t="s">
        <v>451</v>
      </c>
      <c r="Z155" s="354" t="s">
        <v>452</v>
      </c>
      <c r="AA155" s="332" t="s">
        <v>224</v>
      </c>
      <c r="AB155" s="333">
        <v>1</v>
      </c>
      <c r="AC155" s="353">
        <v>7235431</v>
      </c>
      <c r="AD155" s="315">
        <f t="shared" si="99"/>
        <v>7235431</v>
      </c>
      <c r="AE155" s="658"/>
      <c r="AF155" s="246">
        <f t="shared" si="92"/>
        <v>0</v>
      </c>
    </row>
    <row r="156" spans="1:32" s="235" customFormat="1" ht="15" outlineLevel="2">
      <c r="A156" s="334" t="s">
        <v>453</v>
      </c>
      <c r="B156" s="356" t="s">
        <v>454</v>
      </c>
      <c r="C156" s="332" t="s">
        <v>224</v>
      </c>
      <c r="D156" s="333">
        <v>1</v>
      </c>
      <c r="E156" s="353">
        <v>1656000</v>
      </c>
      <c r="F156" s="315">
        <f t="shared" si="96"/>
        <v>1656000</v>
      </c>
      <c r="G156" s="658"/>
      <c r="H156" s="246">
        <f t="shared" si="89"/>
        <v>0</v>
      </c>
      <c r="I156" s="334" t="s">
        <v>453</v>
      </c>
      <c r="J156" s="356" t="s">
        <v>454</v>
      </c>
      <c r="K156" s="332" t="s">
        <v>224</v>
      </c>
      <c r="L156" s="333">
        <v>1</v>
      </c>
      <c r="M156" s="353">
        <v>4709847</v>
      </c>
      <c r="N156" s="315">
        <f t="shared" si="97"/>
        <v>4709847</v>
      </c>
      <c r="O156" s="658"/>
      <c r="P156" s="246">
        <f t="shared" si="90"/>
        <v>0</v>
      </c>
      <c r="Q156" s="334" t="s">
        <v>453</v>
      </c>
      <c r="R156" s="356" t="s">
        <v>454</v>
      </c>
      <c r="S156" s="332" t="s">
        <v>224</v>
      </c>
      <c r="T156" s="333">
        <v>1</v>
      </c>
      <c r="U156" s="353">
        <v>4714629</v>
      </c>
      <c r="V156" s="315">
        <f t="shared" si="98"/>
        <v>4714629</v>
      </c>
      <c r="W156" s="658"/>
      <c r="X156" s="246">
        <f t="shared" si="91"/>
        <v>0</v>
      </c>
      <c r="Y156" s="334" t="s">
        <v>453</v>
      </c>
      <c r="Z156" s="356" t="s">
        <v>454</v>
      </c>
      <c r="AA156" s="332" t="s">
        <v>224</v>
      </c>
      <c r="AB156" s="333">
        <v>1</v>
      </c>
      <c r="AC156" s="353">
        <v>4781569</v>
      </c>
      <c r="AD156" s="315">
        <f t="shared" si="99"/>
        <v>4781569</v>
      </c>
      <c r="AE156" s="658"/>
      <c r="AF156" s="246">
        <f t="shared" si="92"/>
        <v>0</v>
      </c>
    </row>
    <row r="157" spans="1:32" s="235" customFormat="1" ht="15.75" outlineLevel="2" thickBot="1">
      <c r="A157" s="334" t="s">
        <v>455</v>
      </c>
      <c r="B157" s="357" t="s">
        <v>456</v>
      </c>
      <c r="C157" s="332" t="s">
        <v>224</v>
      </c>
      <c r="D157" s="333">
        <v>18</v>
      </c>
      <c r="E157" s="353">
        <v>43470</v>
      </c>
      <c r="F157" s="315">
        <f t="shared" si="96"/>
        <v>782460</v>
      </c>
      <c r="G157" s="658"/>
      <c r="H157" s="246">
        <f t="shared" si="89"/>
        <v>0</v>
      </c>
      <c r="I157" s="334" t="s">
        <v>455</v>
      </c>
      <c r="J157" s="357" t="s">
        <v>456</v>
      </c>
      <c r="K157" s="332" t="s">
        <v>224</v>
      </c>
      <c r="L157" s="333">
        <v>18</v>
      </c>
      <c r="M157" s="353">
        <v>52553</v>
      </c>
      <c r="N157" s="315">
        <f t="shared" si="97"/>
        <v>945954</v>
      </c>
      <c r="O157" s="658"/>
      <c r="P157" s="246">
        <f t="shared" si="90"/>
        <v>0</v>
      </c>
      <c r="Q157" s="334" t="s">
        <v>455</v>
      </c>
      <c r="R157" s="357" t="s">
        <v>456</v>
      </c>
      <c r="S157" s="332" t="s">
        <v>224</v>
      </c>
      <c r="T157" s="333">
        <v>18</v>
      </c>
      <c r="U157" s="353">
        <v>52607</v>
      </c>
      <c r="V157" s="315">
        <f t="shared" si="98"/>
        <v>946926</v>
      </c>
      <c r="W157" s="658"/>
      <c r="X157" s="246">
        <f t="shared" si="91"/>
        <v>0</v>
      </c>
      <c r="Y157" s="334" t="s">
        <v>455</v>
      </c>
      <c r="Z157" s="357" t="s">
        <v>456</v>
      </c>
      <c r="AA157" s="332" t="s">
        <v>224</v>
      </c>
      <c r="AB157" s="333">
        <v>18</v>
      </c>
      <c r="AC157" s="353">
        <v>53353</v>
      </c>
      <c r="AD157" s="315">
        <f t="shared" si="99"/>
        <v>960354</v>
      </c>
      <c r="AE157" s="658"/>
      <c r="AF157" s="246">
        <f t="shared" si="92"/>
        <v>0</v>
      </c>
    </row>
    <row r="158" spans="1:32" s="235" customFormat="1" ht="17.25" outlineLevel="2" thickTop="1" thickBot="1">
      <c r="A158" s="334"/>
      <c r="B158" s="344" t="s">
        <v>457</v>
      </c>
      <c r="C158" s="345"/>
      <c r="D158" s="346"/>
      <c r="E158" s="347"/>
      <c r="F158" s="348"/>
      <c r="G158" s="349">
        <f>SUM(F159:F167)</f>
        <v>12766122</v>
      </c>
      <c r="H158" s="246" t="str">
        <f t="shared" si="89"/>
        <v/>
      </c>
      <c r="I158" s="334"/>
      <c r="J158" s="344" t="s">
        <v>457</v>
      </c>
      <c r="K158" s="345"/>
      <c r="L158" s="346"/>
      <c r="M158" s="347"/>
      <c r="N158" s="348"/>
      <c r="O158" s="349">
        <f>SUM(N159:N167)</f>
        <v>24114105</v>
      </c>
      <c r="P158" s="246" t="str">
        <f t="shared" si="90"/>
        <v/>
      </c>
      <c r="Q158" s="334"/>
      <c r="R158" s="344" t="s">
        <v>457</v>
      </c>
      <c r="S158" s="345"/>
      <c r="T158" s="346"/>
      <c r="U158" s="347"/>
      <c r="V158" s="348"/>
      <c r="W158" s="349">
        <f>SUM(V159:V167)</f>
        <v>24065084</v>
      </c>
      <c r="X158" s="246" t="str">
        <f t="shared" si="91"/>
        <v/>
      </c>
      <c r="Y158" s="334"/>
      <c r="Z158" s="344" t="s">
        <v>457</v>
      </c>
      <c r="AA158" s="345"/>
      <c r="AB158" s="346"/>
      <c r="AC158" s="347"/>
      <c r="AD158" s="348"/>
      <c r="AE158" s="349">
        <f>SUM(AD159:AD167)</f>
        <v>24405644</v>
      </c>
      <c r="AF158" s="246" t="str">
        <f t="shared" si="92"/>
        <v/>
      </c>
    </row>
    <row r="159" spans="1:32" s="235" customFormat="1" ht="45.75" outlineLevel="2" thickTop="1">
      <c r="A159" s="334" t="s">
        <v>458</v>
      </c>
      <c r="B159" s="358" t="s">
        <v>459</v>
      </c>
      <c r="C159" s="332" t="s">
        <v>224</v>
      </c>
      <c r="D159" s="333">
        <v>1</v>
      </c>
      <c r="E159" s="359">
        <v>1462582</v>
      </c>
      <c r="F159" s="314">
        <f t="shared" ref="F159:F167" si="100">ROUND(D159*E159,0)</f>
        <v>1462582</v>
      </c>
      <c r="G159" s="654">
        <v>0</v>
      </c>
      <c r="H159" s="246">
        <f t="shared" si="89"/>
        <v>0</v>
      </c>
      <c r="I159" s="334" t="s">
        <v>458</v>
      </c>
      <c r="J159" s="358" t="s">
        <v>459</v>
      </c>
      <c r="K159" s="332" t="s">
        <v>224</v>
      </c>
      <c r="L159" s="333">
        <v>1</v>
      </c>
      <c r="M159" s="359">
        <v>7400000</v>
      </c>
      <c r="N159" s="314">
        <f t="shared" ref="N159:N167" si="101">ROUND(L159*M159,0)</f>
        <v>7400000</v>
      </c>
      <c r="O159" s="654">
        <v>0</v>
      </c>
      <c r="P159" s="246">
        <f t="shared" si="90"/>
        <v>0</v>
      </c>
      <c r="Q159" s="334" t="s">
        <v>458</v>
      </c>
      <c r="R159" s="358" t="s">
        <v>459</v>
      </c>
      <c r="S159" s="332" t="s">
        <v>224</v>
      </c>
      <c r="T159" s="333">
        <v>1</v>
      </c>
      <c r="U159" s="359">
        <v>7333377</v>
      </c>
      <c r="V159" s="314">
        <f t="shared" ref="V159:V167" si="102">ROUND(T159*U159,0)</f>
        <v>7333377</v>
      </c>
      <c r="W159" s="654">
        <v>0</v>
      </c>
      <c r="X159" s="246">
        <f t="shared" si="91"/>
        <v>0</v>
      </c>
      <c r="Y159" s="334" t="s">
        <v>458</v>
      </c>
      <c r="Z159" s="358" t="s">
        <v>459</v>
      </c>
      <c r="AA159" s="332" t="s">
        <v>224</v>
      </c>
      <c r="AB159" s="333">
        <v>1</v>
      </c>
      <c r="AC159" s="359">
        <v>7437501</v>
      </c>
      <c r="AD159" s="314">
        <f t="shared" ref="AD159:AD167" si="103">ROUND(AB159*AC159,0)</f>
        <v>7437501</v>
      </c>
      <c r="AE159" s="654">
        <v>0</v>
      </c>
      <c r="AF159" s="246">
        <f t="shared" si="92"/>
        <v>0</v>
      </c>
    </row>
    <row r="160" spans="1:32" s="235" customFormat="1" ht="45" outlineLevel="2">
      <c r="A160" s="334" t="s">
        <v>460</v>
      </c>
      <c r="B160" s="354" t="s">
        <v>461</v>
      </c>
      <c r="C160" s="332" t="s">
        <v>224</v>
      </c>
      <c r="D160" s="333">
        <v>1</v>
      </c>
      <c r="E160" s="361">
        <v>1966500</v>
      </c>
      <c r="F160" s="315">
        <f t="shared" si="100"/>
        <v>1966500</v>
      </c>
      <c r="G160" s="656"/>
      <c r="H160" s="246">
        <f t="shared" si="89"/>
        <v>0</v>
      </c>
      <c r="I160" s="334" t="s">
        <v>460</v>
      </c>
      <c r="J160" s="354" t="s">
        <v>461</v>
      </c>
      <c r="K160" s="332" t="s">
        <v>224</v>
      </c>
      <c r="L160" s="333">
        <v>1</v>
      </c>
      <c r="M160" s="361">
        <v>1184087</v>
      </c>
      <c r="N160" s="315">
        <f t="shared" si="101"/>
        <v>1184087</v>
      </c>
      <c r="O160" s="656"/>
      <c r="P160" s="246">
        <f t="shared" si="90"/>
        <v>0</v>
      </c>
      <c r="Q160" s="334" t="s">
        <v>460</v>
      </c>
      <c r="R160" s="354" t="s">
        <v>461</v>
      </c>
      <c r="S160" s="332" t="s">
        <v>224</v>
      </c>
      <c r="T160" s="333">
        <v>1</v>
      </c>
      <c r="U160" s="361">
        <v>1185289</v>
      </c>
      <c r="V160" s="315">
        <f t="shared" si="102"/>
        <v>1185289</v>
      </c>
      <c r="W160" s="656"/>
      <c r="X160" s="246">
        <f t="shared" si="91"/>
        <v>0</v>
      </c>
      <c r="Y160" s="334" t="s">
        <v>460</v>
      </c>
      <c r="Z160" s="354" t="s">
        <v>461</v>
      </c>
      <c r="AA160" s="332" t="s">
        <v>224</v>
      </c>
      <c r="AB160" s="333">
        <v>1</v>
      </c>
      <c r="AC160" s="361">
        <v>1202117</v>
      </c>
      <c r="AD160" s="315">
        <f t="shared" si="103"/>
        <v>1202117</v>
      </c>
      <c r="AE160" s="656"/>
      <c r="AF160" s="246">
        <f t="shared" si="92"/>
        <v>0</v>
      </c>
    </row>
    <row r="161" spans="1:32" s="235" customFormat="1" ht="30" outlineLevel="2">
      <c r="A161" s="334" t="s">
        <v>462</v>
      </c>
      <c r="B161" s="354" t="s">
        <v>463</v>
      </c>
      <c r="C161" s="332" t="s">
        <v>224</v>
      </c>
      <c r="D161" s="333">
        <v>4</v>
      </c>
      <c r="E161" s="361">
        <v>346725</v>
      </c>
      <c r="F161" s="315">
        <f t="shared" si="100"/>
        <v>1386900</v>
      </c>
      <c r="G161" s="656"/>
      <c r="H161" s="246">
        <f t="shared" si="89"/>
        <v>0</v>
      </c>
      <c r="I161" s="334" t="s">
        <v>462</v>
      </c>
      <c r="J161" s="354" t="s">
        <v>463</v>
      </c>
      <c r="K161" s="332" t="s">
        <v>224</v>
      </c>
      <c r="L161" s="333">
        <v>4</v>
      </c>
      <c r="M161" s="361">
        <v>906693</v>
      </c>
      <c r="N161" s="315">
        <f t="shared" si="101"/>
        <v>3626772</v>
      </c>
      <c r="O161" s="656"/>
      <c r="P161" s="246">
        <f t="shared" si="90"/>
        <v>0</v>
      </c>
      <c r="Q161" s="334" t="s">
        <v>462</v>
      </c>
      <c r="R161" s="354" t="s">
        <v>463</v>
      </c>
      <c r="S161" s="332" t="s">
        <v>224</v>
      </c>
      <c r="T161" s="333">
        <v>4</v>
      </c>
      <c r="U161" s="361">
        <v>907613</v>
      </c>
      <c r="V161" s="315">
        <f t="shared" si="102"/>
        <v>3630452</v>
      </c>
      <c r="W161" s="656"/>
      <c r="X161" s="246">
        <f t="shared" si="91"/>
        <v>0</v>
      </c>
      <c r="Y161" s="334" t="s">
        <v>462</v>
      </c>
      <c r="Z161" s="354" t="s">
        <v>463</v>
      </c>
      <c r="AA161" s="332" t="s">
        <v>224</v>
      </c>
      <c r="AB161" s="333">
        <v>4</v>
      </c>
      <c r="AC161" s="361">
        <v>920499</v>
      </c>
      <c r="AD161" s="315">
        <f t="shared" si="103"/>
        <v>3681996</v>
      </c>
      <c r="AE161" s="656"/>
      <c r="AF161" s="246">
        <f t="shared" si="92"/>
        <v>0</v>
      </c>
    </row>
    <row r="162" spans="1:32" s="235" customFormat="1" ht="45" outlineLevel="2">
      <c r="A162" s="334" t="s">
        <v>464</v>
      </c>
      <c r="B162" s="354" t="s">
        <v>465</v>
      </c>
      <c r="C162" s="332" t="s">
        <v>224</v>
      </c>
      <c r="D162" s="333">
        <v>6</v>
      </c>
      <c r="E162" s="361">
        <v>435735</v>
      </c>
      <c r="F162" s="315">
        <f t="shared" si="100"/>
        <v>2614410</v>
      </c>
      <c r="G162" s="656"/>
      <c r="H162" s="246">
        <f t="shared" si="89"/>
        <v>0</v>
      </c>
      <c r="I162" s="334" t="s">
        <v>464</v>
      </c>
      <c r="J162" s="354" t="s">
        <v>465</v>
      </c>
      <c r="K162" s="332" t="s">
        <v>224</v>
      </c>
      <c r="L162" s="333">
        <v>6</v>
      </c>
      <c r="M162" s="361">
        <v>308397</v>
      </c>
      <c r="N162" s="315">
        <f t="shared" si="101"/>
        <v>1850382</v>
      </c>
      <c r="O162" s="656"/>
      <c r="P162" s="246">
        <f t="shared" si="90"/>
        <v>0</v>
      </c>
      <c r="Q162" s="334" t="s">
        <v>464</v>
      </c>
      <c r="R162" s="354" t="s">
        <v>465</v>
      </c>
      <c r="S162" s="332" t="s">
        <v>224</v>
      </c>
      <c r="T162" s="333">
        <v>6</v>
      </c>
      <c r="U162" s="361">
        <v>308711</v>
      </c>
      <c r="V162" s="315">
        <f t="shared" si="102"/>
        <v>1852266</v>
      </c>
      <c r="W162" s="656"/>
      <c r="X162" s="246">
        <f t="shared" si="91"/>
        <v>0</v>
      </c>
      <c r="Y162" s="334" t="s">
        <v>464</v>
      </c>
      <c r="Z162" s="354" t="s">
        <v>465</v>
      </c>
      <c r="AA162" s="332" t="s">
        <v>224</v>
      </c>
      <c r="AB162" s="333">
        <v>6</v>
      </c>
      <c r="AC162" s="361">
        <v>313093</v>
      </c>
      <c r="AD162" s="315">
        <f t="shared" si="103"/>
        <v>1878558</v>
      </c>
      <c r="AE162" s="656"/>
      <c r="AF162" s="246">
        <f t="shared" si="92"/>
        <v>0</v>
      </c>
    </row>
    <row r="163" spans="1:32" s="235" customFormat="1" ht="25.5" outlineLevel="2">
      <c r="A163" s="334" t="s">
        <v>466</v>
      </c>
      <c r="B163" s="362" t="s">
        <v>467</v>
      </c>
      <c r="C163" s="332" t="s">
        <v>224</v>
      </c>
      <c r="D163" s="333">
        <v>6</v>
      </c>
      <c r="E163" s="361">
        <v>232875</v>
      </c>
      <c r="F163" s="315">
        <f t="shared" si="100"/>
        <v>1397250</v>
      </c>
      <c r="G163" s="656"/>
      <c r="H163" s="246">
        <f t="shared" si="89"/>
        <v>0</v>
      </c>
      <c r="I163" s="334" t="s">
        <v>466</v>
      </c>
      <c r="J163" s="362" t="s">
        <v>467</v>
      </c>
      <c r="K163" s="332" t="s">
        <v>224</v>
      </c>
      <c r="L163" s="333">
        <v>6</v>
      </c>
      <c r="M163" s="361">
        <v>396067</v>
      </c>
      <c r="N163" s="315">
        <f t="shared" si="101"/>
        <v>2376402</v>
      </c>
      <c r="O163" s="656"/>
      <c r="P163" s="246">
        <f t="shared" si="90"/>
        <v>0</v>
      </c>
      <c r="Q163" s="334" t="s">
        <v>466</v>
      </c>
      <c r="R163" s="362" t="s">
        <v>467</v>
      </c>
      <c r="S163" s="332" t="s">
        <v>224</v>
      </c>
      <c r="T163" s="333">
        <v>6</v>
      </c>
      <c r="U163" s="361">
        <v>396469</v>
      </c>
      <c r="V163" s="315">
        <f t="shared" si="102"/>
        <v>2378814</v>
      </c>
      <c r="W163" s="656"/>
      <c r="X163" s="246">
        <f t="shared" si="91"/>
        <v>0</v>
      </c>
      <c r="Y163" s="334" t="s">
        <v>466</v>
      </c>
      <c r="Z163" s="362" t="s">
        <v>467</v>
      </c>
      <c r="AA163" s="332" t="s">
        <v>224</v>
      </c>
      <c r="AB163" s="333">
        <v>6</v>
      </c>
      <c r="AC163" s="361">
        <v>402097</v>
      </c>
      <c r="AD163" s="315">
        <f t="shared" si="103"/>
        <v>2412582</v>
      </c>
      <c r="AE163" s="656"/>
      <c r="AF163" s="246">
        <f t="shared" si="92"/>
        <v>0</v>
      </c>
    </row>
    <row r="164" spans="1:32" s="235" customFormat="1" ht="30" outlineLevel="2">
      <c r="A164" s="334" t="s">
        <v>468</v>
      </c>
      <c r="B164" s="354" t="s">
        <v>469</v>
      </c>
      <c r="C164" s="332" t="s">
        <v>224</v>
      </c>
      <c r="D164" s="333">
        <v>2</v>
      </c>
      <c r="E164" s="361">
        <v>243225</v>
      </c>
      <c r="F164" s="315">
        <f t="shared" si="100"/>
        <v>486450</v>
      </c>
      <c r="G164" s="656"/>
      <c r="H164" s="246">
        <f t="shared" si="89"/>
        <v>0</v>
      </c>
      <c r="I164" s="334" t="s">
        <v>468</v>
      </c>
      <c r="J164" s="354" t="s">
        <v>469</v>
      </c>
      <c r="K164" s="332" t="s">
        <v>224</v>
      </c>
      <c r="L164" s="333">
        <v>2</v>
      </c>
      <c r="M164" s="361">
        <v>92821</v>
      </c>
      <c r="N164" s="315">
        <f t="shared" si="101"/>
        <v>185642</v>
      </c>
      <c r="O164" s="656"/>
      <c r="P164" s="246">
        <f t="shared" si="90"/>
        <v>0</v>
      </c>
      <c r="Q164" s="334" t="s">
        <v>468</v>
      </c>
      <c r="R164" s="354" t="s">
        <v>469</v>
      </c>
      <c r="S164" s="332" t="s">
        <v>224</v>
      </c>
      <c r="T164" s="333">
        <v>2</v>
      </c>
      <c r="U164" s="361">
        <v>92915</v>
      </c>
      <c r="V164" s="315">
        <f t="shared" si="102"/>
        <v>185830</v>
      </c>
      <c r="W164" s="656"/>
      <c r="X164" s="246">
        <f t="shared" si="91"/>
        <v>0</v>
      </c>
      <c r="Y164" s="334" t="s">
        <v>468</v>
      </c>
      <c r="Z164" s="354" t="s">
        <v>469</v>
      </c>
      <c r="AA164" s="332" t="s">
        <v>224</v>
      </c>
      <c r="AB164" s="333">
        <v>2</v>
      </c>
      <c r="AC164" s="361">
        <v>94233</v>
      </c>
      <c r="AD164" s="315">
        <f t="shared" si="103"/>
        <v>188466</v>
      </c>
      <c r="AE164" s="656"/>
      <c r="AF164" s="246">
        <f t="shared" si="92"/>
        <v>0</v>
      </c>
    </row>
    <row r="165" spans="1:32" s="235" customFormat="1" ht="15" outlineLevel="2">
      <c r="A165" s="334" t="s">
        <v>470</v>
      </c>
      <c r="B165" s="362" t="s">
        <v>471</v>
      </c>
      <c r="C165" s="332" t="s">
        <v>100</v>
      </c>
      <c r="D165" s="333">
        <v>610</v>
      </c>
      <c r="E165" s="361">
        <v>3623</v>
      </c>
      <c r="F165" s="315">
        <f t="shared" si="100"/>
        <v>2210030</v>
      </c>
      <c r="G165" s="656"/>
      <c r="H165" s="246">
        <f t="shared" si="89"/>
        <v>0</v>
      </c>
      <c r="I165" s="334" t="s">
        <v>470</v>
      </c>
      <c r="J165" s="362" t="s">
        <v>471</v>
      </c>
      <c r="K165" s="332" t="s">
        <v>100</v>
      </c>
      <c r="L165" s="333">
        <v>610</v>
      </c>
      <c r="M165" s="361">
        <v>10819</v>
      </c>
      <c r="N165" s="315">
        <f t="shared" si="101"/>
        <v>6599590</v>
      </c>
      <c r="O165" s="656"/>
      <c r="P165" s="246">
        <f t="shared" si="90"/>
        <v>0</v>
      </c>
      <c r="Q165" s="334" t="s">
        <v>470</v>
      </c>
      <c r="R165" s="362" t="s">
        <v>471</v>
      </c>
      <c r="S165" s="332" t="s">
        <v>100</v>
      </c>
      <c r="T165" s="333">
        <v>610</v>
      </c>
      <c r="U165" s="361">
        <v>10831</v>
      </c>
      <c r="V165" s="315">
        <f t="shared" si="102"/>
        <v>6606910</v>
      </c>
      <c r="W165" s="656"/>
      <c r="X165" s="246">
        <f t="shared" si="91"/>
        <v>0</v>
      </c>
      <c r="Y165" s="334" t="s">
        <v>470</v>
      </c>
      <c r="Z165" s="362" t="s">
        <v>471</v>
      </c>
      <c r="AA165" s="332" t="s">
        <v>100</v>
      </c>
      <c r="AB165" s="333">
        <v>610</v>
      </c>
      <c r="AC165" s="361">
        <v>10983</v>
      </c>
      <c r="AD165" s="315">
        <f t="shared" si="103"/>
        <v>6699630</v>
      </c>
      <c r="AE165" s="656"/>
      <c r="AF165" s="246">
        <f t="shared" si="92"/>
        <v>0</v>
      </c>
    </row>
    <row r="166" spans="1:32" s="235" customFormat="1" ht="25.5" outlineLevel="2">
      <c r="A166" s="334" t="s">
        <v>472</v>
      </c>
      <c r="B166" s="362" t="s">
        <v>473</v>
      </c>
      <c r="C166" s="332" t="s">
        <v>224</v>
      </c>
      <c r="D166" s="333">
        <v>2</v>
      </c>
      <c r="E166" s="361">
        <v>289800</v>
      </c>
      <c r="F166" s="315">
        <f t="shared" si="100"/>
        <v>579600</v>
      </c>
      <c r="G166" s="656"/>
      <c r="H166" s="246">
        <f t="shared" si="89"/>
        <v>0</v>
      </c>
      <c r="I166" s="334" t="s">
        <v>472</v>
      </c>
      <c r="J166" s="362" t="s">
        <v>473</v>
      </c>
      <c r="K166" s="332" t="s">
        <v>224</v>
      </c>
      <c r="L166" s="333">
        <v>2</v>
      </c>
      <c r="M166" s="361">
        <v>214305</v>
      </c>
      <c r="N166" s="315">
        <f t="shared" si="101"/>
        <v>428610</v>
      </c>
      <c r="O166" s="656"/>
      <c r="P166" s="246">
        <f t="shared" si="90"/>
        <v>0</v>
      </c>
      <c r="Q166" s="334" t="s">
        <v>472</v>
      </c>
      <c r="R166" s="362" t="s">
        <v>473</v>
      </c>
      <c r="S166" s="332" t="s">
        <v>224</v>
      </c>
      <c r="T166" s="333">
        <v>2</v>
      </c>
      <c r="U166" s="361">
        <v>214523</v>
      </c>
      <c r="V166" s="315">
        <f t="shared" si="102"/>
        <v>429046</v>
      </c>
      <c r="W166" s="656"/>
      <c r="X166" s="246">
        <f t="shared" si="91"/>
        <v>0</v>
      </c>
      <c r="Y166" s="334" t="s">
        <v>472</v>
      </c>
      <c r="Z166" s="362" t="s">
        <v>473</v>
      </c>
      <c r="AA166" s="332" t="s">
        <v>224</v>
      </c>
      <c r="AB166" s="333">
        <v>2</v>
      </c>
      <c r="AC166" s="361">
        <v>217567</v>
      </c>
      <c r="AD166" s="315">
        <f t="shared" si="103"/>
        <v>435134</v>
      </c>
      <c r="AE166" s="656"/>
      <c r="AF166" s="246">
        <f t="shared" si="92"/>
        <v>0</v>
      </c>
    </row>
    <row r="167" spans="1:32" s="235" customFormat="1" ht="15.75" outlineLevel="2" thickBot="1">
      <c r="A167" s="334" t="s">
        <v>474</v>
      </c>
      <c r="B167" s="363" t="s">
        <v>475</v>
      </c>
      <c r="C167" s="332" t="s">
        <v>224</v>
      </c>
      <c r="D167" s="333">
        <v>20</v>
      </c>
      <c r="E167" s="364">
        <v>33120</v>
      </c>
      <c r="F167" s="315">
        <f t="shared" si="100"/>
        <v>662400</v>
      </c>
      <c r="G167" s="655"/>
      <c r="H167" s="246">
        <f t="shared" si="89"/>
        <v>0</v>
      </c>
      <c r="I167" s="334" t="s">
        <v>474</v>
      </c>
      <c r="J167" s="363" t="s">
        <v>475</v>
      </c>
      <c r="K167" s="332" t="s">
        <v>224</v>
      </c>
      <c r="L167" s="333">
        <v>20</v>
      </c>
      <c r="M167" s="364">
        <v>23131</v>
      </c>
      <c r="N167" s="315">
        <f t="shared" si="101"/>
        <v>462620</v>
      </c>
      <c r="O167" s="655"/>
      <c r="P167" s="246">
        <f t="shared" si="90"/>
        <v>0</v>
      </c>
      <c r="Q167" s="334" t="s">
        <v>474</v>
      </c>
      <c r="R167" s="363" t="s">
        <v>475</v>
      </c>
      <c r="S167" s="332" t="s">
        <v>224</v>
      </c>
      <c r="T167" s="333">
        <v>20</v>
      </c>
      <c r="U167" s="364">
        <v>23155</v>
      </c>
      <c r="V167" s="315">
        <f t="shared" si="102"/>
        <v>463100</v>
      </c>
      <c r="W167" s="655"/>
      <c r="X167" s="246">
        <f t="shared" si="91"/>
        <v>0</v>
      </c>
      <c r="Y167" s="334" t="s">
        <v>474</v>
      </c>
      <c r="Z167" s="363" t="s">
        <v>475</v>
      </c>
      <c r="AA167" s="332" t="s">
        <v>224</v>
      </c>
      <c r="AB167" s="333">
        <v>20</v>
      </c>
      <c r="AC167" s="364">
        <v>23483</v>
      </c>
      <c r="AD167" s="315">
        <f t="shared" si="103"/>
        <v>469660</v>
      </c>
      <c r="AE167" s="655"/>
      <c r="AF167" s="246">
        <f t="shared" si="92"/>
        <v>0</v>
      </c>
    </row>
    <row r="168" spans="1:32" s="235" customFormat="1" ht="17.25" outlineLevel="2" thickTop="1" thickBot="1">
      <c r="A168" s="334"/>
      <c r="B168" s="344" t="s">
        <v>476</v>
      </c>
      <c r="C168" s="345"/>
      <c r="D168" s="346"/>
      <c r="E168" s="347"/>
      <c r="F168" s="348"/>
      <c r="G168" s="349">
        <f>SUM(F169:F182)</f>
        <v>30554596</v>
      </c>
      <c r="H168" s="246" t="str">
        <f t="shared" si="89"/>
        <v/>
      </c>
      <c r="I168" s="334"/>
      <c r="J168" s="344" t="s">
        <v>476</v>
      </c>
      <c r="K168" s="345"/>
      <c r="L168" s="346"/>
      <c r="M168" s="347"/>
      <c r="N168" s="348"/>
      <c r="O168" s="349">
        <f>SUM(N169:N182)</f>
        <v>27742871</v>
      </c>
      <c r="P168" s="246" t="str">
        <f t="shared" si="90"/>
        <v/>
      </c>
      <c r="Q168" s="334"/>
      <c r="R168" s="344" t="s">
        <v>476</v>
      </c>
      <c r="S168" s="345"/>
      <c r="T168" s="346"/>
      <c r="U168" s="347"/>
      <c r="V168" s="348"/>
      <c r="W168" s="349">
        <f>SUM(V169:V182)</f>
        <v>27632945</v>
      </c>
      <c r="X168" s="246" t="str">
        <f t="shared" si="91"/>
        <v/>
      </c>
      <c r="Y168" s="334"/>
      <c r="Z168" s="344" t="s">
        <v>476</v>
      </c>
      <c r="AA168" s="345"/>
      <c r="AB168" s="346"/>
      <c r="AC168" s="347"/>
      <c r="AD168" s="348"/>
      <c r="AE168" s="349">
        <f>SUM(AD169:AD182)</f>
        <v>28024933</v>
      </c>
      <c r="AF168" s="246" t="str">
        <f t="shared" si="92"/>
        <v/>
      </c>
    </row>
    <row r="169" spans="1:32" s="235" customFormat="1" ht="51.75" outlineLevel="2" thickTop="1">
      <c r="A169" s="334" t="s">
        <v>477</v>
      </c>
      <c r="B169" s="365" t="s">
        <v>478</v>
      </c>
      <c r="C169" s="332" t="s">
        <v>224</v>
      </c>
      <c r="D169" s="366">
        <v>1</v>
      </c>
      <c r="E169" s="367">
        <v>2055510</v>
      </c>
      <c r="F169" s="315">
        <f t="shared" ref="F169:F182" si="104">ROUND(D169*E169,0)</f>
        <v>2055510</v>
      </c>
      <c r="G169" s="654">
        <v>0</v>
      </c>
      <c r="H169" s="246">
        <f t="shared" si="89"/>
        <v>0</v>
      </c>
      <c r="I169" s="334" t="s">
        <v>477</v>
      </c>
      <c r="J169" s="365" t="s">
        <v>478</v>
      </c>
      <c r="K169" s="332" t="s">
        <v>224</v>
      </c>
      <c r="L169" s="366">
        <v>1</v>
      </c>
      <c r="M169" s="367">
        <v>1148317</v>
      </c>
      <c r="N169" s="315">
        <f t="shared" ref="N169:N182" si="105">ROUND(L169*M169,0)</f>
        <v>1148317</v>
      </c>
      <c r="O169" s="654">
        <v>0</v>
      </c>
      <c r="P169" s="246">
        <f t="shared" si="90"/>
        <v>0</v>
      </c>
      <c r="Q169" s="334" t="s">
        <v>477</v>
      </c>
      <c r="R169" s="365" t="s">
        <v>478</v>
      </c>
      <c r="S169" s="332" t="s">
        <v>224</v>
      </c>
      <c r="T169" s="366">
        <v>1</v>
      </c>
      <c r="U169" s="367">
        <v>1149483</v>
      </c>
      <c r="V169" s="315">
        <f t="shared" ref="V169:V182" si="106">ROUND(T169*U169,0)</f>
        <v>1149483</v>
      </c>
      <c r="W169" s="654">
        <v>0</v>
      </c>
      <c r="X169" s="246">
        <f t="shared" si="91"/>
        <v>0</v>
      </c>
      <c r="Y169" s="334" t="s">
        <v>477</v>
      </c>
      <c r="Z169" s="365" t="s">
        <v>478</v>
      </c>
      <c r="AA169" s="332" t="s">
        <v>224</v>
      </c>
      <c r="AB169" s="366">
        <v>1</v>
      </c>
      <c r="AC169" s="367">
        <v>1165803</v>
      </c>
      <c r="AD169" s="315">
        <f t="shared" ref="AD169:AD182" si="107">ROUND(AB169*AC169,0)</f>
        <v>1165803</v>
      </c>
      <c r="AE169" s="654">
        <v>0</v>
      </c>
      <c r="AF169" s="246">
        <f t="shared" si="92"/>
        <v>0</v>
      </c>
    </row>
    <row r="170" spans="1:32" s="235" customFormat="1" ht="15" outlineLevel="2">
      <c r="A170" s="334" t="s">
        <v>479</v>
      </c>
      <c r="B170" s="362" t="s">
        <v>480</v>
      </c>
      <c r="C170" s="332" t="s">
        <v>224</v>
      </c>
      <c r="D170" s="368">
        <v>1</v>
      </c>
      <c r="E170" s="361">
        <v>822825</v>
      </c>
      <c r="F170" s="315">
        <f t="shared" si="104"/>
        <v>822825</v>
      </c>
      <c r="G170" s="656"/>
      <c r="H170" s="246">
        <f t="shared" si="89"/>
        <v>0</v>
      </c>
      <c r="I170" s="334" t="s">
        <v>479</v>
      </c>
      <c r="J170" s="362" t="s">
        <v>480</v>
      </c>
      <c r="K170" s="332" t="s">
        <v>224</v>
      </c>
      <c r="L170" s="368">
        <v>1</v>
      </c>
      <c r="M170" s="361">
        <v>427239</v>
      </c>
      <c r="N170" s="315">
        <f t="shared" si="105"/>
        <v>427239</v>
      </c>
      <c r="O170" s="656"/>
      <c r="P170" s="246">
        <f t="shared" si="90"/>
        <v>0</v>
      </c>
      <c r="Q170" s="334" t="s">
        <v>479</v>
      </c>
      <c r="R170" s="362" t="s">
        <v>480</v>
      </c>
      <c r="S170" s="332" t="s">
        <v>224</v>
      </c>
      <c r="T170" s="368">
        <v>1</v>
      </c>
      <c r="U170" s="361">
        <v>427673</v>
      </c>
      <c r="V170" s="315">
        <f t="shared" si="106"/>
        <v>427673</v>
      </c>
      <c r="W170" s="656"/>
      <c r="X170" s="246">
        <f t="shared" si="91"/>
        <v>0</v>
      </c>
      <c r="Y170" s="334" t="s">
        <v>479</v>
      </c>
      <c r="Z170" s="362" t="s">
        <v>480</v>
      </c>
      <c r="AA170" s="332" t="s">
        <v>224</v>
      </c>
      <c r="AB170" s="368">
        <v>1</v>
      </c>
      <c r="AC170" s="361">
        <v>433745</v>
      </c>
      <c r="AD170" s="315">
        <f t="shared" si="107"/>
        <v>433745</v>
      </c>
      <c r="AE170" s="656"/>
      <c r="AF170" s="246">
        <f t="shared" si="92"/>
        <v>0</v>
      </c>
    </row>
    <row r="171" spans="1:32" s="235" customFormat="1" ht="15" outlineLevel="2">
      <c r="A171" s="334" t="s">
        <v>481</v>
      </c>
      <c r="B171" s="362" t="s">
        <v>482</v>
      </c>
      <c r="C171" s="332" t="s">
        <v>224</v>
      </c>
      <c r="D171" s="368">
        <v>1</v>
      </c>
      <c r="E171" s="361">
        <v>284625</v>
      </c>
      <c r="F171" s="315">
        <f t="shared" si="104"/>
        <v>284625</v>
      </c>
      <c r="G171" s="656"/>
      <c r="H171" s="246">
        <f t="shared" si="89"/>
        <v>0</v>
      </c>
      <c r="I171" s="334" t="s">
        <v>481</v>
      </c>
      <c r="J171" s="362" t="s">
        <v>482</v>
      </c>
      <c r="K171" s="332" t="s">
        <v>224</v>
      </c>
      <c r="L171" s="368">
        <v>1</v>
      </c>
      <c r="M171" s="361">
        <v>363833</v>
      </c>
      <c r="N171" s="315">
        <f t="shared" si="105"/>
        <v>363833</v>
      </c>
      <c r="O171" s="656"/>
      <c r="P171" s="246">
        <f t="shared" si="90"/>
        <v>0</v>
      </c>
      <c r="Q171" s="334" t="s">
        <v>481</v>
      </c>
      <c r="R171" s="362" t="s">
        <v>482</v>
      </c>
      <c r="S171" s="332" t="s">
        <v>224</v>
      </c>
      <c r="T171" s="368">
        <v>1</v>
      </c>
      <c r="U171" s="361">
        <v>364203</v>
      </c>
      <c r="V171" s="315">
        <f t="shared" si="106"/>
        <v>364203</v>
      </c>
      <c r="W171" s="656"/>
      <c r="X171" s="246">
        <f t="shared" si="91"/>
        <v>0</v>
      </c>
      <c r="Y171" s="334" t="s">
        <v>481</v>
      </c>
      <c r="Z171" s="362" t="s">
        <v>482</v>
      </c>
      <c r="AA171" s="332" t="s">
        <v>224</v>
      </c>
      <c r="AB171" s="368">
        <v>1</v>
      </c>
      <c r="AC171" s="361">
        <v>369373</v>
      </c>
      <c r="AD171" s="315">
        <f t="shared" si="107"/>
        <v>369373</v>
      </c>
      <c r="AE171" s="656"/>
      <c r="AF171" s="246">
        <f t="shared" si="92"/>
        <v>0</v>
      </c>
    </row>
    <row r="172" spans="1:32" s="235" customFormat="1" ht="38.25" outlineLevel="2">
      <c r="A172" s="334" t="s">
        <v>483</v>
      </c>
      <c r="B172" s="362" t="s">
        <v>484</v>
      </c>
      <c r="C172" s="332" t="s">
        <v>224</v>
      </c>
      <c r="D172" s="368">
        <v>3</v>
      </c>
      <c r="E172" s="361">
        <v>232875</v>
      </c>
      <c r="F172" s="315">
        <f t="shared" si="104"/>
        <v>698625</v>
      </c>
      <c r="G172" s="656"/>
      <c r="H172" s="246">
        <f t="shared" si="89"/>
        <v>0</v>
      </c>
      <c r="I172" s="334" t="s">
        <v>483</v>
      </c>
      <c r="J172" s="362" t="s">
        <v>484</v>
      </c>
      <c r="K172" s="332" t="s">
        <v>224</v>
      </c>
      <c r="L172" s="368">
        <v>3</v>
      </c>
      <c r="M172" s="361">
        <v>359153</v>
      </c>
      <c r="N172" s="315">
        <f t="shared" si="105"/>
        <v>1077459</v>
      </c>
      <c r="O172" s="656"/>
      <c r="P172" s="246">
        <f t="shared" si="90"/>
        <v>0</v>
      </c>
      <c r="Q172" s="334" t="s">
        <v>483</v>
      </c>
      <c r="R172" s="362" t="s">
        <v>484</v>
      </c>
      <c r="S172" s="332" t="s">
        <v>224</v>
      </c>
      <c r="T172" s="368">
        <v>3</v>
      </c>
      <c r="U172" s="361">
        <v>359517</v>
      </c>
      <c r="V172" s="315">
        <f t="shared" si="106"/>
        <v>1078551</v>
      </c>
      <c r="W172" s="656"/>
      <c r="X172" s="246">
        <f t="shared" si="91"/>
        <v>0</v>
      </c>
      <c r="Y172" s="334" t="s">
        <v>483</v>
      </c>
      <c r="Z172" s="362" t="s">
        <v>484</v>
      </c>
      <c r="AA172" s="332" t="s">
        <v>224</v>
      </c>
      <c r="AB172" s="368">
        <v>3</v>
      </c>
      <c r="AC172" s="361">
        <v>364621</v>
      </c>
      <c r="AD172" s="315">
        <f t="shared" si="107"/>
        <v>1093863</v>
      </c>
      <c r="AE172" s="656"/>
      <c r="AF172" s="246">
        <f t="shared" si="92"/>
        <v>0</v>
      </c>
    </row>
    <row r="173" spans="1:32" s="235" customFormat="1" ht="45" outlineLevel="2">
      <c r="A173" s="334" t="s">
        <v>485</v>
      </c>
      <c r="B173" s="354" t="s">
        <v>486</v>
      </c>
      <c r="C173" s="332" t="s">
        <v>224</v>
      </c>
      <c r="D173" s="368">
        <v>19</v>
      </c>
      <c r="E173" s="361">
        <v>326025</v>
      </c>
      <c r="F173" s="315">
        <f t="shared" si="104"/>
        <v>6194475</v>
      </c>
      <c r="G173" s="656"/>
      <c r="H173" s="246">
        <f t="shared" si="89"/>
        <v>0</v>
      </c>
      <c r="I173" s="334" t="s">
        <v>485</v>
      </c>
      <c r="J173" s="354" t="s">
        <v>486</v>
      </c>
      <c r="K173" s="332" t="s">
        <v>224</v>
      </c>
      <c r="L173" s="368">
        <v>19</v>
      </c>
      <c r="M173" s="361">
        <v>244413</v>
      </c>
      <c r="N173" s="315">
        <f t="shared" si="105"/>
        <v>4643847</v>
      </c>
      <c r="O173" s="656"/>
      <c r="P173" s="246">
        <f t="shared" si="90"/>
        <v>0</v>
      </c>
      <c r="Q173" s="334" t="s">
        <v>485</v>
      </c>
      <c r="R173" s="354" t="s">
        <v>486</v>
      </c>
      <c r="S173" s="332" t="s">
        <v>224</v>
      </c>
      <c r="T173" s="368">
        <v>19</v>
      </c>
      <c r="U173" s="361">
        <v>244663</v>
      </c>
      <c r="V173" s="315">
        <f t="shared" si="106"/>
        <v>4648597</v>
      </c>
      <c r="W173" s="656"/>
      <c r="X173" s="246">
        <f t="shared" si="91"/>
        <v>0</v>
      </c>
      <c r="Y173" s="334" t="s">
        <v>485</v>
      </c>
      <c r="Z173" s="354" t="s">
        <v>486</v>
      </c>
      <c r="AA173" s="332" t="s">
        <v>224</v>
      </c>
      <c r="AB173" s="368">
        <v>19</v>
      </c>
      <c r="AC173" s="361">
        <v>248135</v>
      </c>
      <c r="AD173" s="315">
        <f t="shared" si="107"/>
        <v>4714565</v>
      </c>
      <c r="AE173" s="656"/>
      <c r="AF173" s="246">
        <f t="shared" si="92"/>
        <v>0</v>
      </c>
    </row>
    <row r="174" spans="1:32" s="235" customFormat="1" ht="38.25" outlineLevel="2">
      <c r="A174" s="334" t="s">
        <v>487</v>
      </c>
      <c r="B174" s="362" t="s">
        <v>488</v>
      </c>
      <c r="C174" s="332" t="s">
        <v>224</v>
      </c>
      <c r="D174" s="368">
        <v>4</v>
      </c>
      <c r="E174" s="361">
        <v>429525</v>
      </c>
      <c r="F174" s="315">
        <f t="shared" si="104"/>
        <v>1718100</v>
      </c>
      <c r="G174" s="656"/>
      <c r="H174" s="246">
        <f t="shared" si="89"/>
        <v>0</v>
      </c>
      <c r="I174" s="334" t="s">
        <v>487</v>
      </c>
      <c r="J174" s="362" t="s">
        <v>488</v>
      </c>
      <c r="K174" s="332" t="s">
        <v>224</v>
      </c>
      <c r="L174" s="368">
        <v>4</v>
      </c>
      <c r="M174" s="361">
        <v>892131</v>
      </c>
      <c r="N174" s="315">
        <f t="shared" si="105"/>
        <v>3568524</v>
      </c>
      <c r="O174" s="656"/>
      <c r="P174" s="246">
        <f t="shared" si="90"/>
        <v>0</v>
      </c>
      <c r="Q174" s="334" t="s">
        <v>487</v>
      </c>
      <c r="R174" s="362" t="s">
        <v>488</v>
      </c>
      <c r="S174" s="332" t="s">
        <v>224</v>
      </c>
      <c r="T174" s="368">
        <v>4</v>
      </c>
      <c r="U174" s="361">
        <v>893035</v>
      </c>
      <c r="V174" s="315">
        <f t="shared" si="106"/>
        <v>3572140</v>
      </c>
      <c r="W174" s="656"/>
      <c r="X174" s="246">
        <f t="shared" si="91"/>
        <v>0</v>
      </c>
      <c r="Y174" s="334" t="s">
        <v>487</v>
      </c>
      <c r="Z174" s="362" t="s">
        <v>488</v>
      </c>
      <c r="AA174" s="332" t="s">
        <v>224</v>
      </c>
      <c r="AB174" s="368">
        <v>4</v>
      </c>
      <c r="AC174" s="361">
        <v>905715</v>
      </c>
      <c r="AD174" s="315">
        <f t="shared" si="107"/>
        <v>3622860</v>
      </c>
      <c r="AE174" s="656"/>
      <c r="AF174" s="246">
        <f t="shared" si="92"/>
        <v>0</v>
      </c>
    </row>
    <row r="175" spans="1:32" s="235" customFormat="1" ht="38.25" outlineLevel="2">
      <c r="A175" s="334" t="s">
        <v>489</v>
      </c>
      <c r="B175" s="369" t="s">
        <v>490</v>
      </c>
      <c r="C175" s="332" t="s">
        <v>224</v>
      </c>
      <c r="D175" s="368">
        <v>30</v>
      </c>
      <c r="E175" s="361">
        <v>306027</v>
      </c>
      <c r="F175" s="315">
        <f t="shared" si="104"/>
        <v>9180810</v>
      </c>
      <c r="G175" s="656"/>
      <c r="H175" s="246">
        <f t="shared" si="89"/>
        <v>0</v>
      </c>
      <c r="I175" s="334" t="s">
        <v>489</v>
      </c>
      <c r="J175" s="369" t="s">
        <v>490</v>
      </c>
      <c r="K175" s="332" t="s">
        <v>224</v>
      </c>
      <c r="L175" s="368">
        <v>30</v>
      </c>
      <c r="M175" s="361">
        <v>303000</v>
      </c>
      <c r="N175" s="315">
        <f t="shared" si="105"/>
        <v>9090000</v>
      </c>
      <c r="O175" s="656"/>
      <c r="P175" s="246">
        <f t="shared" si="90"/>
        <v>0</v>
      </c>
      <c r="Q175" s="334" t="s">
        <v>489</v>
      </c>
      <c r="R175" s="369" t="s">
        <v>490</v>
      </c>
      <c r="S175" s="332" t="s">
        <v>224</v>
      </c>
      <c r="T175" s="368">
        <v>30</v>
      </c>
      <c r="U175" s="361">
        <v>298701</v>
      </c>
      <c r="V175" s="315">
        <f t="shared" si="106"/>
        <v>8961030</v>
      </c>
      <c r="W175" s="656"/>
      <c r="X175" s="246">
        <f t="shared" si="91"/>
        <v>0</v>
      </c>
      <c r="Y175" s="334" t="s">
        <v>489</v>
      </c>
      <c r="Z175" s="369" t="s">
        <v>490</v>
      </c>
      <c r="AA175" s="332" t="s">
        <v>224</v>
      </c>
      <c r="AB175" s="368">
        <v>30</v>
      </c>
      <c r="AC175" s="361">
        <v>302941</v>
      </c>
      <c r="AD175" s="315">
        <f t="shared" si="107"/>
        <v>9088230</v>
      </c>
      <c r="AE175" s="656"/>
      <c r="AF175" s="246">
        <f t="shared" si="92"/>
        <v>0</v>
      </c>
    </row>
    <row r="176" spans="1:32" s="235" customFormat="1" ht="38.25" outlineLevel="2">
      <c r="A176" s="334" t="s">
        <v>491</v>
      </c>
      <c r="B176" s="370" t="s">
        <v>492</v>
      </c>
      <c r="C176" s="332" t="s">
        <v>224</v>
      </c>
      <c r="D176" s="368">
        <v>23</v>
      </c>
      <c r="E176" s="361">
        <v>232875</v>
      </c>
      <c r="F176" s="315">
        <f t="shared" si="104"/>
        <v>5356125</v>
      </c>
      <c r="G176" s="656"/>
      <c r="H176" s="246">
        <f t="shared" si="89"/>
        <v>0</v>
      </c>
      <c r="I176" s="334" t="s">
        <v>491</v>
      </c>
      <c r="J176" s="370" t="s">
        <v>492</v>
      </c>
      <c r="K176" s="332" t="s">
        <v>224</v>
      </c>
      <c r="L176" s="368">
        <v>23</v>
      </c>
      <c r="M176" s="361">
        <v>165101</v>
      </c>
      <c r="N176" s="315">
        <f t="shared" si="105"/>
        <v>3797323</v>
      </c>
      <c r="O176" s="656"/>
      <c r="P176" s="246">
        <f t="shared" si="90"/>
        <v>0</v>
      </c>
      <c r="Q176" s="334" t="s">
        <v>491</v>
      </c>
      <c r="R176" s="370" t="s">
        <v>492</v>
      </c>
      <c r="S176" s="332" t="s">
        <v>224</v>
      </c>
      <c r="T176" s="368">
        <v>23</v>
      </c>
      <c r="U176" s="361">
        <v>165269</v>
      </c>
      <c r="V176" s="315">
        <f t="shared" si="106"/>
        <v>3801187</v>
      </c>
      <c r="W176" s="656"/>
      <c r="X176" s="246">
        <f t="shared" si="91"/>
        <v>0</v>
      </c>
      <c r="Y176" s="334" t="s">
        <v>491</v>
      </c>
      <c r="Z176" s="370" t="s">
        <v>492</v>
      </c>
      <c r="AA176" s="332" t="s">
        <v>224</v>
      </c>
      <c r="AB176" s="368">
        <v>23</v>
      </c>
      <c r="AC176" s="361">
        <v>167615</v>
      </c>
      <c r="AD176" s="315">
        <f t="shared" si="107"/>
        <v>3855145</v>
      </c>
      <c r="AE176" s="656"/>
      <c r="AF176" s="246">
        <f t="shared" si="92"/>
        <v>0</v>
      </c>
    </row>
    <row r="177" spans="1:32" s="235" customFormat="1" ht="30" outlineLevel="2">
      <c r="A177" s="334" t="s">
        <v>493</v>
      </c>
      <c r="B177" s="371" t="s">
        <v>494</v>
      </c>
      <c r="C177" s="332" t="s">
        <v>224</v>
      </c>
      <c r="D177" s="368">
        <v>2</v>
      </c>
      <c r="E177" s="361">
        <v>362250</v>
      </c>
      <c r="F177" s="315">
        <f t="shared" si="104"/>
        <v>724500</v>
      </c>
      <c r="G177" s="656"/>
      <c r="H177" s="246">
        <f t="shared" si="89"/>
        <v>0</v>
      </c>
      <c r="I177" s="334" t="s">
        <v>493</v>
      </c>
      <c r="J177" s="371" t="s">
        <v>494</v>
      </c>
      <c r="K177" s="332" t="s">
        <v>224</v>
      </c>
      <c r="L177" s="368">
        <v>2</v>
      </c>
      <c r="M177" s="361">
        <v>337157</v>
      </c>
      <c r="N177" s="315">
        <f t="shared" si="105"/>
        <v>674314</v>
      </c>
      <c r="O177" s="656"/>
      <c r="P177" s="246">
        <f t="shared" si="90"/>
        <v>0</v>
      </c>
      <c r="Q177" s="334" t="s">
        <v>493</v>
      </c>
      <c r="R177" s="371" t="s">
        <v>494</v>
      </c>
      <c r="S177" s="332" t="s">
        <v>224</v>
      </c>
      <c r="T177" s="368">
        <v>2</v>
      </c>
      <c r="U177" s="361">
        <v>337499</v>
      </c>
      <c r="V177" s="315">
        <f t="shared" si="106"/>
        <v>674998</v>
      </c>
      <c r="W177" s="656"/>
      <c r="X177" s="246">
        <f t="shared" si="91"/>
        <v>0</v>
      </c>
      <c r="Y177" s="334" t="s">
        <v>493</v>
      </c>
      <c r="Z177" s="371" t="s">
        <v>494</v>
      </c>
      <c r="AA177" s="332" t="s">
        <v>224</v>
      </c>
      <c r="AB177" s="368">
        <v>2</v>
      </c>
      <c r="AC177" s="361">
        <v>342291</v>
      </c>
      <c r="AD177" s="315">
        <f t="shared" si="107"/>
        <v>684582</v>
      </c>
      <c r="AE177" s="656"/>
      <c r="AF177" s="246">
        <f t="shared" si="92"/>
        <v>0</v>
      </c>
    </row>
    <row r="178" spans="1:32" s="235" customFormat="1" ht="15" outlineLevel="2">
      <c r="A178" s="334" t="s">
        <v>495</v>
      </c>
      <c r="B178" s="362" t="s">
        <v>471</v>
      </c>
      <c r="C178" s="332" t="s">
        <v>224</v>
      </c>
      <c r="D178" s="368">
        <v>150</v>
      </c>
      <c r="E178" s="361">
        <v>3105</v>
      </c>
      <c r="F178" s="315">
        <f t="shared" si="104"/>
        <v>465750</v>
      </c>
      <c r="G178" s="656"/>
      <c r="H178" s="246">
        <f t="shared" si="89"/>
        <v>0</v>
      </c>
      <c r="I178" s="334" t="s">
        <v>495</v>
      </c>
      <c r="J178" s="362" t="s">
        <v>471</v>
      </c>
      <c r="K178" s="332" t="s">
        <v>224</v>
      </c>
      <c r="L178" s="368">
        <v>150</v>
      </c>
      <c r="M178" s="361">
        <v>7817</v>
      </c>
      <c r="N178" s="315">
        <f t="shared" si="105"/>
        <v>1172550</v>
      </c>
      <c r="O178" s="656"/>
      <c r="P178" s="246">
        <f t="shared" si="90"/>
        <v>0</v>
      </c>
      <c r="Q178" s="334" t="s">
        <v>495</v>
      </c>
      <c r="R178" s="362" t="s">
        <v>471</v>
      </c>
      <c r="S178" s="332" t="s">
        <v>224</v>
      </c>
      <c r="T178" s="368">
        <v>150</v>
      </c>
      <c r="U178" s="361">
        <v>7825</v>
      </c>
      <c r="V178" s="315">
        <f t="shared" si="106"/>
        <v>1173750</v>
      </c>
      <c r="W178" s="656"/>
      <c r="X178" s="246">
        <f t="shared" si="91"/>
        <v>0</v>
      </c>
      <c r="Y178" s="334" t="s">
        <v>495</v>
      </c>
      <c r="Z178" s="362" t="s">
        <v>471</v>
      </c>
      <c r="AA178" s="332" t="s">
        <v>224</v>
      </c>
      <c r="AB178" s="368">
        <v>150</v>
      </c>
      <c r="AC178" s="361">
        <v>7935</v>
      </c>
      <c r="AD178" s="315">
        <f t="shared" si="107"/>
        <v>1190250</v>
      </c>
      <c r="AE178" s="656"/>
      <c r="AF178" s="246">
        <f t="shared" si="92"/>
        <v>0</v>
      </c>
    </row>
    <row r="179" spans="1:32" s="235" customFormat="1" ht="15" outlineLevel="2">
      <c r="A179" s="334" t="s">
        <v>496</v>
      </c>
      <c r="B179" s="362" t="s">
        <v>497</v>
      </c>
      <c r="C179" s="332" t="s">
        <v>100</v>
      </c>
      <c r="D179" s="368">
        <v>2</v>
      </c>
      <c r="E179" s="361">
        <v>2588</v>
      </c>
      <c r="F179" s="315">
        <f t="shared" si="104"/>
        <v>5176</v>
      </c>
      <c r="G179" s="656"/>
      <c r="H179" s="246">
        <f t="shared" si="89"/>
        <v>0</v>
      </c>
      <c r="I179" s="334" t="s">
        <v>496</v>
      </c>
      <c r="J179" s="362" t="s">
        <v>497</v>
      </c>
      <c r="K179" s="332" t="s">
        <v>100</v>
      </c>
      <c r="L179" s="368">
        <v>2</v>
      </c>
      <c r="M179" s="361">
        <v>14591</v>
      </c>
      <c r="N179" s="315">
        <f t="shared" si="105"/>
        <v>29182</v>
      </c>
      <c r="O179" s="656"/>
      <c r="P179" s="246">
        <f t="shared" si="90"/>
        <v>0</v>
      </c>
      <c r="Q179" s="334" t="s">
        <v>496</v>
      </c>
      <c r="R179" s="362" t="s">
        <v>497</v>
      </c>
      <c r="S179" s="332" t="s">
        <v>100</v>
      </c>
      <c r="T179" s="368">
        <v>2</v>
      </c>
      <c r="U179" s="361">
        <v>14607</v>
      </c>
      <c r="V179" s="315">
        <f t="shared" si="106"/>
        <v>29214</v>
      </c>
      <c r="W179" s="656"/>
      <c r="X179" s="246">
        <f t="shared" si="91"/>
        <v>0</v>
      </c>
      <c r="Y179" s="334" t="s">
        <v>496</v>
      </c>
      <c r="Z179" s="362" t="s">
        <v>497</v>
      </c>
      <c r="AA179" s="332" t="s">
        <v>100</v>
      </c>
      <c r="AB179" s="368">
        <v>2</v>
      </c>
      <c r="AC179" s="361">
        <v>14813</v>
      </c>
      <c r="AD179" s="315">
        <f t="shared" si="107"/>
        <v>29626</v>
      </c>
      <c r="AE179" s="656"/>
      <c r="AF179" s="246">
        <f t="shared" si="92"/>
        <v>0</v>
      </c>
    </row>
    <row r="180" spans="1:32" s="235" customFormat="1" ht="15" outlineLevel="2">
      <c r="A180" s="334" t="s">
        <v>498</v>
      </c>
      <c r="B180" s="354" t="s">
        <v>499</v>
      </c>
      <c r="C180" s="332" t="s">
        <v>100</v>
      </c>
      <c r="D180" s="368">
        <v>2</v>
      </c>
      <c r="E180" s="361">
        <v>15525</v>
      </c>
      <c r="F180" s="315">
        <f t="shared" si="104"/>
        <v>31050</v>
      </c>
      <c r="G180" s="656"/>
      <c r="H180" s="246">
        <f t="shared" si="89"/>
        <v>0</v>
      </c>
      <c r="I180" s="334" t="s">
        <v>498</v>
      </c>
      <c r="J180" s="354" t="s">
        <v>499</v>
      </c>
      <c r="K180" s="332" t="s">
        <v>100</v>
      </c>
      <c r="L180" s="368">
        <v>2</v>
      </c>
      <c r="M180" s="361">
        <v>9717</v>
      </c>
      <c r="N180" s="315">
        <f t="shared" si="105"/>
        <v>19434</v>
      </c>
      <c r="O180" s="656"/>
      <c r="P180" s="246">
        <f t="shared" si="90"/>
        <v>0</v>
      </c>
      <c r="Q180" s="334" t="s">
        <v>498</v>
      </c>
      <c r="R180" s="354" t="s">
        <v>499</v>
      </c>
      <c r="S180" s="332" t="s">
        <v>100</v>
      </c>
      <c r="T180" s="368">
        <v>2</v>
      </c>
      <c r="U180" s="361">
        <v>9725</v>
      </c>
      <c r="V180" s="315">
        <f t="shared" si="106"/>
        <v>19450</v>
      </c>
      <c r="W180" s="656"/>
      <c r="X180" s="246">
        <f t="shared" si="91"/>
        <v>0</v>
      </c>
      <c r="Y180" s="334" t="s">
        <v>498</v>
      </c>
      <c r="Z180" s="354" t="s">
        <v>499</v>
      </c>
      <c r="AA180" s="332" t="s">
        <v>100</v>
      </c>
      <c r="AB180" s="368">
        <v>2</v>
      </c>
      <c r="AC180" s="361">
        <v>9863</v>
      </c>
      <c r="AD180" s="315">
        <f t="shared" si="107"/>
        <v>19726</v>
      </c>
      <c r="AE180" s="656"/>
      <c r="AF180" s="246">
        <f t="shared" si="92"/>
        <v>0</v>
      </c>
    </row>
    <row r="181" spans="1:32" s="235" customFormat="1" ht="15" outlineLevel="2">
      <c r="A181" s="334" t="s">
        <v>500</v>
      </c>
      <c r="B181" s="362" t="s">
        <v>501</v>
      </c>
      <c r="C181" s="332" t="s">
        <v>224</v>
      </c>
      <c r="D181" s="368">
        <v>1</v>
      </c>
      <c r="E181" s="361">
        <v>46575</v>
      </c>
      <c r="F181" s="315">
        <f t="shared" si="104"/>
        <v>46575</v>
      </c>
      <c r="G181" s="656"/>
      <c r="H181" s="246">
        <f t="shared" si="89"/>
        <v>0</v>
      </c>
      <c r="I181" s="334" t="s">
        <v>500</v>
      </c>
      <c r="J181" s="362" t="s">
        <v>501</v>
      </c>
      <c r="K181" s="332" t="s">
        <v>224</v>
      </c>
      <c r="L181" s="368">
        <v>1</v>
      </c>
      <c r="M181" s="361">
        <v>15819</v>
      </c>
      <c r="N181" s="315">
        <f t="shared" si="105"/>
        <v>15819</v>
      </c>
      <c r="O181" s="656"/>
      <c r="P181" s="246">
        <f t="shared" si="90"/>
        <v>0</v>
      </c>
      <c r="Q181" s="334" t="s">
        <v>500</v>
      </c>
      <c r="R181" s="362" t="s">
        <v>501</v>
      </c>
      <c r="S181" s="332" t="s">
        <v>224</v>
      </c>
      <c r="T181" s="368">
        <v>1</v>
      </c>
      <c r="U181" s="361">
        <v>15835</v>
      </c>
      <c r="V181" s="315">
        <f t="shared" si="106"/>
        <v>15835</v>
      </c>
      <c r="W181" s="656"/>
      <c r="X181" s="246">
        <f t="shared" si="91"/>
        <v>0</v>
      </c>
      <c r="Y181" s="334" t="s">
        <v>500</v>
      </c>
      <c r="Z181" s="362" t="s">
        <v>501</v>
      </c>
      <c r="AA181" s="332" t="s">
        <v>224</v>
      </c>
      <c r="AB181" s="368">
        <v>1</v>
      </c>
      <c r="AC181" s="361">
        <v>16059</v>
      </c>
      <c r="AD181" s="315">
        <f t="shared" si="107"/>
        <v>16059</v>
      </c>
      <c r="AE181" s="656"/>
      <c r="AF181" s="246">
        <f t="shared" si="92"/>
        <v>0</v>
      </c>
    </row>
    <row r="182" spans="1:32" s="235" customFormat="1" ht="26.25" outlineLevel="2" thickBot="1">
      <c r="A182" s="334" t="s">
        <v>502</v>
      </c>
      <c r="B182" s="372" t="s">
        <v>503</v>
      </c>
      <c r="C182" s="332" t="s">
        <v>224</v>
      </c>
      <c r="D182" s="373">
        <v>82</v>
      </c>
      <c r="E182" s="361">
        <v>36225</v>
      </c>
      <c r="F182" s="315">
        <f t="shared" si="104"/>
        <v>2970450</v>
      </c>
      <c r="G182" s="655"/>
      <c r="H182" s="246">
        <f t="shared" si="89"/>
        <v>0</v>
      </c>
      <c r="I182" s="334" t="s">
        <v>502</v>
      </c>
      <c r="J182" s="372" t="s">
        <v>503</v>
      </c>
      <c r="K182" s="332" t="s">
        <v>224</v>
      </c>
      <c r="L182" s="373">
        <v>82</v>
      </c>
      <c r="M182" s="361">
        <v>20915</v>
      </c>
      <c r="N182" s="315">
        <f t="shared" si="105"/>
        <v>1715030</v>
      </c>
      <c r="O182" s="655"/>
      <c r="P182" s="246">
        <f t="shared" si="90"/>
        <v>0</v>
      </c>
      <c r="Q182" s="334" t="s">
        <v>502</v>
      </c>
      <c r="R182" s="372" t="s">
        <v>503</v>
      </c>
      <c r="S182" s="332" t="s">
        <v>224</v>
      </c>
      <c r="T182" s="373">
        <v>82</v>
      </c>
      <c r="U182" s="361">
        <v>20937</v>
      </c>
      <c r="V182" s="315">
        <f t="shared" si="106"/>
        <v>1716834</v>
      </c>
      <c r="W182" s="655"/>
      <c r="X182" s="246">
        <f t="shared" si="91"/>
        <v>0</v>
      </c>
      <c r="Y182" s="334" t="s">
        <v>502</v>
      </c>
      <c r="Z182" s="372" t="s">
        <v>503</v>
      </c>
      <c r="AA182" s="332" t="s">
        <v>224</v>
      </c>
      <c r="AB182" s="373">
        <v>82</v>
      </c>
      <c r="AC182" s="361">
        <v>21233</v>
      </c>
      <c r="AD182" s="315">
        <f t="shared" si="107"/>
        <v>1741106</v>
      </c>
      <c r="AE182" s="655"/>
      <c r="AF182" s="246">
        <f t="shared" si="92"/>
        <v>0</v>
      </c>
    </row>
    <row r="183" spans="1:32" s="235" customFormat="1" ht="17.25" outlineLevel="2" thickTop="1" thickBot="1">
      <c r="A183" s="343" t="s">
        <v>504</v>
      </c>
      <c r="B183" s="344" t="s">
        <v>505</v>
      </c>
      <c r="C183" s="345"/>
      <c r="D183" s="346"/>
      <c r="E183" s="347"/>
      <c r="F183" s="348"/>
      <c r="G183" s="349">
        <f>SUM(F184:F207)</f>
        <v>34860885</v>
      </c>
      <c r="H183" s="246" t="str">
        <f t="shared" si="89"/>
        <v/>
      </c>
      <c r="I183" s="343" t="s">
        <v>504</v>
      </c>
      <c r="J183" s="344" t="s">
        <v>505</v>
      </c>
      <c r="K183" s="345"/>
      <c r="L183" s="346"/>
      <c r="M183" s="347"/>
      <c r="N183" s="348"/>
      <c r="O183" s="349">
        <f>SUM(N184:N207)</f>
        <v>34251827</v>
      </c>
      <c r="P183" s="246" t="str">
        <f t="shared" si="90"/>
        <v/>
      </c>
      <c r="Q183" s="343" t="s">
        <v>504</v>
      </c>
      <c r="R183" s="344" t="s">
        <v>505</v>
      </c>
      <c r="S183" s="345"/>
      <c r="T183" s="346"/>
      <c r="U183" s="347"/>
      <c r="V183" s="348"/>
      <c r="W183" s="349">
        <f>SUM(V184:V207)</f>
        <v>34285345</v>
      </c>
      <c r="X183" s="246" t="str">
        <f t="shared" si="91"/>
        <v/>
      </c>
      <c r="Y183" s="343" t="s">
        <v>504</v>
      </c>
      <c r="Z183" s="344" t="s">
        <v>505</v>
      </c>
      <c r="AA183" s="345"/>
      <c r="AB183" s="346"/>
      <c r="AC183" s="347"/>
      <c r="AD183" s="348"/>
      <c r="AE183" s="349">
        <f>SUM(AD184:AD207)</f>
        <v>34769923</v>
      </c>
      <c r="AF183" s="246" t="str">
        <f t="shared" si="92"/>
        <v/>
      </c>
    </row>
    <row r="184" spans="1:32" s="235" customFormat="1" ht="15.75" outlineLevel="2" thickTop="1">
      <c r="A184" s="334" t="s">
        <v>506</v>
      </c>
      <c r="B184" s="374" t="s">
        <v>507</v>
      </c>
      <c r="C184" s="332" t="s">
        <v>105</v>
      </c>
      <c r="D184" s="375">
        <v>60</v>
      </c>
      <c r="E184" s="376">
        <v>62100</v>
      </c>
      <c r="F184" s="377">
        <f t="shared" ref="F184:F207" si="108">ROUND(D184*E184,0)</f>
        <v>3726000</v>
      </c>
      <c r="G184" s="654">
        <v>0</v>
      </c>
      <c r="H184" s="246">
        <f t="shared" si="89"/>
        <v>0</v>
      </c>
      <c r="I184" s="334" t="s">
        <v>506</v>
      </c>
      <c r="J184" s="374" t="s">
        <v>507</v>
      </c>
      <c r="K184" s="332" t="s">
        <v>105</v>
      </c>
      <c r="L184" s="375">
        <v>60</v>
      </c>
      <c r="M184" s="376">
        <v>37317</v>
      </c>
      <c r="N184" s="377">
        <f t="shared" ref="N184:N207" si="109">ROUND(L184*M184,0)</f>
        <v>2239020</v>
      </c>
      <c r="O184" s="654">
        <v>0</v>
      </c>
      <c r="P184" s="246">
        <f t="shared" si="90"/>
        <v>0</v>
      </c>
      <c r="Q184" s="334" t="s">
        <v>506</v>
      </c>
      <c r="R184" s="374" t="s">
        <v>507</v>
      </c>
      <c r="S184" s="332" t="s">
        <v>105</v>
      </c>
      <c r="T184" s="375">
        <v>60</v>
      </c>
      <c r="U184" s="376">
        <v>37355</v>
      </c>
      <c r="V184" s="377">
        <f t="shared" ref="V184:V207" si="110">ROUND(T184*U184,0)</f>
        <v>2241300</v>
      </c>
      <c r="W184" s="654">
        <v>0</v>
      </c>
      <c r="X184" s="246">
        <f t="shared" si="91"/>
        <v>0</v>
      </c>
      <c r="Y184" s="334" t="s">
        <v>506</v>
      </c>
      <c r="Z184" s="374" t="s">
        <v>507</v>
      </c>
      <c r="AA184" s="332" t="s">
        <v>105</v>
      </c>
      <c r="AB184" s="375">
        <v>60</v>
      </c>
      <c r="AC184" s="376">
        <v>37885</v>
      </c>
      <c r="AD184" s="377">
        <f t="shared" ref="AD184:AD207" si="111">ROUND(AB184*AC184,0)</f>
        <v>2273100</v>
      </c>
      <c r="AE184" s="654">
        <v>0</v>
      </c>
      <c r="AF184" s="246">
        <f t="shared" si="92"/>
        <v>0</v>
      </c>
    </row>
    <row r="185" spans="1:32" s="235" customFormat="1" ht="15" outlineLevel="2">
      <c r="A185" s="334" t="s">
        <v>508</v>
      </c>
      <c r="B185" s="378" t="s">
        <v>509</v>
      </c>
      <c r="C185" s="332" t="s">
        <v>105</v>
      </c>
      <c r="D185" s="375">
        <v>30</v>
      </c>
      <c r="E185" s="376">
        <v>20700</v>
      </c>
      <c r="F185" s="377">
        <f t="shared" si="108"/>
        <v>621000</v>
      </c>
      <c r="G185" s="656"/>
      <c r="H185" s="246">
        <f t="shared" si="89"/>
        <v>0</v>
      </c>
      <c r="I185" s="334" t="s">
        <v>508</v>
      </c>
      <c r="J185" s="378" t="s">
        <v>509</v>
      </c>
      <c r="K185" s="332" t="s">
        <v>105</v>
      </c>
      <c r="L185" s="375">
        <v>30</v>
      </c>
      <c r="M185" s="376">
        <v>6605</v>
      </c>
      <c r="N185" s="377">
        <f t="shared" si="109"/>
        <v>198150</v>
      </c>
      <c r="O185" s="656"/>
      <c r="P185" s="246">
        <f t="shared" si="90"/>
        <v>0</v>
      </c>
      <c r="Q185" s="334" t="s">
        <v>508</v>
      </c>
      <c r="R185" s="378" t="s">
        <v>509</v>
      </c>
      <c r="S185" s="332" t="s">
        <v>105</v>
      </c>
      <c r="T185" s="375">
        <v>30</v>
      </c>
      <c r="U185" s="376">
        <v>6613</v>
      </c>
      <c r="V185" s="377">
        <f t="shared" si="110"/>
        <v>198390</v>
      </c>
      <c r="W185" s="656"/>
      <c r="X185" s="246">
        <f t="shared" si="91"/>
        <v>0</v>
      </c>
      <c r="Y185" s="334" t="s">
        <v>508</v>
      </c>
      <c r="Z185" s="378" t="s">
        <v>509</v>
      </c>
      <c r="AA185" s="332" t="s">
        <v>105</v>
      </c>
      <c r="AB185" s="375">
        <v>30</v>
      </c>
      <c r="AC185" s="376">
        <v>6705</v>
      </c>
      <c r="AD185" s="377">
        <f t="shared" si="111"/>
        <v>201150</v>
      </c>
      <c r="AE185" s="656"/>
      <c r="AF185" s="246">
        <f t="shared" si="92"/>
        <v>0</v>
      </c>
    </row>
    <row r="186" spans="1:32" s="235" customFormat="1" ht="15" outlineLevel="2">
      <c r="A186" s="334" t="s">
        <v>510</v>
      </c>
      <c r="B186" s="379" t="s">
        <v>511</v>
      </c>
      <c r="C186" s="332" t="s">
        <v>105</v>
      </c>
      <c r="D186" s="375">
        <v>30</v>
      </c>
      <c r="E186" s="376">
        <v>15525</v>
      </c>
      <c r="F186" s="377">
        <f t="shared" si="108"/>
        <v>465750</v>
      </c>
      <c r="G186" s="656"/>
      <c r="H186" s="246">
        <f t="shared" si="89"/>
        <v>0</v>
      </c>
      <c r="I186" s="334" t="s">
        <v>510</v>
      </c>
      <c r="J186" s="379" t="s">
        <v>511</v>
      </c>
      <c r="K186" s="332" t="s">
        <v>105</v>
      </c>
      <c r="L186" s="375">
        <v>30</v>
      </c>
      <c r="M186" s="376">
        <v>17317</v>
      </c>
      <c r="N186" s="377">
        <f t="shared" si="109"/>
        <v>519510</v>
      </c>
      <c r="O186" s="656"/>
      <c r="P186" s="246">
        <f t="shared" si="90"/>
        <v>0</v>
      </c>
      <c r="Q186" s="334" t="s">
        <v>510</v>
      </c>
      <c r="R186" s="379" t="s">
        <v>511</v>
      </c>
      <c r="S186" s="332" t="s">
        <v>105</v>
      </c>
      <c r="T186" s="375">
        <v>30</v>
      </c>
      <c r="U186" s="376">
        <v>17333</v>
      </c>
      <c r="V186" s="377">
        <f t="shared" si="110"/>
        <v>519990</v>
      </c>
      <c r="W186" s="656"/>
      <c r="X186" s="246">
        <f t="shared" si="91"/>
        <v>0</v>
      </c>
      <c r="Y186" s="334" t="s">
        <v>510</v>
      </c>
      <c r="Z186" s="379" t="s">
        <v>511</v>
      </c>
      <c r="AA186" s="332" t="s">
        <v>105</v>
      </c>
      <c r="AB186" s="375">
        <v>30</v>
      </c>
      <c r="AC186" s="376">
        <v>17579</v>
      </c>
      <c r="AD186" s="377">
        <f t="shared" si="111"/>
        <v>527370</v>
      </c>
      <c r="AE186" s="656"/>
      <c r="AF186" s="246">
        <f t="shared" si="92"/>
        <v>0</v>
      </c>
    </row>
    <row r="187" spans="1:32" s="235" customFormat="1" ht="15" outlineLevel="2">
      <c r="A187" s="334" t="s">
        <v>512</v>
      </c>
      <c r="B187" s="380" t="s">
        <v>513</v>
      </c>
      <c r="C187" s="332" t="s">
        <v>514</v>
      </c>
      <c r="D187" s="375">
        <v>1500</v>
      </c>
      <c r="E187" s="376">
        <v>7245</v>
      </c>
      <c r="F187" s="377">
        <f t="shared" si="108"/>
        <v>10867500</v>
      </c>
      <c r="G187" s="656"/>
      <c r="H187" s="246">
        <f t="shared" si="89"/>
        <v>0</v>
      </c>
      <c r="I187" s="334" t="s">
        <v>512</v>
      </c>
      <c r="J187" s="380" t="s">
        <v>513</v>
      </c>
      <c r="K187" s="332" t="s">
        <v>514</v>
      </c>
      <c r="L187" s="375">
        <v>1500</v>
      </c>
      <c r="M187" s="376">
        <v>6949</v>
      </c>
      <c r="N187" s="377">
        <f t="shared" si="109"/>
        <v>10423500</v>
      </c>
      <c r="O187" s="656"/>
      <c r="P187" s="246">
        <f t="shared" si="90"/>
        <v>0</v>
      </c>
      <c r="Q187" s="334" t="s">
        <v>512</v>
      </c>
      <c r="R187" s="380" t="s">
        <v>513</v>
      </c>
      <c r="S187" s="332" t="s">
        <v>514</v>
      </c>
      <c r="T187" s="375">
        <v>1500</v>
      </c>
      <c r="U187" s="376">
        <v>6955</v>
      </c>
      <c r="V187" s="377">
        <f t="shared" si="110"/>
        <v>10432500</v>
      </c>
      <c r="W187" s="656"/>
      <c r="X187" s="246">
        <f t="shared" si="91"/>
        <v>0</v>
      </c>
      <c r="Y187" s="334" t="s">
        <v>512</v>
      </c>
      <c r="Z187" s="380" t="s">
        <v>513</v>
      </c>
      <c r="AA187" s="332" t="s">
        <v>514</v>
      </c>
      <c r="AB187" s="375">
        <v>1500</v>
      </c>
      <c r="AC187" s="376">
        <v>7053</v>
      </c>
      <c r="AD187" s="377">
        <f t="shared" si="111"/>
        <v>10579500</v>
      </c>
      <c r="AE187" s="656"/>
      <c r="AF187" s="246">
        <f t="shared" si="92"/>
        <v>0</v>
      </c>
    </row>
    <row r="188" spans="1:32" s="235" customFormat="1" ht="15" outlineLevel="2">
      <c r="A188" s="334" t="s">
        <v>515</v>
      </c>
      <c r="B188" s="378" t="s">
        <v>516</v>
      </c>
      <c r="C188" s="332" t="s">
        <v>105</v>
      </c>
      <c r="D188" s="375">
        <v>30</v>
      </c>
      <c r="E188" s="376">
        <v>51750</v>
      </c>
      <c r="F188" s="377">
        <f t="shared" si="108"/>
        <v>1552500</v>
      </c>
      <c r="G188" s="656"/>
      <c r="H188" s="246">
        <f t="shared" si="89"/>
        <v>0</v>
      </c>
      <c r="I188" s="334" t="s">
        <v>515</v>
      </c>
      <c r="J188" s="378" t="s">
        <v>516</v>
      </c>
      <c r="K188" s="332" t="s">
        <v>105</v>
      </c>
      <c r="L188" s="375">
        <v>30</v>
      </c>
      <c r="M188" s="376">
        <v>15751</v>
      </c>
      <c r="N188" s="377">
        <f t="shared" si="109"/>
        <v>472530</v>
      </c>
      <c r="O188" s="656"/>
      <c r="P188" s="246">
        <f t="shared" si="90"/>
        <v>0</v>
      </c>
      <c r="Q188" s="334" t="s">
        <v>515</v>
      </c>
      <c r="R188" s="378" t="s">
        <v>516</v>
      </c>
      <c r="S188" s="332" t="s">
        <v>105</v>
      </c>
      <c r="T188" s="375">
        <v>30</v>
      </c>
      <c r="U188" s="376">
        <v>15767</v>
      </c>
      <c r="V188" s="377">
        <f t="shared" si="110"/>
        <v>473010</v>
      </c>
      <c r="W188" s="656"/>
      <c r="X188" s="246">
        <f t="shared" si="91"/>
        <v>0</v>
      </c>
      <c r="Y188" s="334" t="s">
        <v>515</v>
      </c>
      <c r="Z188" s="378" t="s">
        <v>516</v>
      </c>
      <c r="AA188" s="332" t="s">
        <v>105</v>
      </c>
      <c r="AB188" s="375">
        <v>30</v>
      </c>
      <c r="AC188" s="376">
        <v>15989</v>
      </c>
      <c r="AD188" s="377">
        <f t="shared" si="111"/>
        <v>479670</v>
      </c>
      <c r="AE188" s="656"/>
      <c r="AF188" s="246">
        <f t="shared" si="92"/>
        <v>0</v>
      </c>
    </row>
    <row r="189" spans="1:32" s="235" customFormat="1" ht="15" outlineLevel="2">
      <c r="A189" s="334" t="s">
        <v>517</v>
      </c>
      <c r="B189" s="379" t="s">
        <v>518</v>
      </c>
      <c r="C189" s="332" t="s">
        <v>105</v>
      </c>
      <c r="D189" s="375">
        <v>30</v>
      </c>
      <c r="E189" s="376">
        <v>62100</v>
      </c>
      <c r="F189" s="377">
        <f t="shared" si="108"/>
        <v>1863000</v>
      </c>
      <c r="G189" s="656"/>
      <c r="H189" s="246">
        <f t="shared" si="89"/>
        <v>0</v>
      </c>
      <c r="I189" s="334" t="s">
        <v>517</v>
      </c>
      <c r="J189" s="379" t="s">
        <v>518</v>
      </c>
      <c r="K189" s="332" t="s">
        <v>105</v>
      </c>
      <c r="L189" s="375">
        <v>30</v>
      </c>
      <c r="M189" s="376">
        <v>18141</v>
      </c>
      <c r="N189" s="377">
        <f t="shared" si="109"/>
        <v>544230</v>
      </c>
      <c r="O189" s="656"/>
      <c r="P189" s="246">
        <f t="shared" si="90"/>
        <v>0</v>
      </c>
      <c r="Q189" s="334" t="s">
        <v>517</v>
      </c>
      <c r="R189" s="379" t="s">
        <v>518</v>
      </c>
      <c r="S189" s="332" t="s">
        <v>105</v>
      </c>
      <c r="T189" s="375">
        <v>30</v>
      </c>
      <c r="U189" s="376">
        <v>18161</v>
      </c>
      <c r="V189" s="377">
        <f t="shared" si="110"/>
        <v>544830</v>
      </c>
      <c r="W189" s="656"/>
      <c r="X189" s="246">
        <f t="shared" si="91"/>
        <v>0</v>
      </c>
      <c r="Y189" s="334" t="s">
        <v>517</v>
      </c>
      <c r="Z189" s="379" t="s">
        <v>518</v>
      </c>
      <c r="AA189" s="332" t="s">
        <v>105</v>
      </c>
      <c r="AB189" s="375">
        <v>30</v>
      </c>
      <c r="AC189" s="376">
        <v>18417</v>
      </c>
      <c r="AD189" s="377">
        <f t="shared" si="111"/>
        <v>552510</v>
      </c>
      <c r="AE189" s="656"/>
      <c r="AF189" s="246">
        <f t="shared" si="92"/>
        <v>0</v>
      </c>
    </row>
    <row r="190" spans="1:32" s="235" customFormat="1" ht="15" outlineLevel="2">
      <c r="A190" s="334" t="s">
        <v>519</v>
      </c>
      <c r="B190" s="381" t="s">
        <v>520</v>
      </c>
      <c r="C190" s="332" t="s">
        <v>514</v>
      </c>
      <c r="D190" s="375">
        <v>200</v>
      </c>
      <c r="E190" s="376">
        <v>5175</v>
      </c>
      <c r="F190" s="377">
        <f t="shared" si="108"/>
        <v>1035000</v>
      </c>
      <c r="G190" s="656"/>
      <c r="H190" s="246">
        <f t="shared" si="89"/>
        <v>0</v>
      </c>
      <c r="I190" s="334" t="s">
        <v>519</v>
      </c>
      <c r="J190" s="381" t="s">
        <v>520</v>
      </c>
      <c r="K190" s="332" t="s">
        <v>514</v>
      </c>
      <c r="L190" s="375">
        <v>200</v>
      </c>
      <c r="M190" s="376">
        <v>9531</v>
      </c>
      <c r="N190" s="377">
        <f t="shared" si="109"/>
        <v>1906200</v>
      </c>
      <c r="O190" s="656"/>
      <c r="P190" s="246">
        <f t="shared" si="90"/>
        <v>0</v>
      </c>
      <c r="Q190" s="334" t="s">
        <v>519</v>
      </c>
      <c r="R190" s="381" t="s">
        <v>520</v>
      </c>
      <c r="S190" s="332" t="s">
        <v>514</v>
      </c>
      <c r="T190" s="375">
        <v>200</v>
      </c>
      <c r="U190" s="376">
        <v>9541</v>
      </c>
      <c r="V190" s="377">
        <f t="shared" si="110"/>
        <v>1908200</v>
      </c>
      <c r="W190" s="656"/>
      <c r="X190" s="246">
        <f t="shared" si="91"/>
        <v>0</v>
      </c>
      <c r="Y190" s="334" t="s">
        <v>519</v>
      </c>
      <c r="Z190" s="381" t="s">
        <v>520</v>
      </c>
      <c r="AA190" s="332" t="s">
        <v>514</v>
      </c>
      <c r="AB190" s="375">
        <v>200</v>
      </c>
      <c r="AC190" s="376">
        <v>9675</v>
      </c>
      <c r="AD190" s="377">
        <f t="shared" si="111"/>
        <v>1935000</v>
      </c>
      <c r="AE190" s="656"/>
      <c r="AF190" s="246">
        <f t="shared" si="92"/>
        <v>0</v>
      </c>
    </row>
    <row r="191" spans="1:32" s="235" customFormat="1" ht="25.5" outlineLevel="2">
      <c r="A191" s="334" t="s">
        <v>521</v>
      </c>
      <c r="B191" s="381" t="s">
        <v>522</v>
      </c>
      <c r="C191" s="332" t="s">
        <v>105</v>
      </c>
      <c r="D191" s="375">
        <v>2</v>
      </c>
      <c r="E191" s="376">
        <v>2070000</v>
      </c>
      <c r="F191" s="377">
        <f t="shared" si="108"/>
        <v>4140000</v>
      </c>
      <c r="G191" s="656"/>
      <c r="H191" s="246">
        <f t="shared" si="89"/>
        <v>0</v>
      </c>
      <c r="I191" s="334" t="s">
        <v>521</v>
      </c>
      <c r="J191" s="381" t="s">
        <v>522</v>
      </c>
      <c r="K191" s="332" t="s">
        <v>105</v>
      </c>
      <c r="L191" s="375">
        <v>2</v>
      </c>
      <c r="M191" s="376">
        <v>580207</v>
      </c>
      <c r="N191" s="377">
        <f t="shared" si="109"/>
        <v>1160414</v>
      </c>
      <c r="O191" s="656"/>
      <c r="P191" s="246">
        <f t="shared" si="90"/>
        <v>0</v>
      </c>
      <c r="Q191" s="334" t="s">
        <v>521</v>
      </c>
      <c r="R191" s="381" t="s">
        <v>522</v>
      </c>
      <c r="S191" s="332" t="s">
        <v>105</v>
      </c>
      <c r="T191" s="375">
        <v>2</v>
      </c>
      <c r="U191" s="376">
        <v>580795</v>
      </c>
      <c r="V191" s="377">
        <f t="shared" si="110"/>
        <v>1161590</v>
      </c>
      <c r="W191" s="656"/>
      <c r="X191" s="246">
        <f t="shared" si="91"/>
        <v>0</v>
      </c>
      <c r="Y191" s="334" t="s">
        <v>521</v>
      </c>
      <c r="Z191" s="381" t="s">
        <v>522</v>
      </c>
      <c r="AA191" s="332" t="s">
        <v>105</v>
      </c>
      <c r="AB191" s="375">
        <v>2</v>
      </c>
      <c r="AC191" s="376">
        <v>589041</v>
      </c>
      <c r="AD191" s="377">
        <f t="shared" si="111"/>
        <v>1178082</v>
      </c>
      <c r="AE191" s="656"/>
      <c r="AF191" s="246">
        <f t="shared" si="92"/>
        <v>0</v>
      </c>
    </row>
    <row r="192" spans="1:32" s="235" customFormat="1" ht="15" outlineLevel="2">
      <c r="A192" s="334" t="s">
        <v>523</v>
      </c>
      <c r="B192" s="379" t="s">
        <v>524</v>
      </c>
      <c r="C192" s="332" t="s">
        <v>105</v>
      </c>
      <c r="D192" s="375">
        <v>30</v>
      </c>
      <c r="E192" s="376">
        <v>5175</v>
      </c>
      <c r="F192" s="377">
        <f t="shared" si="108"/>
        <v>155250</v>
      </c>
      <c r="G192" s="656"/>
      <c r="H192" s="246">
        <f t="shared" si="89"/>
        <v>0</v>
      </c>
      <c r="I192" s="334" t="s">
        <v>523</v>
      </c>
      <c r="J192" s="379" t="s">
        <v>524</v>
      </c>
      <c r="K192" s="332" t="s">
        <v>105</v>
      </c>
      <c r="L192" s="375">
        <v>30</v>
      </c>
      <c r="M192" s="376">
        <v>4267</v>
      </c>
      <c r="N192" s="377">
        <f t="shared" si="109"/>
        <v>128010</v>
      </c>
      <c r="O192" s="656"/>
      <c r="P192" s="246">
        <f t="shared" si="90"/>
        <v>0</v>
      </c>
      <c r="Q192" s="334" t="s">
        <v>523</v>
      </c>
      <c r="R192" s="379" t="s">
        <v>524</v>
      </c>
      <c r="S192" s="332" t="s">
        <v>105</v>
      </c>
      <c r="T192" s="375">
        <v>30</v>
      </c>
      <c r="U192" s="376">
        <v>4271</v>
      </c>
      <c r="V192" s="377">
        <f t="shared" si="110"/>
        <v>128130</v>
      </c>
      <c r="W192" s="656"/>
      <c r="X192" s="246">
        <f t="shared" si="91"/>
        <v>0</v>
      </c>
      <c r="Y192" s="334" t="s">
        <v>523</v>
      </c>
      <c r="Z192" s="379" t="s">
        <v>524</v>
      </c>
      <c r="AA192" s="332" t="s">
        <v>105</v>
      </c>
      <c r="AB192" s="375">
        <v>30</v>
      </c>
      <c r="AC192" s="376">
        <v>4331</v>
      </c>
      <c r="AD192" s="377">
        <f t="shared" si="111"/>
        <v>129930</v>
      </c>
      <c r="AE192" s="656"/>
      <c r="AF192" s="246">
        <f t="shared" si="92"/>
        <v>0</v>
      </c>
    </row>
    <row r="193" spans="1:32" s="235" customFormat="1" ht="25.5" outlineLevel="2">
      <c r="A193" s="334" t="s">
        <v>525</v>
      </c>
      <c r="B193" s="379" t="s">
        <v>526</v>
      </c>
      <c r="C193" s="332" t="s">
        <v>105</v>
      </c>
      <c r="D193" s="375">
        <v>30</v>
      </c>
      <c r="E193" s="376">
        <v>2588</v>
      </c>
      <c r="F193" s="377">
        <f t="shared" si="108"/>
        <v>77640</v>
      </c>
      <c r="G193" s="656"/>
      <c r="H193" s="246">
        <f t="shared" si="89"/>
        <v>0</v>
      </c>
      <c r="I193" s="334" t="s">
        <v>525</v>
      </c>
      <c r="J193" s="379" t="s">
        <v>526</v>
      </c>
      <c r="K193" s="332" t="s">
        <v>105</v>
      </c>
      <c r="L193" s="375">
        <v>30</v>
      </c>
      <c r="M193" s="376">
        <v>2381</v>
      </c>
      <c r="N193" s="377">
        <f t="shared" si="109"/>
        <v>71430</v>
      </c>
      <c r="O193" s="656"/>
      <c r="P193" s="246">
        <f t="shared" si="90"/>
        <v>0</v>
      </c>
      <c r="Q193" s="334" t="s">
        <v>525</v>
      </c>
      <c r="R193" s="379" t="s">
        <v>526</v>
      </c>
      <c r="S193" s="332" t="s">
        <v>105</v>
      </c>
      <c r="T193" s="375">
        <v>30</v>
      </c>
      <c r="U193" s="376">
        <v>2385</v>
      </c>
      <c r="V193" s="377">
        <f t="shared" si="110"/>
        <v>71550</v>
      </c>
      <c r="W193" s="656"/>
      <c r="X193" s="246">
        <f t="shared" si="91"/>
        <v>0</v>
      </c>
      <c r="Y193" s="334" t="s">
        <v>525</v>
      </c>
      <c r="Z193" s="379" t="s">
        <v>526</v>
      </c>
      <c r="AA193" s="332" t="s">
        <v>105</v>
      </c>
      <c r="AB193" s="375">
        <v>30</v>
      </c>
      <c r="AC193" s="376">
        <v>2417</v>
      </c>
      <c r="AD193" s="377">
        <f t="shared" si="111"/>
        <v>72510</v>
      </c>
      <c r="AE193" s="656"/>
      <c r="AF193" s="246">
        <f t="shared" si="92"/>
        <v>0</v>
      </c>
    </row>
    <row r="194" spans="1:32" s="235" customFormat="1" ht="15" outlineLevel="2">
      <c r="A194" s="334" t="s">
        <v>527</v>
      </c>
      <c r="B194" s="379" t="s">
        <v>528</v>
      </c>
      <c r="C194" s="332" t="s">
        <v>105</v>
      </c>
      <c r="D194" s="375">
        <v>30</v>
      </c>
      <c r="E194" s="376">
        <v>3105</v>
      </c>
      <c r="F194" s="377">
        <f t="shared" si="108"/>
        <v>93150</v>
      </c>
      <c r="G194" s="656"/>
      <c r="H194" s="246">
        <f t="shared" si="89"/>
        <v>0</v>
      </c>
      <c r="I194" s="334" t="s">
        <v>527</v>
      </c>
      <c r="J194" s="379" t="s">
        <v>528</v>
      </c>
      <c r="K194" s="332" t="s">
        <v>105</v>
      </c>
      <c r="L194" s="375">
        <v>30</v>
      </c>
      <c r="M194" s="376">
        <v>4267</v>
      </c>
      <c r="N194" s="377">
        <f t="shared" si="109"/>
        <v>128010</v>
      </c>
      <c r="O194" s="656"/>
      <c r="P194" s="246">
        <f t="shared" si="90"/>
        <v>0</v>
      </c>
      <c r="Q194" s="334" t="s">
        <v>527</v>
      </c>
      <c r="R194" s="379" t="s">
        <v>528</v>
      </c>
      <c r="S194" s="332" t="s">
        <v>105</v>
      </c>
      <c r="T194" s="375">
        <v>30</v>
      </c>
      <c r="U194" s="376">
        <v>4271</v>
      </c>
      <c r="V194" s="377">
        <f t="shared" si="110"/>
        <v>128130</v>
      </c>
      <c r="W194" s="656"/>
      <c r="X194" s="246">
        <f t="shared" si="91"/>
        <v>0</v>
      </c>
      <c r="Y194" s="334" t="s">
        <v>527</v>
      </c>
      <c r="Z194" s="379" t="s">
        <v>528</v>
      </c>
      <c r="AA194" s="332" t="s">
        <v>105</v>
      </c>
      <c r="AB194" s="375">
        <v>30</v>
      </c>
      <c r="AC194" s="376">
        <v>4331</v>
      </c>
      <c r="AD194" s="377">
        <f t="shared" si="111"/>
        <v>129930</v>
      </c>
      <c r="AE194" s="656"/>
      <c r="AF194" s="246">
        <f t="shared" si="92"/>
        <v>0</v>
      </c>
    </row>
    <row r="195" spans="1:32" s="235" customFormat="1" ht="15" outlineLevel="2">
      <c r="A195" s="334" t="s">
        <v>529</v>
      </c>
      <c r="B195" s="382" t="s">
        <v>530</v>
      </c>
      <c r="C195" s="332" t="s">
        <v>514</v>
      </c>
      <c r="D195" s="375">
        <v>200</v>
      </c>
      <c r="E195" s="376">
        <v>2070</v>
      </c>
      <c r="F195" s="377">
        <f t="shared" si="108"/>
        <v>414000</v>
      </c>
      <c r="G195" s="656"/>
      <c r="H195" s="246">
        <f t="shared" si="89"/>
        <v>0</v>
      </c>
      <c r="I195" s="334" t="s">
        <v>529</v>
      </c>
      <c r="J195" s="382" t="s">
        <v>530</v>
      </c>
      <c r="K195" s="332" t="s">
        <v>514</v>
      </c>
      <c r="L195" s="375">
        <v>200</v>
      </c>
      <c r="M195" s="376">
        <v>13087</v>
      </c>
      <c r="N195" s="377">
        <f t="shared" si="109"/>
        <v>2617400</v>
      </c>
      <c r="O195" s="656"/>
      <c r="P195" s="246">
        <f t="shared" si="90"/>
        <v>0</v>
      </c>
      <c r="Q195" s="334" t="s">
        <v>529</v>
      </c>
      <c r="R195" s="382" t="s">
        <v>530</v>
      </c>
      <c r="S195" s="332" t="s">
        <v>514</v>
      </c>
      <c r="T195" s="375">
        <v>200</v>
      </c>
      <c r="U195" s="376">
        <v>13101</v>
      </c>
      <c r="V195" s="377">
        <f t="shared" si="110"/>
        <v>2620200</v>
      </c>
      <c r="W195" s="656"/>
      <c r="X195" s="246">
        <f t="shared" si="91"/>
        <v>0</v>
      </c>
      <c r="Y195" s="334" t="s">
        <v>529</v>
      </c>
      <c r="Z195" s="382" t="s">
        <v>530</v>
      </c>
      <c r="AA195" s="332" t="s">
        <v>514</v>
      </c>
      <c r="AB195" s="375">
        <v>200</v>
      </c>
      <c r="AC195" s="376">
        <v>13285</v>
      </c>
      <c r="AD195" s="377">
        <f t="shared" si="111"/>
        <v>2657000</v>
      </c>
      <c r="AE195" s="656"/>
      <c r="AF195" s="246">
        <f t="shared" si="92"/>
        <v>0</v>
      </c>
    </row>
    <row r="196" spans="1:32" s="235" customFormat="1" ht="25.5" outlineLevel="2">
      <c r="A196" s="334" t="s">
        <v>531</v>
      </c>
      <c r="B196" s="379" t="s">
        <v>532</v>
      </c>
      <c r="C196" s="332" t="s">
        <v>224</v>
      </c>
      <c r="D196" s="375">
        <v>2</v>
      </c>
      <c r="E196" s="376">
        <v>258750</v>
      </c>
      <c r="F196" s="377">
        <f t="shared" si="108"/>
        <v>517500</v>
      </c>
      <c r="G196" s="656"/>
      <c r="H196" s="246">
        <f t="shared" si="89"/>
        <v>0</v>
      </c>
      <c r="I196" s="334" t="s">
        <v>531</v>
      </c>
      <c r="J196" s="379" t="s">
        <v>532</v>
      </c>
      <c r="K196" s="332" t="s">
        <v>224</v>
      </c>
      <c r="L196" s="375">
        <v>2</v>
      </c>
      <c r="M196" s="376">
        <v>52667</v>
      </c>
      <c r="N196" s="377">
        <f t="shared" si="109"/>
        <v>105334</v>
      </c>
      <c r="O196" s="656"/>
      <c r="P196" s="246">
        <f t="shared" si="90"/>
        <v>0</v>
      </c>
      <c r="Q196" s="334" t="s">
        <v>531</v>
      </c>
      <c r="R196" s="379" t="s">
        <v>532</v>
      </c>
      <c r="S196" s="332" t="s">
        <v>224</v>
      </c>
      <c r="T196" s="375">
        <v>2</v>
      </c>
      <c r="U196" s="376">
        <v>52721</v>
      </c>
      <c r="V196" s="377">
        <f t="shared" si="110"/>
        <v>105442</v>
      </c>
      <c r="W196" s="656"/>
      <c r="X196" s="246">
        <f t="shared" si="91"/>
        <v>0</v>
      </c>
      <c r="Y196" s="334" t="s">
        <v>531</v>
      </c>
      <c r="Z196" s="379" t="s">
        <v>532</v>
      </c>
      <c r="AA196" s="332" t="s">
        <v>224</v>
      </c>
      <c r="AB196" s="375">
        <v>2</v>
      </c>
      <c r="AC196" s="376">
        <v>53469</v>
      </c>
      <c r="AD196" s="377">
        <f t="shared" si="111"/>
        <v>106938</v>
      </c>
      <c r="AE196" s="656"/>
      <c r="AF196" s="246">
        <f t="shared" si="92"/>
        <v>0</v>
      </c>
    </row>
    <row r="197" spans="1:32" s="235" customFormat="1" ht="25.5" outlineLevel="2">
      <c r="A197" s="334" t="s">
        <v>533</v>
      </c>
      <c r="B197" s="379" t="s">
        <v>534</v>
      </c>
      <c r="C197" s="332" t="s">
        <v>105</v>
      </c>
      <c r="D197" s="375">
        <v>30</v>
      </c>
      <c r="E197" s="376">
        <v>25875</v>
      </c>
      <c r="F197" s="377">
        <f t="shared" si="108"/>
        <v>776250</v>
      </c>
      <c r="G197" s="656"/>
      <c r="H197" s="246">
        <f t="shared" si="89"/>
        <v>0</v>
      </c>
      <c r="I197" s="334" t="s">
        <v>533</v>
      </c>
      <c r="J197" s="379" t="s">
        <v>534</v>
      </c>
      <c r="K197" s="332" t="s">
        <v>105</v>
      </c>
      <c r="L197" s="375">
        <v>30</v>
      </c>
      <c r="M197" s="376">
        <v>18417</v>
      </c>
      <c r="N197" s="377">
        <f t="shared" si="109"/>
        <v>552510</v>
      </c>
      <c r="O197" s="656"/>
      <c r="P197" s="246">
        <f t="shared" si="90"/>
        <v>0</v>
      </c>
      <c r="Q197" s="334" t="s">
        <v>533</v>
      </c>
      <c r="R197" s="379" t="s">
        <v>534</v>
      </c>
      <c r="S197" s="332" t="s">
        <v>105</v>
      </c>
      <c r="T197" s="375">
        <v>30</v>
      </c>
      <c r="U197" s="376">
        <v>18437</v>
      </c>
      <c r="V197" s="377">
        <f t="shared" si="110"/>
        <v>553110</v>
      </c>
      <c r="W197" s="656"/>
      <c r="X197" s="246">
        <f t="shared" si="91"/>
        <v>0</v>
      </c>
      <c r="Y197" s="334" t="s">
        <v>533</v>
      </c>
      <c r="Z197" s="379" t="s">
        <v>534</v>
      </c>
      <c r="AA197" s="332" t="s">
        <v>105</v>
      </c>
      <c r="AB197" s="375">
        <v>30</v>
      </c>
      <c r="AC197" s="376">
        <v>18697</v>
      </c>
      <c r="AD197" s="377">
        <f t="shared" si="111"/>
        <v>560910</v>
      </c>
      <c r="AE197" s="656"/>
      <c r="AF197" s="246">
        <f t="shared" si="92"/>
        <v>0</v>
      </c>
    </row>
    <row r="198" spans="1:32" s="235" customFormat="1" ht="409.5" outlineLevel="2">
      <c r="A198" s="334" t="s">
        <v>535</v>
      </c>
      <c r="B198" s="383" t="s">
        <v>536</v>
      </c>
      <c r="C198" s="332" t="s">
        <v>105</v>
      </c>
      <c r="D198" s="375">
        <v>1</v>
      </c>
      <c r="E198" s="376">
        <v>2070000</v>
      </c>
      <c r="F198" s="377">
        <f t="shared" si="108"/>
        <v>2070000</v>
      </c>
      <c r="G198" s="656"/>
      <c r="H198" s="246">
        <f t="shared" si="89"/>
        <v>0</v>
      </c>
      <c r="I198" s="334" t="s">
        <v>535</v>
      </c>
      <c r="J198" s="383" t="s">
        <v>536</v>
      </c>
      <c r="K198" s="332" t="s">
        <v>105</v>
      </c>
      <c r="L198" s="375">
        <v>1</v>
      </c>
      <c r="M198" s="376">
        <v>4347185</v>
      </c>
      <c r="N198" s="377">
        <f t="shared" si="109"/>
        <v>4347185</v>
      </c>
      <c r="O198" s="656"/>
      <c r="P198" s="246">
        <f t="shared" si="90"/>
        <v>0</v>
      </c>
      <c r="Q198" s="334" t="s">
        <v>535</v>
      </c>
      <c r="R198" s="383" t="s">
        <v>536</v>
      </c>
      <c r="S198" s="332" t="s">
        <v>105</v>
      </c>
      <c r="T198" s="375">
        <v>1</v>
      </c>
      <c r="U198" s="376">
        <v>4351599</v>
      </c>
      <c r="V198" s="377">
        <f t="shared" si="110"/>
        <v>4351599</v>
      </c>
      <c r="W198" s="656"/>
      <c r="X198" s="246">
        <f t="shared" si="91"/>
        <v>0</v>
      </c>
      <c r="Y198" s="334" t="s">
        <v>535</v>
      </c>
      <c r="Z198" s="383" t="s">
        <v>536</v>
      </c>
      <c r="AA198" s="332" t="s">
        <v>105</v>
      </c>
      <c r="AB198" s="375">
        <v>1</v>
      </c>
      <c r="AC198" s="376">
        <v>4413385</v>
      </c>
      <c r="AD198" s="377">
        <f t="shared" si="111"/>
        <v>4413385</v>
      </c>
      <c r="AE198" s="656"/>
      <c r="AF198" s="246">
        <f t="shared" si="92"/>
        <v>0</v>
      </c>
    </row>
    <row r="199" spans="1:32" s="235" customFormat="1" ht="25.5" outlineLevel="2">
      <c r="A199" s="334" t="s">
        <v>537</v>
      </c>
      <c r="B199" s="379" t="s">
        <v>538</v>
      </c>
      <c r="C199" s="332" t="s">
        <v>105</v>
      </c>
      <c r="D199" s="375">
        <v>1</v>
      </c>
      <c r="E199" s="376">
        <v>77625</v>
      </c>
      <c r="F199" s="377">
        <f t="shared" si="108"/>
        <v>77625</v>
      </c>
      <c r="G199" s="656"/>
      <c r="H199" s="246">
        <f t="shared" si="89"/>
        <v>0</v>
      </c>
      <c r="I199" s="334" t="s">
        <v>537</v>
      </c>
      <c r="J199" s="379" t="s">
        <v>538</v>
      </c>
      <c r="K199" s="332" t="s">
        <v>105</v>
      </c>
      <c r="L199" s="375">
        <v>1</v>
      </c>
      <c r="M199" s="376">
        <v>186831</v>
      </c>
      <c r="N199" s="377">
        <f t="shared" si="109"/>
        <v>186831</v>
      </c>
      <c r="O199" s="656"/>
      <c r="P199" s="246">
        <f t="shared" si="90"/>
        <v>0</v>
      </c>
      <c r="Q199" s="334" t="s">
        <v>537</v>
      </c>
      <c r="R199" s="379" t="s">
        <v>538</v>
      </c>
      <c r="S199" s="332" t="s">
        <v>105</v>
      </c>
      <c r="T199" s="375">
        <v>1</v>
      </c>
      <c r="U199" s="376">
        <v>187021</v>
      </c>
      <c r="V199" s="377">
        <f t="shared" si="110"/>
        <v>187021</v>
      </c>
      <c r="W199" s="656"/>
      <c r="X199" s="246">
        <f t="shared" si="91"/>
        <v>0</v>
      </c>
      <c r="Y199" s="334" t="s">
        <v>537</v>
      </c>
      <c r="Z199" s="379" t="s">
        <v>538</v>
      </c>
      <c r="AA199" s="332" t="s">
        <v>105</v>
      </c>
      <c r="AB199" s="375">
        <v>1</v>
      </c>
      <c r="AC199" s="376">
        <v>189675</v>
      </c>
      <c r="AD199" s="377">
        <f t="shared" si="111"/>
        <v>189675</v>
      </c>
      <c r="AE199" s="656"/>
      <c r="AF199" s="246">
        <f t="shared" si="92"/>
        <v>0</v>
      </c>
    </row>
    <row r="200" spans="1:32" s="235" customFormat="1" ht="38.25" outlineLevel="2">
      <c r="A200" s="334" t="s">
        <v>539</v>
      </c>
      <c r="B200" s="379" t="s">
        <v>540</v>
      </c>
      <c r="C200" s="332" t="s">
        <v>105</v>
      </c>
      <c r="D200" s="375">
        <v>3</v>
      </c>
      <c r="E200" s="376">
        <v>98325</v>
      </c>
      <c r="F200" s="377">
        <f t="shared" si="108"/>
        <v>294975</v>
      </c>
      <c r="G200" s="656"/>
      <c r="H200" s="246">
        <f t="shared" ref="H200:H259" si="112">IF(AND(D200="",C200=""),"",IF(E200=0,1,0))</f>
        <v>0</v>
      </c>
      <c r="I200" s="334" t="s">
        <v>539</v>
      </c>
      <c r="J200" s="379" t="s">
        <v>540</v>
      </c>
      <c r="K200" s="332" t="s">
        <v>105</v>
      </c>
      <c r="L200" s="375">
        <v>3</v>
      </c>
      <c r="M200" s="376">
        <v>66155</v>
      </c>
      <c r="N200" s="377">
        <f t="shared" si="109"/>
        <v>198465</v>
      </c>
      <c r="O200" s="656"/>
      <c r="P200" s="246">
        <f t="shared" ref="P200:P259" si="113">IF(AND(L200="",K200=""),"",IF(M200=0,1,0))</f>
        <v>0</v>
      </c>
      <c r="Q200" s="334" t="s">
        <v>539</v>
      </c>
      <c r="R200" s="379" t="s">
        <v>540</v>
      </c>
      <c r="S200" s="332" t="s">
        <v>105</v>
      </c>
      <c r="T200" s="375">
        <v>3</v>
      </c>
      <c r="U200" s="376">
        <v>66221</v>
      </c>
      <c r="V200" s="377">
        <f t="shared" si="110"/>
        <v>198663</v>
      </c>
      <c r="W200" s="656"/>
      <c r="X200" s="246">
        <f t="shared" ref="X200:X259" si="114">IF(AND(T200="",S200=""),"",IF(U200=0,1,0))</f>
        <v>0</v>
      </c>
      <c r="Y200" s="334" t="s">
        <v>539</v>
      </c>
      <c r="Z200" s="379" t="s">
        <v>540</v>
      </c>
      <c r="AA200" s="332" t="s">
        <v>105</v>
      </c>
      <c r="AB200" s="375">
        <v>3</v>
      </c>
      <c r="AC200" s="376">
        <v>67161</v>
      </c>
      <c r="AD200" s="377">
        <f t="shared" si="111"/>
        <v>201483</v>
      </c>
      <c r="AE200" s="656"/>
      <c r="AF200" s="246">
        <f t="shared" ref="AF200:AF259" si="115">IF(AND(AB200="",AA200=""),"",IF(AC200=0,1,0))</f>
        <v>0</v>
      </c>
    </row>
    <row r="201" spans="1:32" s="235" customFormat="1" ht="15" outlineLevel="2">
      <c r="A201" s="334" t="s">
        <v>541</v>
      </c>
      <c r="B201" s="379" t="s">
        <v>542</v>
      </c>
      <c r="C201" s="332" t="s">
        <v>514</v>
      </c>
      <c r="D201" s="375">
        <v>5</v>
      </c>
      <c r="E201" s="376">
        <v>15525</v>
      </c>
      <c r="F201" s="377">
        <f t="shared" si="108"/>
        <v>77625</v>
      </c>
      <c r="G201" s="656"/>
      <c r="H201" s="246">
        <f t="shared" si="112"/>
        <v>0</v>
      </c>
      <c r="I201" s="334" t="s">
        <v>541</v>
      </c>
      <c r="J201" s="379" t="s">
        <v>542</v>
      </c>
      <c r="K201" s="332" t="s">
        <v>514</v>
      </c>
      <c r="L201" s="375">
        <v>5</v>
      </c>
      <c r="M201" s="376">
        <v>4537</v>
      </c>
      <c r="N201" s="377">
        <f t="shared" si="109"/>
        <v>22685</v>
      </c>
      <c r="O201" s="656"/>
      <c r="P201" s="246">
        <f t="shared" si="113"/>
        <v>0</v>
      </c>
      <c r="Q201" s="334" t="s">
        <v>541</v>
      </c>
      <c r="R201" s="379" t="s">
        <v>542</v>
      </c>
      <c r="S201" s="332" t="s">
        <v>514</v>
      </c>
      <c r="T201" s="375">
        <v>5</v>
      </c>
      <c r="U201" s="376">
        <v>4541</v>
      </c>
      <c r="V201" s="377">
        <f t="shared" si="110"/>
        <v>22705</v>
      </c>
      <c r="W201" s="656"/>
      <c r="X201" s="246">
        <f t="shared" si="114"/>
        <v>0</v>
      </c>
      <c r="Y201" s="334" t="s">
        <v>541</v>
      </c>
      <c r="Z201" s="379" t="s">
        <v>542</v>
      </c>
      <c r="AA201" s="332" t="s">
        <v>514</v>
      </c>
      <c r="AB201" s="375">
        <v>5</v>
      </c>
      <c r="AC201" s="376">
        <v>4605</v>
      </c>
      <c r="AD201" s="377">
        <f t="shared" si="111"/>
        <v>23025</v>
      </c>
      <c r="AE201" s="656"/>
      <c r="AF201" s="246">
        <f t="shared" si="115"/>
        <v>0</v>
      </c>
    </row>
    <row r="202" spans="1:32" s="235" customFormat="1" ht="15" outlineLevel="2">
      <c r="A202" s="334" t="s">
        <v>543</v>
      </c>
      <c r="B202" s="384" t="s">
        <v>544</v>
      </c>
      <c r="C202" s="332" t="s">
        <v>105</v>
      </c>
      <c r="D202" s="375">
        <v>2</v>
      </c>
      <c r="E202" s="376">
        <v>15525</v>
      </c>
      <c r="F202" s="377">
        <f t="shared" si="108"/>
        <v>31050</v>
      </c>
      <c r="G202" s="656"/>
      <c r="H202" s="246">
        <f t="shared" si="112"/>
        <v>0</v>
      </c>
      <c r="I202" s="334" t="s">
        <v>543</v>
      </c>
      <c r="J202" s="384" t="s">
        <v>544</v>
      </c>
      <c r="K202" s="332" t="s">
        <v>105</v>
      </c>
      <c r="L202" s="375">
        <v>2</v>
      </c>
      <c r="M202" s="376">
        <v>5643</v>
      </c>
      <c r="N202" s="377">
        <f t="shared" si="109"/>
        <v>11286</v>
      </c>
      <c r="O202" s="656"/>
      <c r="P202" s="246">
        <f t="shared" si="113"/>
        <v>0</v>
      </c>
      <c r="Q202" s="334" t="s">
        <v>543</v>
      </c>
      <c r="R202" s="384" t="s">
        <v>544</v>
      </c>
      <c r="S202" s="332" t="s">
        <v>105</v>
      </c>
      <c r="T202" s="375">
        <v>2</v>
      </c>
      <c r="U202" s="376">
        <v>5647</v>
      </c>
      <c r="V202" s="377">
        <f t="shared" si="110"/>
        <v>11294</v>
      </c>
      <c r="W202" s="656"/>
      <c r="X202" s="246">
        <f t="shared" si="114"/>
        <v>0</v>
      </c>
      <c r="Y202" s="334" t="s">
        <v>543</v>
      </c>
      <c r="Z202" s="384" t="s">
        <v>544</v>
      </c>
      <c r="AA202" s="332" t="s">
        <v>105</v>
      </c>
      <c r="AB202" s="375">
        <v>2</v>
      </c>
      <c r="AC202" s="376">
        <v>5727</v>
      </c>
      <c r="AD202" s="377">
        <f t="shared" si="111"/>
        <v>11454</v>
      </c>
      <c r="AE202" s="656"/>
      <c r="AF202" s="246">
        <f t="shared" si="115"/>
        <v>0</v>
      </c>
    </row>
    <row r="203" spans="1:32" s="235" customFormat="1" ht="15" outlineLevel="2">
      <c r="A203" s="334" t="s">
        <v>545</v>
      </c>
      <c r="B203" s="384" t="s">
        <v>546</v>
      </c>
      <c r="C203" s="332" t="s">
        <v>105</v>
      </c>
      <c r="D203" s="375">
        <v>2</v>
      </c>
      <c r="E203" s="376">
        <v>15525</v>
      </c>
      <c r="F203" s="377">
        <f t="shared" si="108"/>
        <v>31050</v>
      </c>
      <c r="G203" s="656"/>
      <c r="H203" s="246">
        <f t="shared" si="112"/>
        <v>0</v>
      </c>
      <c r="I203" s="334" t="s">
        <v>545</v>
      </c>
      <c r="J203" s="384" t="s">
        <v>546</v>
      </c>
      <c r="K203" s="332" t="s">
        <v>105</v>
      </c>
      <c r="L203" s="375">
        <v>2</v>
      </c>
      <c r="M203" s="376">
        <v>5743</v>
      </c>
      <c r="N203" s="377">
        <f t="shared" si="109"/>
        <v>11486</v>
      </c>
      <c r="O203" s="656"/>
      <c r="P203" s="246">
        <f t="shared" si="113"/>
        <v>0</v>
      </c>
      <c r="Q203" s="334" t="s">
        <v>545</v>
      </c>
      <c r="R203" s="384" t="s">
        <v>546</v>
      </c>
      <c r="S203" s="332" t="s">
        <v>105</v>
      </c>
      <c r="T203" s="375">
        <v>2</v>
      </c>
      <c r="U203" s="376">
        <v>5749</v>
      </c>
      <c r="V203" s="377">
        <f t="shared" si="110"/>
        <v>11498</v>
      </c>
      <c r="W203" s="656"/>
      <c r="X203" s="246">
        <f t="shared" si="114"/>
        <v>0</v>
      </c>
      <c r="Y203" s="334" t="s">
        <v>545</v>
      </c>
      <c r="Z203" s="384" t="s">
        <v>546</v>
      </c>
      <c r="AA203" s="332" t="s">
        <v>105</v>
      </c>
      <c r="AB203" s="375">
        <v>2</v>
      </c>
      <c r="AC203" s="376">
        <v>5829</v>
      </c>
      <c r="AD203" s="377">
        <f t="shared" si="111"/>
        <v>11658</v>
      </c>
      <c r="AE203" s="656"/>
      <c r="AF203" s="246">
        <f t="shared" si="115"/>
        <v>0</v>
      </c>
    </row>
    <row r="204" spans="1:32" s="235" customFormat="1" ht="25.5" outlineLevel="2">
      <c r="A204" s="334" t="s">
        <v>547</v>
      </c>
      <c r="B204" s="379" t="s">
        <v>548</v>
      </c>
      <c r="C204" s="332" t="s">
        <v>514</v>
      </c>
      <c r="D204" s="375">
        <v>10</v>
      </c>
      <c r="E204" s="376">
        <v>15525</v>
      </c>
      <c r="F204" s="377">
        <f t="shared" si="108"/>
        <v>155250</v>
      </c>
      <c r="G204" s="656"/>
      <c r="H204" s="246">
        <f t="shared" si="112"/>
        <v>0</v>
      </c>
      <c r="I204" s="334" t="s">
        <v>547</v>
      </c>
      <c r="J204" s="379" t="s">
        <v>548</v>
      </c>
      <c r="K204" s="332" t="s">
        <v>514</v>
      </c>
      <c r="L204" s="375">
        <v>10</v>
      </c>
      <c r="M204" s="376">
        <v>27743</v>
      </c>
      <c r="N204" s="377">
        <f t="shared" si="109"/>
        <v>277430</v>
      </c>
      <c r="O204" s="656"/>
      <c r="P204" s="246">
        <f t="shared" si="113"/>
        <v>0</v>
      </c>
      <c r="Q204" s="334" t="s">
        <v>547</v>
      </c>
      <c r="R204" s="379" t="s">
        <v>548</v>
      </c>
      <c r="S204" s="332" t="s">
        <v>514</v>
      </c>
      <c r="T204" s="375">
        <v>10</v>
      </c>
      <c r="U204" s="376">
        <v>27771</v>
      </c>
      <c r="V204" s="377">
        <f t="shared" si="110"/>
        <v>277710</v>
      </c>
      <c r="W204" s="656"/>
      <c r="X204" s="246">
        <f t="shared" si="114"/>
        <v>0</v>
      </c>
      <c r="Y204" s="334" t="s">
        <v>547</v>
      </c>
      <c r="Z204" s="379" t="s">
        <v>548</v>
      </c>
      <c r="AA204" s="332" t="s">
        <v>514</v>
      </c>
      <c r="AB204" s="375">
        <v>10</v>
      </c>
      <c r="AC204" s="376">
        <v>28165</v>
      </c>
      <c r="AD204" s="377">
        <f t="shared" si="111"/>
        <v>281650</v>
      </c>
      <c r="AE204" s="656"/>
      <c r="AF204" s="246">
        <f t="shared" si="115"/>
        <v>0</v>
      </c>
    </row>
    <row r="205" spans="1:32" s="235" customFormat="1" ht="15" outlineLevel="2">
      <c r="A205" s="334" t="s">
        <v>549</v>
      </c>
      <c r="B205" s="379" t="s">
        <v>550</v>
      </c>
      <c r="C205" s="332" t="s">
        <v>105</v>
      </c>
      <c r="D205" s="375">
        <v>30</v>
      </c>
      <c r="E205" s="376">
        <v>15525</v>
      </c>
      <c r="F205" s="377">
        <f t="shared" si="108"/>
        <v>465750</v>
      </c>
      <c r="G205" s="656"/>
      <c r="H205" s="246">
        <f t="shared" si="112"/>
        <v>0</v>
      </c>
      <c r="I205" s="334" t="s">
        <v>549</v>
      </c>
      <c r="J205" s="379" t="s">
        <v>550</v>
      </c>
      <c r="K205" s="332" t="s">
        <v>105</v>
      </c>
      <c r="L205" s="375">
        <v>30</v>
      </c>
      <c r="M205" s="376">
        <v>21055</v>
      </c>
      <c r="N205" s="377">
        <f t="shared" si="109"/>
        <v>631650</v>
      </c>
      <c r="O205" s="656"/>
      <c r="P205" s="246">
        <f t="shared" si="113"/>
        <v>0</v>
      </c>
      <c r="Q205" s="334" t="s">
        <v>549</v>
      </c>
      <c r="R205" s="379" t="s">
        <v>550</v>
      </c>
      <c r="S205" s="332" t="s">
        <v>105</v>
      </c>
      <c r="T205" s="375">
        <v>30</v>
      </c>
      <c r="U205" s="376">
        <v>21077</v>
      </c>
      <c r="V205" s="377">
        <f t="shared" si="110"/>
        <v>632310</v>
      </c>
      <c r="W205" s="656"/>
      <c r="X205" s="246">
        <f t="shared" si="114"/>
        <v>0</v>
      </c>
      <c r="Y205" s="334" t="s">
        <v>549</v>
      </c>
      <c r="Z205" s="379" t="s">
        <v>550</v>
      </c>
      <c r="AA205" s="332" t="s">
        <v>105</v>
      </c>
      <c r="AB205" s="375">
        <v>30</v>
      </c>
      <c r="AC205" s="376">
        <v>21375</v>
      </c>
      <c r="AD205" s="377">
        <f t="shared" si="111"/>
        <v>641250</v>
      </c>
      <c r="AE205" s="656"/>
      <c r="AF205" s="246">
        <f t="shared" si="115"/>
        <v>0</v>
      </c>
    </row>
    <row r="206" spans="1:32" s="235" customFormat="1" ht="15" outlineLevel="2">
      <c r="A206" s="334" t="s">
        <v>551</v>
      </c>
      <c r="B206" s="384" t="s">
        <v>552</v>
      </c>
      <c r="C206" s="332" t="s">
        <v>105</v>
      </c>
      <c r="D206" s="375">
        <v>6</v>
      </c>
      <c r="E206" s="376">
        <v>12420</v>
      </c>
      <c r="F206" s="377">
        <f t="shared" si="108"/>
        <v>74520</v>
      </c>
      <c r="G206" s="656"/>
      <c r="H206" s="246">
        <f t="shared" si="112"/>
        <v>0</v>
      </c>
      <c r="I206" s="334" t="s">
        <v>551</v>
      </c>
      <c r="J206" s="384" t="s">
        <v>552</v>
      </c>
      <c r="K206" s="332" t="s">
        <v>105</v>
      </c>
      <c r="L206" s="375">
        <v>6</v>
      </c>
      <c r="M206" s="376">
        <v>7839</v>
      </c>
      <c r="N206" s="377">
        <f t="shared" si="109"/>
        <v>47034</v>
      </c>
      <c r="O206" s="656"/>
      <c r="P206" s="246">
        <f t="shared" si="113"/>
        <v>0</v>
      </c>
      <c r="Q206" s="334" t="s">
        <v>551</v>
      </c>
      <c r="R206" s="384" t="s">
        <v>552</v>
      </c>
      <c r="S206" s="332" t="s">
        <v>105</v>
      </c>
      <c r="T206" s="375">
        <v>6</v>
      </c>
      <c r="U206" s="376">
        <v>7847</v>
      </c>
      <c r="V206" s="377">
        <f t="shared" si="110"/>
        <v>47082</v>
      </c>
      <c r="W206" s="656"/>
      <c r="X206" s="246">
        <f t="shared" si="114"/>
        <v>0</v>
      </c>
      <c r="Y206" s="334" t="s">
        <v>551</v>
      </c>
      <c r="Z206" s="384" t="s">
        <v>552</v>
      </c>
      <c r="AA206" s="332" t="s">
        <v>105</v>
      </c>
      <c r="AB206" s="375">
        <v>6</v>
      </c>
      <c r="AC206" s="376">
        <v>7957</v>
      </c>
      <c r="AD206" s="377">
        <f t="shared" si="111"/>
        <v>47742</v>
      </c>
      <c r="AE206" s="656"/>
      <c r="AF206" s="246">
        <f t="shared" si="115"/>
        <v>0</v>
      </c>
    </row>
    <row r="207" spans="1:32" s="235" customFormat="1" ht="15.75" outlineLevel="2" thickBot="1">
      <c r="A207" s="334" t="s">
        <v>553</v>
      </c>
      <c r="B207" s="379" t="s">
        <v>554</v>
      </c>
      <c r="C207" s="332" t="s">
        <v>105</v>
      </c>
      <c r="D207" s="375">
        <v>1</v>
      </c>
      <c r="E207" s="376">
        <v>5278500</v>
      </c>
      <c r="F207" s="377">
        <f t="shared" si="108"/>
        <v>5278500</v>
      </c>
      <c r="G207" s="655"/>
      <c r="H207" s="246">
        <f t="shared" si="112"/>
        <v>0</v>
      </c>
      <c r="I207" s="334" t="s">
        <v>553</v>
      </c>
      <c r="J207" s="379" t="s">
        <v>554</v>
      </c>
      <c r="K207" s="332" t="s">
        <v>105</v>
      </c>
      <c r="L207" s="375">
        <v>1</v>
      </c>
      <c r="M207" s="376">
        <v>7451527</v>
      </c>
      <c r="N207" s="377">
        <f t="shared" si="109"/>
        <v>7451527</v>
      </c>
      <c r="O207" s="655"/>
      <c r="P207" s="246">
        <f t="shared" si="113"/>
        <v>0</v>
      </c>
      <c r="Q207" s="334" t="s">
        <v>553</v>
      </c>
      <c r="R207" s="379" t="s">
        <v>554</v>
      </c>
      <c r="S207" s="332" t="s">
        <v>105</v>
      </c>
      <c r="T207" s="375">
        <v>1</v>
      </c>
      <c r="U207" s="376">
        <v>7459091</v>
      </c>
      <c r="V207" s="377">
        <f t="shared" si="110"/>
        <v>7459091</v>
      </c>
      <c r="W207" s="655"/>
      <c r="X207" s="246">
        <f t="shared" si="114"/>
        <v>0</v>
      </c>
      <c r="Y207" s="334" t="s">
        <v>553</v>
      </c>
      <c r="Z207" s="379" t="s">
        <v>554</v>
      </c>
      <c r="AA207" s="332" t="s">
        <v>105</v>
      </c>
      <c r="AB207" s="375">
        <v>1</v>
      </c>
      <c r="AC207" s="376">
        <v>7565001</v>
      </c>
      <c r="AD207" s="377">
        <f t="shared" si="111"/>
        <v>7565001</v>
      </c>
      <c r="AE207" s="655"/>
      <c r="AF207" s="246">
        <f t="shared" si="115"/>
        <v>0</v>
      </c>
    </row>
    <row r="208" spans="1:32" s="235" customFormat="1" ht="17.25" outlineLevel="2" thickTop="1" thickBot="1">
      <c r="A208" s="264" t="s">
        <v>555</v>
      </c>
      <c r="B208" s="330" t="s">
        <v>556</v>
      </c>
      <c r="C208" s="266"/>
      <c r="D208" s="267"/>
      <c r="E208" s="268"/>
      <c r="F208" s="269"/>
      <c r="G208" s="342">
        <f>SUM(F210:F259)</f>
        <v>97761822</v>
      </c>
      <c r="H208" s="246" t="str">
        <f t="shared" si="112"/>
        <v/>
      </c>
      <c r="I208" s="264" t="s">
        <v>555</v>
      </c>
      <c r="J208" s="330" t="s">
        <v>556</v>
      </c>
      <c r="K208" s="266"/>
      <c r="L208" s="267"/>
      <c r="M208" s="268"/>
      <c r="N208" s="269"/>
      <c r="O208" s="342">
        <f>SUM(N210:N259)</f>
        <v>94816233</v>
      </c>
      <c r="P208" s="246" t="str">
        <f t="shared" si="113"/>
        <v/>
      </c>
      <c r="Q208" s="264" t="s">
        <v>555</v>
      </c>
      <c r="R208" s="330" t="s">
        <v>556</v>
      </c>
      <c r="S208" s="266"/>
      <c r="T208" s="267"/>
      <c r="U208" s="268"/>
      <c r="V208" s="269"/>
      <c r="W208" s="342">
        <f>SUM(V210:V259)</f>
        <v>94930656</v>
      </c>
      <c r="X208" s="246" t="str">
        <f t="shared" si="114"/>
        <v/>
      </c>
      <c r="Y208" s="264" t="s">
        <v>555</v>
      </c>
      <c r="Z208" s="330" t="s">
        <v>556</v>
      </c>
      <c r="AA208" s="266"/>
      <c r="AB208" s="267"/>
      <c r="AC208" s="268"/>
      <c r="AD208" s="269"/>
      <c r="AE208" s="342">
        <f>SUM(AD210:AD259)</f>
        <v>96275133</v>
      </c>
      <c r="AF208" s="246" t="str">
        <f t="shared" si="115"/>
        <v/>
      </c>
    </row>
    <row r="209" spans="1:32" s="235" customFormat="1" ht="17.25" outlineLevel="2" thickTop="1" thickBot="1">
      <c r="A209" s="343" t="s">
        <v>557</v>
      </c>
      <c r="B209" s="344" t="s">
        <v>558</v>
      </c>
      <c r="C209" s="345"/>
      <c r="D209" s="346"/>
      <c r="E209" s="347"/>
      <c r="F209" s="348"/>
      <c r="G209" s="349">
        <f>SUM(F210:F212)</f>
        <v>5364967</v>
      </c>
      <c r="H209" s="246" t="str">
        <f t="shared" si="112"/>
        <v/>
      </c>
      <c r="I209" s="343" t="s">
        <v>557</v>
      </c>
      <c r="J209" s="344" t="s">
        <v>558</v>
      </c>
      <c r="K209" s="345"/>
      <c r="L209" s="346"/>
      <c r="M209" s="347"/>
      <c r="N209" s="348"/>
      <c r="O209" s="349">
        <f>SUM(N210:N212)</f>
        <v>5227069</v>
      </c>
      <c r="P209" s="246" t="str">
        <f t="shared" si="113"/>
        <v/>
      </c>
      <c r="Q209" s="343" t="s">
        <v>557</v>
      </c>
      <c r="R209" s="344" t="s">
        <v>558</v>
      </c>
      <c r="S209" s="345"/>
      <c r="T209" s="346"/>
      <c r="U209" s="347"/>
      <c r="V209" s="348"/>
      <c r="W209" s="349">
        <f>SUM(V210:V212)</f>
        <v>5087415</v>
      </c>
      <c r="X209" s="246" t="str">
        <f t="shared" si="114"/>
        <v/>
      </c>
      <c r="Y209" s="343" t="s">
        <v>557</v>
      </c>
      <c r="Z209" s="344" t="s">
        <v>558</v>
      </c>
      <c r="AA209" s="345"/>
      <c r="AB209" s="346"/>
      <c r="AC209" s="347"/>
      <c r="AD209" s="348"/>
      <c r="AE209" s="349">
        <f>SUM(AD210:AD212)</f>
        <v>5159460</v>
      </c>
      <c r="AF209" s="246" t="str">
        <f t="shared" si="115"/>
        <v/>
      </c>
    </row>
    <row r="210" spans="1:32" s="235" customFormat="1" ht="51.75" outlineLevel="2" thickTop="1">
      <c r="A210" s="334" t="s">
        <v>559</v>
      </c>
      <c r="B210" s="379" t="s">
        <v>560</v>
      </c>
      <c r="C210" s="332" t="s">
        <v>94</v>
      </c>
      <c r="D210" s="375">
        <v>95</v>
      </c>
      <c r="E210" s="385">
        <v>16875</v>
      </c>
      <c r="F210" s="377">
        <f t="shared" ref="F210:F212" si="116">ROUND(D210*E210,0)</f>
        <v>1603125</v>
      </c>
      <c r="G210" s="654">
        <v>0</v>
      </c>
      <c r="H210" s="246">
        <f t="shared" si="112"/>
        <v>0</v>
      </c>
      <c r="I210" s="334" t="s">
        <v>559</v>
      </c>
      <c r="J210" s="379" t="s">
        <v>560</v>
      </c>
      <c r="K210" s="332" t="s">
        <v>94</v>
      </c>
      <c r="L210" s="375">
        <v>95</v>
      </c>
      <c r="M210" s="385">
        <v>10935</v>
      </c>
      <c r="N210" s="377">
        <f t="shared" ref="N210:N212" si="117">ROUND(L210*M210,0)</f>
        <v>1038825</v>
      </c>
      <c r="O210" s="654">
        <v>0</v>
      </c>
      <c r="P210" s="246">
        <f t="shared" si="113"/>
        <v>0</v>
      </c>
      <c r="Q210" s="334" t="s">
        <v>559</v>
      </c>
      <c r="R210" s="379" t="s">
        <v>560</v>
      </c>
      <c r="S210" s="332" t="s">
        <v>94</v>
      </c>
      <c r="T210" s="375">
        <v>95</v>
      </c>
      <c r="U210" s="385">
        <v>10945</v>
      </c>
      <c r="V210" s="377">
        <f t="shared" ref="V210:V212" si="118">ROUND(T210*U210,0)</f>
        <v>1039775</v>
      </c>
      <c r="W210" s="654">
        <v>0</v>
      </c>
      <c r="X210" s="246">
        <f t="shared" si="114"/>
        <v>0</v>
      </c>
      <c r="Y210" s="334" t="s">
        <v>559</v>
      </c>
      <c r="Z210" s="379" t="s">
        <v>560</v>
      </c>
      <c r="AA210" s="332" t="s">
        <v>94</v>
      </c>
      <c r="AB210" s="375">
        <v>95</v>
      </c>
      <c r="AC210" s="385">
        <v>11100</v>
      </c>
      <c r="AD210" s="377">
        <f t="shared" ref="AD210:AD212" si="119">ROUND(AB210*AC210,0)</f>
        <v>1054500</v>
      </c>
      <c r="AE210" s="654">
        <v>0</v>
      </c>
      <c r="AF210" s="246">
        <f t="shared" si="115"/>
        <v>0</v>
      </c>
    </row>
    <row r="211" spans="1:32" s="235" customFormat="1" ht="25.5" outlineLevel="2">
      <c r="A211" s="334" t="s">
        <v>561</v>
      </c>
      <c r="B211" s="379" t="s">
        <v>562</v>
      </c>
      <c r="C211" s="332" t="s">
        <v>169</v>
      </c>
      <c r="D211" s="375">
        <v>19.2</v>
      </c>
      <c r="E211" s="385">
        <v>48273</v>
      </c>
      <c r="F211" s="377">
        <f t="shared" si="116"/>
        <v>926842</v>
      </c>
      <c r="G211" s="656"/>
      <c r="H211" s="246">
        <f t="shared" si="112"/>
        <v>0</v>
      </c>
      <c r="I211" s="334" t="s">
        <v>561</v>
      </c>
      <c r="J211" s="379" t="s">
        <v>562</v>
      </c>
      <c r="K211" s="332" t="s">
        <v>169</v>
      </c>
      <c r="L211" s="375">
        <v>19.2</v>
      </c>
      <c r="M211" s="385">
        <v>55457</v>
      </c>
      <c r="N211" s="377">
        <f t="shared" si="117"/>
        <v>1064774</v>
      </c>
      <c r="O211" s="656"/>
      <c r="P211" s="246">
        <f t="shared" si="113"/>
        <v>0</v>
      </c>
      <c r="Q211" s="334" t="s">
        <v>561</v>
      </c>
      <c r="R211" s="379" t="s">
        <v>562</v>
      </c>
      <c r="S211" s="332" t="s">
        <v>169</v>
      </c>
      <c r="T211" s="375">
        <v>19.2</v>
      </c>
      <c r="U211" s="385">
        <v>55513</v>
      </c>
      <c r="V211" s="377">
        <f t="shared" si="118"/>
        <v>1065850</v>
      </c>
      <c r="W211" s="656"/>
      <c r="X211" s="246">
        <f t="shared" si="114"/>
        <v>0</v>
      </c>
      <c r="Y211" s="334" t="s">
        <v>561</v>
      </c>
      <c r="Z211" s="379" t="s">
        <v>562</v>
      </c>
      <c r="AA211" s="332" t="s">
        <v>169</v>
      </c>
      <c r="AB211" s="375">
        <v>19.2</v>
      </c>
      <c r="AC211" s="385">
        <v>56300</v>
      </c>
      <c r="AD211" s="377">
        <f t="shared" si="119"/>
        <v>1080960</v>
      </c>
      <c r="AE211" s="656"/>
      <c r="AF211" s="246">
        <f t="shared" si="115"/>
        <v>0</v>
      </c>
    </row>
    <row r="212" spans="1:32" s="235" customFormat="1" ht="64.5" outlineLevel="2" thickBot="1">
      <c r="A212" s="334" t="s">
        <v>563</v>
      </c>
      <c r="B212" s="379" t="s">
        <v>564</v>
      </c>
      <c r="C212" s="332" t="s">
        <v>169</v>
      </c>
      <c r="D212" s="375">
        <v>70</v>
      </c>
      <c r="E212" s="385">
        <v>40500</v>
      </c>
      <c r="F212" s="377">
        <f t="shared" si="116"/>
        <v>2835000</v>
      </c>
      <c r="G212" s="656"/>
      <c r="H212" s="246">
        <f t="shared" si="112"/>
        <v>0</v>
      </c>
      <c r="I212" s="334" t="s">
        <v>563</v>
      </c>
      <c r="J212" s="379" t="s">
        <v>564</v>
      </c>
      <c r="K212" s="332" t="s">
        <v>169</v>
      </c>
      <c r="L212" s="375">
        <v>70</v>
      </c>
      <c r="M212" s="385">
        <v>44621</v>
      </c>
      <c r="N212" s="377">
        <f t="shared" si="117"/>
        <v>3123470</v>
      </c>
      <c r="O212" s="656"/>
      <c r="P212" s="246">
        <f t="shared" si="113"/>
        <v>0</v>
      </c>
      <c r="Q212" s="334" t="s">
        <v>563</v>
      </c>
      <c r="R212" s="379" t="s">
        <v>564</v>
      </c>
      <c r="S212" s="332" t="s">
        <v>169</v>
      </c>
      <c r="T212" s="375">
        <v>70</v>
      </c>
      <c r="U212" s="385">
        <v>42597</v>
      </c>
      <c r="V212" s="377">
        <f t="shared" si="118"/>
        <v>2981790</v>
      </c>
      <c r="W212" s="656"/>
      <c r="X212" s="246">
        <f t="shared" si="114"/>
        <v>0</v>
      </c>
      <c r="Y212" s="334" t="s">
        <v>563</v>
      </c>
      <c r="Z212" s="379" t="s">
        <v>564</v>
      </c>
      <c r="AA212" s="332" t="s">
        <v>169</v>
      </c>
      <c r="AB212" s="375">
        <v>70</v>
      </c>
      <c r="AC212" s="385">
        <v>43200</v>
      </c>
      <c r="AD212" s="377">
        <f t="shared" si="119"/>
        <v>3024000</v>
      </c>
      <c r="AE212" s="656"/>
      <c r="AF212" s="246">
        <f t="shared" si="115"/>
        <v>0</v>
      </c>
    </row>
    <row r="213" spans="1:32" s="235" customFormat="1" ht="17.25" outlineLevel="2" thickTop="1" thickBot="1">
      <c r="A213" s="343" t="s">
        <v>565</v>
      </c>
      <c r="B213" s="344" t="s">
        <v>566</v>
      </c>
      <c r="C213" s="345"/>
      <c r="D213" s="346"/>
      <c r="E213" s="347"/>
      <c r="F213" s="348"/>
      <c r="G213" s="349">
        <f>SUM(F214:F217)</f>
        <v>9531008</v>
      </c>
      <c r="H213" s="246" t="str">
        <f t="shared" si="112"/>
        <v/>
      </c>
      <c r="I213" s="343" t="s">
        <v>565</v>
      </c>
      <c r="J213" s="344" t="s">
        <v>566</v>
      </c>
      <c r="K213" s="345"/>
      <c r="L213" s="346"/>
      <c r="M213" s="347"/>
      <c r="N213" s="348"/>
      <c r="O213" s="349">
        <f>SUM(N214:N217)</f>
        <v>5874620</v>
      </c>
      <c r="P213" s="246" t="str">
        <f t="shared" si="113"/>
        <v/>
      </c>
      <c r="Q213" s="343" t="s">
        <v>565</v>
      </c>
      <c r="R213" s="344" t="s">
        <v>566</v>
      </c>
      <c r="S213" s="345"/>
      <c r="T213" s="346"/>
      <c r="U213" s="347"/>
      <c r="V213" s="348"/>
      <c r="W213" s="349">
        <f>SUM(V214:V217)</f>
        <v>5880610</v>
      </c>
      <c r="X213" s="246" t="str">
        <f t="shared" si="114"/>
        <v/>
      </c>
      <c r="Y213" s="343" t="s">
        <v>565</v>
      </c>
      <c r="Z213" s="344" t="s">
        <v>566</v>
      </c>
      <c r="AA213" s="345"/>
      <c r="AB213" s="346"/>
      <c r="AC213" s="347"/>
      <c r="AD213" s="348"/>
      <c r="AE213" s="349">
        <f>SUM(AD214:AD217)</f>
        <v>5963960</v>
      </c>
      <c r="AF213" s="246" t="str">
        <f t="shared" si="115"/>
        <v/>
      </c>
    </row>
    <row r="214" spans="1:32" s="235" customFormat="1" ht="75.75" outlineLevel="2" thickTop="1">
      <c r="A214" s="334" t="s">
        <v>567</v>
      </c>
      <c r="B214" s="386" t="s">
        <v>568</v>
      </c>
      <c r="C214" s="332" t="s">
        <v>169</v>
      </c>
      <c r="D214" s="375">
        <v>35.200000000000003</v>
      </c>
      <c r="E214" s="376">
        <v>49730</v>
      </c>
      <c r="F214" s="377">
        <f t="shared" ref="F214:F217" si="120">ROUND(D214*E214,0)</f>
        <v>1750496</v>
      </c>
      <c r="G214" s="654">
        <v>0</v>
      </c>
      <c r="H214" s="246">
        <f t="shared" si="112"/>
        <v>0</v>
      </c>
      <c r="I214" s="334" t="s">
        <v>567</v>
      </c>
      <c r="J214" s="386" t="s">
        <v>568</v>
      </c>
      <c r="K214" s="332" t="s">
        <v>169</v>
      </c>
      <c r="L214" s="375">
        <v>35.200000000000003</v>
      </c>
      <c r="M214" s="376">
        <v>50433</v>
      </c>
      <c r="N214" s="377">
        <f t="shared" ref="N214:N217" si="121">ROUND(L214*M214,0)</f>
        <v>1775242</v>
      </c>
      <c r="O214" s="654">
        <v>0</v>
      </c>
      <c r="P214" s="246">
        <f t="shared" si="113"/>
        <v>0</v>
      </c>
      <c r="Q214" s="334" t="s">
        <v>567</v>
      </c>
      <c r="R214" s="386" t="s">
        <v>568</v>
      </c>
      <c r="S214" s="332" t="s">
        <v>169</v>
      </c>
      <c r="T214" s="375">
        <v>35.200000000000003</v>
      </c>
      <c r="U214" s="376">
        <v>50485</v>
      </c>
      <c r="V214" s="377">
        <f t="shared" ref="V214:V217" si="122">ROUND(T214*U214,0)</f>
        <v>1777072</v>
      </c>
      <c r="W214" s="654">
        <v>0</v>
      </c>
      <c r="X214" s="246">
        <f t="shared" si="114"/>
        <v>0</v>
      </c>
      <c r="Y214" s="334" t="s">
        <v>567</v>
      </c>
      <c r="Z214" s="386" t="s">
        <v>568</v>
      </c>
      <c r="AA214" s="332" t="s">
        <v>169</v>
      </c>
      <c r="AB214" s="375">
        <v>35.200000000000003</v>
      </c>
      <c r="AC214" s="376">
        <v>51200</v>
      </c>
      <c r="AD214" s="377">
        <f t="shared" ref="AD214:AD217" si="123">ROUND(AB214*AC214,0)</f>
        <v>1802240</v>
      </c>
      <c r="AE214" s="654">
        <v>0</v>
      </c>
      <c r="AF214" s="246">
        <f t="shared" si="115"/>
        <v>0</v>
      </c>
    </row>
    <row r="215" spans="1:32" s="235" customFormat="1" ht="75" outlineLevel="2">
      <c r="A215" s="334" t="s">
        <v>569</v>
      </c>
      <c r="B215" s="386" t="s">
        <v>570</v>
      </c>
      <c r="C215" s="332" t="s">
        <v>100</v>
      </c>
      <c r="D215" s="375">
        <v>30</v>
      </c>
      <c r="E215" s="376">
        <v>76500</v>
      </c>
      <c r="F215" s="377">
        <f t="shared" si="120"/>
        <v>2295000</v>
      </c>
      <c r="G215" s="656"/>
      <c r="H215" s="246">
        <f t="shared" si="112"/>
        <v>0</v>
      </c>
      <c r="I215" s="334" t="s">
        <v>569</v>
      </c>
      <c r="J215" s="386" t="s">
        <v>570</v>
      </c>
      <c r="K215" s="332" t="s">
        <v>100</v>
      </c>
      <c r="L215" s="375">
        <v>30</v>
      </c>
      <c r="M215" s="376">
        <v>23049</v>
      </c>
      <c r="N215" s="377">
        <f t="shared" si="121"/>
        <v>691470</v>
      </c>
      <c r="O215" s="656"/>
      <c r="P215" s="246">
        <f t="shared" si="113"/>
        <v>0</v>
      </c>
      <c r="Q215" s="334" t="s">
        <v>569</v>
      </c>
      <c r="R215" s="386" t="s">
        <v>570</v>
      </c>
      <c r="S215" s="332" t="s">
        <v>100</v>
      </c>
      <c r="T215" s="375">
        <v>30</v>
      </c>
      <c r="U215" s="376">
        <v>23073</v>
      </c>
      <c r="V215" s="377">
        <f t="shared" si="122"/>
        <v>692190</v>
      </c>
      <c r="W215" s="656"/>
      <c r="X215" s="246">
        <f t="shared" si="114"/>
        <v>0</v>
      </c>
      <c r="Y215" s="334" t="s">
        <v>569</v>
      </c>
      <c r="Z215" s="386" t="s">
        <v>570</v>
      </c>
      <c r="AA215" s="332" t="s">
        <v>100</v>
      </c>
      <c r="AB215" s="375">
        <v>30</v>
      </c>
      <c r="AC215" s="376">
        <v>23400</v>
      </c>
      <c r="AD215" s="377">
        <f t="shared" si="123"/>
        <v>702000</v>
      </c>
      <c r="AE215" s="656"/>
      <c r="AF215" s="246">
        <f t="shared" si="115"/>
        <v>0</v>
      </c>
    </row>
    <row r="216" spans="1:32" s="235" customFormat="1" ht="60" outlineLevel="2">
      <c r="A216" s="334" t="s">
        <v>571</v>
      </c>
      <c r="B216" s="386" t="s">
        <v>572</v>
      </c>
      <c r="C216" s="332" t="s">
        <v>169</v>
      </c>
      <c r="D216" s="375">
        <v>55.6</v>
      </c>
      <c r="E216" s="376">
        <v>55279</v>
      </c>
      <c r="F216" s="377">
        <f t="shared" si="120"/>
        <v>3073512</v>
      </c>
      <c r="G216" s="656"/>
      <c r="H216" s="246">
        <f t="shared" si="112"/>
        <v>0</v>
      </c>
      <c r="I216" s="334" t="s">
        <v>571</v>
      </c>
      <c r="J216" s="386" t="s">
        <v>572</v>
      </c>
      <c r="K216" s="332" t="s">
        <v>169</v>
      </c>
      <c r="L216" s="375">
        <v>55.6</v>
      </c>
      <c r="M216" s="376">
        <v>18421</v>
      </c>
      <c r="N216" s="377">
        <f t="shared" si="121"/>
        <v>1024208</v>
      </c>
      <c r="O216" s="656"/>
      <c r="P216" s="246">
        <f t="shared" si="113"/>
        <v>0</v>
      </c>
      <c r="Q216" s="334" t="s">
        <v>571</v>
      </c>
      <c r="R216" s="386" t="s">
        <v>572</v>
      </c>
      <c r="S216" s="332" t="s">
        <v>169</v>
      </c>
      <c r="T216" s="375">
        <v>55.6</v>
      </c>
      <c r="U216" s="376">
        <v>18439</v>
      </c>
      <c r="V216" s="377">
        <f t="shared" si="122"/>
        <v>1025208</v>
      </c>
      <c r="W216" s="656"/>
      <c r="X216" s="246">
        <f t="shared" si="114"/>
        <v>0</v>
      </c>
      <c r="Y216" s="334" t="s">
        <v>571</v>
      </c>
      <c r="Z216" s="386" t="s">
        <v>572</v>
      </c>
      <c r="AA216" s="332" t="s">
        <v>169</v>
      </c>
      <c r="AB216" s="375">
        <v>55.6</v>
      </c>
      <c r="AC216" s="376">
        <v>18700</v>
      </c>
      <c r="AD216" s="377">
        <f t="shared" si="123"/>
        <v>1039720</v>
      </c>
      <c r="AE216" s="656"/>
      <c r="AF216" s="246">
        <f t="shared" si="115"/>
        <v>0</v>
      </c>
    </row>
    <row r="217" spans="1:32" s="235" customFormat="1" ht="75.75" outlineLevel="2" thickBot="1">
      <c r="A217" s="334" t="s">
        <v>573</v>
      </c>
      <c r="B217" s="386" t="s">
        <v>574</v>
      </c>
      <c r="C217" s="332" t="s">
        <v>169</v>
      </c>
      <c r="D217" s="375">
        <v>20</v>
      </c>
      <c r="E217" s="376">
        <v>120600</v>
      </c>
      <c r="F217" s="377">
        <f t="shared" si="120"/>
        <v>2412000</v>
      </c>
      <c r="G217" s="655"/>
      <c r="H217" s="246">
        <f t="shared" si="112"/>
        <v>0</v>
      </c>
      <c r="I217" s="334" t="s">
        <v>573</v>
      </c>
      <c r="J217" s="386" t="s">
        <v>574</v>
      </c>
      <c r="K217" s="332" t="s">
        <v>169</v>
      </c>
      <c r="L217" s="375">
        <v>20</v>
      </c>
      <c r="M217" s="376">
        <v>119185</v>
      </c>
      <c r="N217" s="377">
        <f t="shared" si="121"/>
        <v>2383700</v>
      </c>
      <c r="O217" s="655"/>
      <c r="P217" s="246">
        <f t="shared" si="113"/>
        <v>0</v>
      </c>
      <c r="Q217" s="334" t="s">
        <v>573</v>
      </c>
      <c r="R217" s="386" t="s">
        <v>574</v>
      </c>
      <c r="S217" s="332" t="s">
        <v>169</v>
      </c>
      <c r="T217" s="375">
        <v>20</v>
      </c>
      <c r="U217" s="376">
        <v>119307</v>
      </c>
      <c r="V217" s="377">
        <f t="shared" si="122"/>
        <v>2386140</v>
      </c>
      <c r="W217" s="655"/>
      <c r="X217" s="246">
        <f t="shared" si="114"/>
        <v>0</v>
      </c>
      <c r="Y217" s="334" t="s">
        <v>573</v>
      </c>
      <c r="Z217" s="386" t="s">
        <v>574</v>
      </c>
      <c r="AA217" s="332" t="s">
        <v>169</v>
      </c>
      <c r="AB217" s="375">
        <v>20</v>
      </c>
      <c r="AC217" s="376">
        <v>121000</v>
      </c>
      <c r="AD217" s="377">
        <f t="shared" si="123"/>
        <v>2420000</v>
      </c>
      <c r="AE217" s="655"/>
      <c r="AF217" s="246">
        <f t="shared" si="115"/>
        <v>0</v>
      </c>
    </row>
    <row r="218" spans="1:32" s="235" customFormat="1" ht="17.25" outlineLevel="2" thickTop="1" thickBot="1">
      <c r="A218" s="343" t="s">
        <v>575</v>
      </c>
      <c r="B218" s="344" t="s">
        <v>576</v>
      </c>
      <c r="C218" s="345"/>
      <c r="D218" s="346"/>
      <c r="E218" s="347"/>
      <c r="F218" s="348"/>
      <c r="G218" s="349">
        <f>SUM(F219:F222)</f>
        <v>17052105</v>
      </c>
      <c r="H218" s="246" t="str">
        <f t="shared" si="112"/>
        <v/>
      </c>
      <c r="I218" s="343" t="s">
        <v>575</v>
      </c>
      <c r="J218" s="344" t="s">
        <v>576</v>
      </c>
      <c r="K218" s="345"/>
      <c r="L218" s="346"/>
      <c r="M218" s="347"/>
      <c r="N218" s="348"/>
      <c r="O218" s="349">
        <f>SUM(N219:N222)</f>
        <v>15780085</v>
      </c>
      <c r="P218" s="246" t="str">
        <f t="shared" si="113"/>
        <v/>
      </c>
      <c r="Q218" s="343" t="s">
        <v>575</v>
      </c>
      <c r="R218" s="344" t="s">
        <v>576</v>
      </c>
      <c r="S218" s="345"/>
      <c r="T218" s="346"/>
      <c r="U218" s="347"/>
      <c r="V218" s="348"/>
      <c r="W218" s="349">
        <f>SUM(V219:V222)</f>
        <v>15796107</v>
      </c>
      <c r="X218" s="246" t="str">
        <f t="shared" si="114"/>
        <v/>
      </c>
      <c r="Y218" s="343" t="s">
        <v>575</v>
      </c>
      <c r="Z218" s="344" t="s">
        <v>576</v>
      </c>
      <c r="AA218" s="345"/>
      <c r="AB218" s="346"/>
      <c r="AC218" s="347"/>
      <c r="AD218" s="348"/>
      <c r="AE218" s="349">
        <f>SUM(AD219:AD222)</f>
        <v>16020172</v>
      </c>
      <c r="AF218" s="246" t="str">
        <f t="shared" si="115"/>
        <v/>
      </c>
    </row>
    <row r="219" spans="1:32" s="235" customFormat="1" ht="45.75" outlineLevel="2" thickTop="1">
      <c r="A219" s="334" t="s">
        <v>577</v>
      </c>
      <c r="B219" s="386" t="s">
        <v>578</v>
      </c>
      <c r="C219" s="332" t="s">
        <v>94</v>
      </c>
      <c r="D219" s="375">
        <v>43.66</v>
      </c>
      <c r="E219" s="376">
        <v>23148</v>
      </c>
      <c r="F219" s="377">
        <f t="shared" ref="F219:F222" si="124">ROUND(D219*E219,0)</f>
        <v>1010642</v>
      </c>
      <c r="G219" s="654">
        <v>0</v>
      </c>
      <c r="H219" s="246">
        <f t="shared" si="112"/>
        <v>0</v>
      </c>
      <c r="I219" s="334" t="s">
        <v>577</v>
      </c>
      <c r="J219" s="386" t="s">
        <v>578</v>
      </c>
      <c r="K219" s="332" t="s">
        <v>94</v>
      </c>
      <c r="L219" s="375">
        <v>43.66</v>
      </c>
      <c r="M219" s="376">
        <v>42553</v>
      </c>
      <c r="N219" s="377">
        <f t="shared" ref="N219:N222" si="125">ROUND(L219*M219,0)</f>
        <v>1857864</v>
      </c>
      <c r="O219" s="654">
        <v>0</v>
      </c>
      <c r="P219" s="246">
        <f t="shared" si="113"/>
        <v>0</v>
      </c>
      <c r="Q219" s="334" t="s">
        <v>577</v>
      </c>
      <c r="R219" s="386" t="s">
        <v>578</v>
      </c>
      <c r="S219" s="332" t="s">
        <v>94</v>
      </c>
      <c r="T219" s="375">
        <v>43.66</v>
      </c>
      <c r="U219" s="376">
        <v>42597</v>
      </c>
      <c r="V219" s="377">
        <f t="shared" ref="V219:V222" si="126">ROUND(T219*U219,0)</f>
        <v>1859785</v>
      </c>
      <c r="W219" s="654">
        <v>0</v>
      </c>
      <c r="X219" s="246">
        <f t="shared" si="114"/>
        <v>0</v>
      </c>
      <c r="Y219" s="334" t="s">
        <v>577</v>
      </c>
      <c r="Z219" s="386" t="s">
        <v>578</v>
      </c>
      <c r="AA219" s="332" t="s">
        <v>94</v>
      </c>
      <c r="AB219" s="375">
        <v>43.66</v>
      </c>
      <c r="AC219" s="376">
        <v>43200</v>
      </c>
      <c r="AD219" s="377">
        <f t="shared" ref="AD219:AD222" si="127">ROUND(AB219*AC219,0)</f>
        <v>1886112</v>
      </c>
      <c r="AE219" s="654">
        <v>0</v>
      </c>
      <c r="AF219" s="246">
        <f t="shared" si="115"/>
        <v>0</v>
      </c>
    </row>
    <row r="220" spans="1:32" s="235" customFormat="1" ht="60" outlineLevel="2">
      <c r="A220" s="334" t="s">
        <v>579</v>
      </c>
      <c r="B220" s="386" t="s">
        <v>580</v>
      </c>
      <c r="C220" s="332" t="s">
        <v>169</v>
      </c>
      <c r="D220" s="387">
        <v>4</v>
      </c>
      <c r="E220" s="376">
        <v>494100</v>
      </c>
      <c r="F220" s="377">
        <f t="shared" si="124"/>
        <v>1976400</v>
      </c>
      <c r="G220" s="656"/>
      <c r="H220" s="246">
        <f t="shared" si="112"/>
        <v>0</v>
      </c>
      <c r="I220" s="334" t="s">
        <v>579</v>
      </c>
      <c r="J220" s="386" t="s">
        <v>580</v>
      </c>
      <c r="K220" s="332" t="s">
        <v>169</v>
      </c>
      <c r="L220" s="387">
        <v>4</v>
      </c>
      <c r="M220" s="376">
        <v>965301</v>
      </c>
      <c r="N220" s="377">
        <f t="shared" si="125"/>
        <v>3861204</v>
      </c>
      <c r="O220" s="656"/>
      <c r="P220" s="246">
        <f t="shared" si="113"/>
        <v>0</v>
      </c>
      <c r="Q220" s="334" t="s">
        <v>579</v>
      </c>
      <c r="R220" s="386" t="s">
        <v>580</v>
      </c>
      <c r="S220" s="332" t="s">
        <v>169</v>
      </c>
      <c r="T220" s="387">
        <v>4</v>
      </c>
      <c r="U220" s="376">
        <v>966281</v>
      </c>
      <c r="V220" s="377">
        <f t="shared" si="126"/>
        <v>3865124</v>
      </c>
      <c r="W220" s="656"/>
      <c r="X220" s="246">
        <f t="shared" si="114"/>
        <v>0</v>
      </c>
      <c r="Y220" s="334" t="s">
        <v>579</v>
      </c>
      <c r="Z220" s="386" t="s">
        <v>580</v>
      </c>
      <c r="AA220" s="332" t="s">
        <v>169</v>
      </c>
      <c r="AB220" s="387">
        <v>4</v>
      </c>
      <c r="AC220" s="376">
        <v>980000</v>
      </c>
      <c r="AD220" s="377">
        <f t="shared" si="127"/>
        <v>3920000</v>
      </c>
      <c r="AE220" s="656"/>
      <c r="AF220" s="246">
        <f t="shared" si="115"/>
        <v>0</v>
      </c>
    </row>
    <row r="221" spans="1:32" s="235" customFormat="1" ht="60" outlineLevel="2">
      <c r="A221" s="334" t="s">
        <v>581</v>
      </c>
      <c r="B221" s="386" t="s">
        <v>582</v>
      </c>
      <c r="C221" s="332" t="s">
        <v>100</v>
      </c>
      <c r="D221" s="375">
        <v>63.2</v>
      </c>
      <c r="E221" s="376">
        <v>120951</v>
      </c>
      <c r="F221" s="377">
        <f t="shared" si="124"/>
        <v>7644103</v>
      </c>
      <c r="G221" s="656"/>
      <c r="H221" s="246">
        <f t="shared" si="112"/>
        <v>0</v>
      </c>
      <c r="I221" s="334" t="s">
        <v>581</v>
      </c>
      <c r="J221" s="386" t="s">
        <v>582</v>
      </c>
      <c r="K221" s="332" t="s">
        <v>100</v>
      </c>
      <c r="L221" s="375">
        <v>63.2</v>
      </c>
      <c r="M221" s="376">
        <v>81067</v>
      </c>
      <c r="N221" s="377">
        <f t="shared" si="125"/>
        <v>5123434</v>
      </c>
      <c r="O221" s="656"/>
      <c r="P221" s="246">
        <f t="shared" si="113"/>
        <v>0</v>
      </c>
      <c r="Q221" s="334" t="s">
        <v>581</v>
      </c>
      <c r="R221" s="386" t="s">
        <v>582</v>
      </c>
      <c r="S221" s="332" t="s">
        <v>100</v>
      </c>
      <c r="T221" s="375">
        <v>63.2</v>
      </c>
      <c r="U221" s="376">
        <v>81149</v>
      </c>
      <c r="V221" s="377">
        <f t="shared" si="126"/>
        <v>5128617</v>
      </c>
      <c r="W221" s="656"/>
      <c r="X221" s="246">
        <f t="shared" si="114"/>
        <v>0</v>
      </c>
      <c r="Y221" s="334" t="s">
        <v>581</v>
      </c>
      <c r="Z221" s="386" t="s">
        <v>582</v>
      </c>
      <c r="AA221" s="332" t="s">
        <v>100</v>
      </c>
      <c r="AB221" s="375">
        <v>63.2</v>
      </c>
      <c r="AC221" s="376">
        <v>82300</v>
      </c>
      <c r="AD221" s="377">
        <f t="shared" si="127"/>
        <v>5201360</v>
      </c>
      <c r="AE221" s="656"/>
      <c r="AF221" s="246">
        <f t="shared" si="115"/>
        <v>0</v>
      </c>
    </row>
    <row r="222" spans="1:32" s="235" customFormat="1" ht="105.75" outlineLevel="2" thickBot="1">
      <c r="A222" s="334" t="s">
        <v>583</v>
      </c>
      <c r="B222" s="386" t="s">
        <v>584</v>
      </c>
      <c r="C222" s="332" t="s">
        <v>94</v>
      </c>
      <c r="D222" s="375">
        <v>49</v>
      </c>
      <c r="E222" s="376">
        <v>131040</v>
      </c>
      <c r="F222" s="377">
        <f t="shared" si="124"/>
        <v>6420960</v>
      </c>
      <c r="G222" s="656"/>
      <c r="H222" s="246">
        <f t="shared" si="112"/>
        <v>0</v>
      </c>
      <c r="I222" s="334" t="s">
        <v>583</v>
      </c>
      <c r="J222" s="386" t="s">
        <v>584</v>
      </c>
      <c r="K222" s="332" t="s">
        <v>94</v>
      </c>
      <c r="L222" s="375">
        <v>49</v>
      </c>
      <c r="M222" s="376">
        <v>100767</v>
      </c>
      <c r="N222" s="377">
        <f t="shared" si="125"/>
        <v>4937583</v>
      </c>
      <c r="O222" s="656"/>
      <c r="P222" s="246">
        <f t="shared" si="113"/>
        <v>0</v>
      </c>
      <c r="Q222" s="334" t="s">
        <v>583</v>
      </c>
      <c r="R222" s="386" t="s">
        <v>584</v>
      </c>
      <c r="S222" s="332" t="s">
        <v>94</v>
      </c>
      <c r="T222" s="375">
        <v>49</v>
      </c>
      <c r="U222" s="376">
        <v>100869</v>
      </c>
      <c r="V222" s="377">
        <f t="shared" si="126"/>
        <v>4942581</v>
      </c>
      <c r="W222" s="656"/>
      <c r="X222" s="246">
        <f t="shared" si="114"/>
        <v>0</v>
      </c>
      <c r="Y222" s="334" t="s">
        <v>583</v>
      </c>
      <c r="Z222" s="386" t="s">
        <v>584</v>
      </c>
      <c r="AA222" s="332" t="s">
        <v>94</v>
      </c>
      <c r="AB222" s="375">
        <v>49</v>
      </c>
      <c r="AC222" s="376">
        <v>102300</v>
      </c>
      <c r="AD222" s="377">
        <f t="shared" si="127"/>
        <v>5012700</v>
      </c>
      <c r="AE222" s="656"/>
      <c r="AF222" s="246">
        <f t="shared" si="115"/>
        <v>0</v>
      </c>
    </row>
    <row r="223" spans="1:32" s="235" customFormat="1" ht="17.25" outlineLevel="2" thickTop="1" thickBot="1">
      <c r="A223" s="343" t="s">
        <v>585</v>
      </c>
      <c r="B223" s="344" t="s">
        <v>586</v>
      </c>
      <c r="C223" s="345"/>
      <c r="D223" s="346"/>
      <c r="E223" s="347"/>
      <c r="F223" s="348"/>
      <c r="G223" s="349">
        <f>SUM(F224:F224)</f>
        <v>24942250</v>
      </c>
      <c r="H223" s="246" t="str">
        <f t="shared" si="112"/>
        <v/>
      </c>
      <c r="I223" s="343" t="s">
        <v>585</v>
      </c>
      <c r="J223" s="344" t="s">
        <v>586</v>
      </c>
      <c r="K223" s="345"/>
      <c r="L223" s="346"/>
      <c r="M223" s="347"/>
      <c r="N223" s="348"/>
      <c r="O223" s="349">
        <f>SUM(N224:N224)</f>
        <v>22125000</v>
      </c>
      <c r="P223" s="246" t="str">
        <f t="shared" si="113"/>
        <v/>
      </c>
      <c r="Q223" s="343" t="s">
        <v>585</v>
      </c>
      <c r="R223" s="344" t="s">
        <v>586</v>
      </c>
      <c r="S223" s="345"/>
      <c r="T223" s="346"/>
      <c r="U223" s="347"/>
      <c r="V223" s="348"/>
      <c r="W223" s="349">
        <f>SUM(V224:V224)</f>
        <v>22309818</v>
      </c>
      <c r="X223" s="246" t="str">
        <f t="shared" si="114"/>
        <v/>
      </c>
      <c r="Y223" s="343" t="s">
        <v>585</v>
      </c>
      <c r="Z223" s="344" t="s">
        <v>586</v>
      </c>
      <c r="AA223" s="345"/>
      <c r="AB223" s="346"/>
      <c r="AC223" s="347"/>
      <c r="AD223" s="348"/>
      <c r="AE223" s="349">
        <f>SUM(AD224:AD224)</f>
        <v>22626500</v>
      </c>
      <c r="AF223" s="246" t="str">
        <f t="shared" si="115"/>
        <v/>
      </c>
    </row>
    <row r="224" spans="1:32" s="235" customFormat="1" ht="256.5" outlineLevel="2" thickTop="1" thickBot="1">
      <c r="A224" s="334" t="s">
        <v>587</v>
      </c>
      <c r="B224" s="386" t="s">
        <v>588</v>
      </c>
      <c r="C224" s="332" t="s">
        <v>94</v>
      </c>
      <c r="D224" s="375">
        <v>147.5</v>
      </c>
      <c r="E224" s="376">
        <v>169100</v>
      </c>
      <c r="F224" s="377">
        <f t="shared" ref="F224" si="128">ROUND(D224*E224,0)</f>
        <v>24942250</v>
      </c>
      <c r="G224" s="360">
        <v>0</v>
      </c>
      <c r="H224" s="246">
        <f t="shared" si="112"/>
        <v>0</v>
      </c>
      <c r="I224" s="334" t="s">
        <v>587</v>
      </c>
      <c r="J224" s="386" t="s">
        <v>588</v>
      </c>
      <c r="K224" s="332" t="s">
        <v>94</v>
      </c>
      <c r="L224" s="375">
        <v>147.5</v>
      </c>
      <c r="M224" s="376">
        <v>150000</v>
      </c>
      <c r="N224" s="377">
        <f t="shared" ref="N224" si="129">ROUND(L224*M224,0)</f>
        <v>22125000</v>
      </c>
      <c r="O224" s="360">
        <v>0</v>
      </c>
      <c r="P224" s="246">
        <f t="shared" si="113"/>
        <v>0</v>
      </c>
      <c r="Q224" s="334" t="s">
        <v>587</v>
      </c>
      <c r="R224" s="386" t="s">
        <v>588</v>
      </c>
      <c r="S224" s="332" t="s">
        <v>94</v>
      </c>
      <c r="T224" s="375">
        <v>147.5</v>
      </c>
      <c r="U224" s="376">
        <v>151253</v>
      </c>
      <c r="V224" s="377">
        <f t="shared" ref="V224" si="130">ROUND(T224*U224,0)</f>
        <v>22309818</v>
      </c>
      <c r="W224" s="360">
        <v>0</v>
      </c>
      <c r="X224" s="246">
        <f t="shared" si="114"/>
        <v>0</v>
      </c>
      <c r="Y224" s="334" t="s">
        <v>587</v>
      </c>
      <c r="Z224" s="386" t="s">
        <v>588</v>
      </c>
      <c r="AA224" s="332" t="s">
        <v>94</v>
      </c>
      <c r="AB224" s="375">
        <v>147.5</v>
      </c>
      <c r="AC224" s="376">
        <v>153400</v>
      </c>
      <c r="AD224" s="377">
        <f t="shared" ref="AD224" si="131">ROUND(AB224*AC224,0)</f>
        <v>22626500</v>
      </c>
      <c r="AE224" s="360">
        <v>0</v>
      </c>
      <c r="AF224" s="246">
        <f t="shared" si="115"/>
        <v>0</v>
      </c>
    </row>
    <row r="225" spans="1:32" s="235" customFormat="1" ht="17.25" outlineLevel="2" thickTop="1" thickBot="1">
      <c r="A225" s="343" t="s">
        <v>589</v>
      </c>
      <c r="B225" s="344" t="s">
        <v>182</v>
      </c>
      <c r="C225" s="345"/>
      <c r="D225" s="346"/>
      <c r="E225" s="347"/>
      <c r="F225" s="348"/>
      <c r="G225" s="349">
        <f>SUM(F226:F228)</f>
        <v>12361898</v>
      </c>
      <c r="H225" s="246" t="str">
        <f t="shared" si="112"/>
        <v/>
      </c>
      <c r="I225" s="343" t="s">
        <v>589</v>
      </c>
      <c r="J225" s="344" t="s">
        <v>182</v>
      </c>
      <c r="K225" s="345"/>
      <c r="L225" s="346"/>
      <c r="M225" s="347"/>
      <c r="N225" s="348"/>
      <c r="O225" s="349">
        <f>SUM(N226:N228)</f>
        <v>17186764</v>
      </c>
      <c r="P225" s="246" t="str">
        <f t="shared" si="113"/>
        <v/>
      </c>
      <c r="Q225" s="343" t="s">
        <v>589</v>
      </c>
      <c r="R225" s="344" t="s">
        <v>182</v>
      </c>
      <c r="S225" s="345"/>
      <c r="T225" s="346"/>
      <c r="U225" s="347"/>
      <c r="V225" s="348"/>
      <c r="W225" s="349">
        <f>SUM(V226:V228)</f>
        <v>17204312</v>
      </c>
      <c r="X225" s="246" t="str">
        <f t="shared" si="114"/>
        <v/>
      </c>
      <c r="Y225" s="343" t="s">
        <v>589</v>
      </c>
      <c r="Z225" s="344" t="s">
        <v>182</v>
      </c>
      <c r="AA225" s="345"/>
      <c r="AB225" s="346"/>
      <c r="AC225" s="347"/>
      <c r="AD225" s="348"/>
      <c r="AE225" s="349">
        <f>SUM(AD226:AD228)</f>
        <v>17448400</v>
      </c>
      <c r="AF225" s="246" t="str">
        <f t="shared" si="115"/>
        <v/>
      </c>
    </row>
    <row r="226" spans="1:32" s="235" customFormat="1" ht="195.75" outlineLevel="2" thickTop="1">
      <c r="A226" s="334" t="s">
        <v>590</v>
      </c>
      <c r="B226" s="386" t="s">
        <v>591</v>
      </c>
      <c r="C226" s="332" t="s">
        <v>94</v>
      </c>
      <c r="D226" s="375">
        <v>49</v>
      </c>
      <c r="E226" s="376">
        <v>88502</v>
      </c>
      <c r="F226" s="377">
        <f t="shared" ref="F226:F228" si="132">ROUND(D226*E226,0)</f>
        <v>4336598</v>
      </c>
      <c r="G226" s="654">
        <v>0</v>
      </c>
      <c r="H226" s="246">
        <f t="shared" si="112"/>
        <v>0</v>
      </c>
      <c r="I226" s="334" t="s">
        <v>590</v>
      </c>
      <c r="J226" s="386" t="s">
        <v>591</v>
      </c>
      <c r="K226" s="332" t="s">
        <v>94</v>
      </c>
      <c r="L226" s="375">
        <v>49</v>
      </c>
      <c r="M226" s="376">
        <v>151887</v>
      </c>
      <c r="N226" s="377">
        <f t="shared" ref="N226:N228" si="133">ROUND(L226*M226,0)</f>
        <v>7442463</v>
      </c>
      <c r="O226" s="654">
        <v>0</v>
      </c>
      <c r="P226" s="246">
        <f t="shared" si="113"/>
        <v>0</v>
      </c>
      <c r="Q226" s="334" t="s">
        <v>590</v>
      </c>
      <c r="R226" s="386" t="s">
        <v>591</v>
      </c>
      <c r="S226" s="332" t="s">
        <v>94</v>
      </c>
      <c r="T226" s="375">
        <v>49</v>
      </c>
      <c r="U226" s="376">
        <v>152043</v>
      </c>
      <c r="V226" s="377">
        <f t="shared" ref="V226:V228" si="134">ROUND(T226*U226,0)</f>
        <v>7450107</v>
      </c>
      <c r="W226" s="654">
        <v>0</v>
      </c>
      <c r="X226" s="246">
        <f t="shared" si="114"/>
        <v>0</v>
      </c>
      <c r="Y226" s="334" t="s">
        <v>590</v>
      </c>
      <c r="Z226" s="386" t="s">
        <v>591</v>
      </c>
      <c r="AA226" s="332" t="s">
        <v>94</v>
      </c>
      <c r="AB226" s="375">
        <v>49</v>
      </c>
      <c r="AC226" s="376">
        <v>154200</v>
      </c>
      <c r="AD226" s="377">
        <f t="shared" ref="AD226:AD228" si="135">ROUND(AB226*AC226,0)</f>
        <v>7555800</v>
      </c>
      <c r="AE226" s="654">
        <v>0</v>
      </c>
      <c r="AF226" s="246">
        <f t="shared" si="115"/>
        <v>0</v>
      </c>
    </row>
    <row r="227" spans="1:32" s="235" customFormat="1" ht="60" outlineLevel="2">
      <c r="A227" s="334" t="s">
        <v>592</v>
      </c>
      <c r="B227" s="386" t="s">
        <v>593</v>
      </c>
      <c r="C227" s="332" t="s">
        <v>100</v>
      </c>
      <c r="D227" s="375">
        <v>60</v>
      </c>
      <c r="E227" s="376">
        <v>58050</v>
      </c>
      <c r="F227" s="377">
        <f t="shared" si="132"/>
        <v>3483000</v>
      </c>
      <c r="G227" s="656"/>
      <c r="H227" s="246">
        <f t="shared" si="112"/>
        <v>0</v>
      </c>
      <c r="I227" s="334" t="s">
        <v>592</v>
      </c>
      <c r="J227" s="386" t="s">
        <v>593</v>
      </c>
      <c r="K227" s="332" t="s">
        <v>100</v>
      </c>
      <c r="L227" s="375">
        <v>60</v>
      </c>
      <c r="M227" s="376">
        <v>53487</v>
      </c>
      <c r="N227" s="377">
        <f t="shared" si="133"/>
        <v>3209220</v>
      </c>
      <c r="O227" s="656"/>
      <c r="P227" s="246">
        <f t="shared" si="113"/>
        <v>0</v>
      </c>
      <c r="Q227" s="334" t="s">
        <v>592</v>
      </c>
      <c r="R227" s="386" t="s">
        <v>593</v>
      </c>
      <c r="S227" s="332" t="s">
        <v>100</v>
      </c>
      <c r="T227" s="375">
        <v>60</v>
      </c>
      <c r="U227" s="376">
        <v>53541</v>
      </c>
      <c r="V227" s="377">
        <f t="shared" si="134"/>
        <v>3212460</v>
      </c>
      <c r="W227" s="656"/>
      <c r="X227" s="246">
        <f t="shared" si="114"/>
        <v>0</v>
      </c>
      <c r="Y227" s="334" t="s">
        <v>592</v>
      </c>
      <c r="Z227" s="386" t="s">
        <v>593</v>
      </c>
      <c r="AA227" s="332" t="s">
        <v>100</v>
      </c>
      <c r="AB227" s="375">
        <v>60</v>
      </c>
      <c r="AC227" s="376">
        <v>54300</v>
      </c>
      <c r="AD227" s="377">
        <f t="shared" si="135"/>
        <v>3258000</v>
      </c>
      <c r="AE227" s="656"/>
      <c r="AF227" s="246">
        <f t="shared" si="115"/>
        <v>0</v>
      </c>
    </row>
    <row r="228" spans="1:32" s="235" customFormat="1" ht="60.75" outlineLevel="2" thickBot="1">
      <c r="A228" s="334" t="s">
        <v>594</v>
      </c>
      <c r="B228" s="386" t="s">
        <v>595</v>
      </c>
      <c r="C228" s="332" t="s">
        <v>94</v>
      </c>
      <c r="D228" s="375">
        <v>49</v>
      </c>
      <c r="E228" s="376">
        <v>92700</v>
      </c>
      <c r="F228" s="377">
        <f t="shared" si="132"/>
        <v>4542300</v>
      </c>
      <c r="G228" s="656"/>
      <c r="H228" s="246">
        <f t="shared" si="112"/>
        <v>0</v>
      </c>
      <c r="I228" s="334" t="s">
        <v>594</v>
      </c>
      <c r="J228" s="386" t="s">
        <v>595</v>
      </c>
      <c r="K228" s="332" t="s">
        <v>94</v>
      </c>
      <c r="L228" s="375">
        <v>49</v>
      </c>
      <c r="M228" s="376">
        <v>133369</v>
      </c>
      <c r="N228" s="377">
        <f t="shared" si="133"/>
        <v>6535081</v>
      </c>
      <c r="O228" s="656"/>
      <c r="P228" s="246">
        <f t="shared" si="113"/>
        <v>0</v>
      </c>
      <c r="Q228" s="334" t="s">
        <v>594</v>
      </c>
      <c r="R228" s="386" t="s">
        <v>595</v>
      </c>
      <c r="S228" s="332" t="s">
        <v>94</v>
      </c>
      <c r="T228" s="375">
        <v>49</v>
      </c>
      <c r="U228" s="376">
        <v>133505</v>
      </c>
      <c r="V228" s="377">
        <f t="shared" si="134"/>
        <v>6541745</v>
      </c>
      <c r="W228" s="656"/>
      <c r="X228" s="246">
        <f t="shared" si="114"/>
        <v>0</v>
      </c>
      <c r="Y228" s="334" t="s">
        <v>594</v>
      </c>
      <c r="Z228" s="386" t="s">
        <v>595</v>
      </c>
      <c r="AA228" s="332" t="s">
        <v>94</v>
      </c>
      <c r="AB228" s="375">
        <v>49</v>
      </c>
      <c r="AC228" s="376">
        <v>135400</v>
      </c>
      <c r="AD228" s="377">
        <f t="shared" si="135"/>
        <v>6634600</v>
      </c>
      <c r="AE228" s="656"/>
      <c r="AF228" s="246">
        <f t="shared" si="115"/>
        <v>0</v>
      </c>
    </row>
    <row r="229" spans="1:32" s="235" customFormat="1" ht="17.25" outlineLevel="2" thickTop="1" thickBot="1">
      <c r="A229" s="343" t="s">
        <v>596</v>
      </c>
      <c r="B229" s="344" t="s">
        <v>597</v>
      </c>
      <c r="C229" s="345"/>
      <c r="D229" s="346"/>
      <c r="E229" s="347"/>
      <c r="F229" s="348"/>
      <c r="G229" s="349">
        <f>SUM(F230:F231)</f>
        <v>6777376</v>
      </c>
      <c r="H229" s="246" t="str">
        <f t="shared" si="112"/>
        <v/>
      </c>
      <c r="I229" s="343" t="s">
        <v>596</v>
      </c>
      <c r="J229" s="344" t="s">
        <v>597</v>
      </c>
      <c r="K229" s="345"/>
      <c r="L229" s="346"/>
      <c r="M229" s="347"/>
      <c r="N229" s="348"/>
      <c r="O229" s="349">
        <f>SUM(N230:N231)</f>
        <v>6956081</v>
      </c>
      <c r="P229" s="246" t="str">
        <f t="shared" si="113"/>
        <v/>
      </c>
      <c r="Q229" s="343" t="s">
        <v>596</v>
      </c>
      <c r="R229" s="344" t="s">
        <v>597</v>
      </c>
      <c r="S229" s="345"/>
      <c r="T229" s="346"/>
      <c r="U229" s="347"/>
      <c r="V229" s="348"/>
      <c r="W229" s="349">
        <f>SUM(V230:V231)</f>
        <v>6963151</v>
      </c>
      <c r="X229" s="246" t="str">
        <f t="shared" si="114"/>
        <v/>
      </c>
      <c r="Y229" s="343" t="s">
        <v>596</v>
      </c>
      <c r="Z229" s="344" t="s">
        <v>597</v>
      </c>
      <c r="AA229" s="345"/>
      <c r="AB229" s="346"/>
      <c r="AC229" s="347"/>
      <c r="AD229" s="348"/>
      <c r="AE229" s="349">
        <f>SUM(AD230:AD231)</f>
        <v>7062000</v>
      </c>
      <c r="AF229" s="246" t="str">
        <f t="shared" si="115"/>
        <v/>
      </c>
    </row>
    <row r="230" spans="1:32" s="235" customFormat="1" ht="180.75" outlineLevel="2" thickTop="1">
      <c r="A230" s="334" t="s">
        <v>598</v>
      </c>
      <c r="B230" s="386" t="s">
        <v>599</v>
      </c>
      <c r="C230" s="332" t="s">
        <v>94</v>
      </c>
      <c r="D230" s="375">
        <v>10</v>
      </c>
      <c r="E230" s="376">
        <v>424919</v>
      </c>
      <c r="F230" s="377">
        <f t="shared" ref="F230:F231" si="136">ROUND(D230*E230,0)</f>
        <v>4249190</v>
      </c>
      <c r="G230" s="654">
        <v>0</v>
      </c>
      <c r="H230" s="246">
        <f t="shared" si="112"/>
        <v>0</v>
      </c>
      <c r="I230" s="334" t="s">
        <v>598</v>
      </c>
      <c r="J230" s="386" t="s">
        <v>599</v>
      </c>
      <c r="K230" s="332" t="s">
        <v>94</v>
      </c>
      <c r="L230" s="375">
        <v>10</v>
      </c>
      <c r="M230" s="376">
        <v>554753</v>
      </c>
      <c r="N230" s="377">
        <f t="shared" ref="N230:N231" si="137">ROUND(L230*M230,0)</f>
        <v>5547530</v>
      </c>
      <c r="O230" s="654">
        <v>0</v>
      </c>
      <c r="P230" s="246">
        <f t="shared" si="113"/>
        <v>0</v>
      </c>
      <c r="Q230" s="334" t="s">
        <v>598</v>
      </c>
      <c r="R230" s="386" t="s">
        <v>599</v>
      </c>
      <c r="S230" s="332" t="s">
        <v>94</v>
      </c>
      <c r="T230" s="375">
        <v>10</v>
      </c>
      <c r="U230" s="376">
        <v>555317</v>
      </c>
      <c r="V230" s="377">
        <f t="shared" ref="V230:V231" si="138">ROUND(T230*U230,0)</f>
        <v>5553170</v>
      </c>
      <c r="W230" s="654">
        <v>0</v>
      </c>
      <c r="X230" s="246">
        <f t="shared" si="114"/>
        <v>0</v>
      </c>
      <c r="Y230" s="334" t="s">
        <v>598</v>
      </c>
      <c r="Z230" s="386" t="s">
        <v>599</v>
      </c>
      <c r="AA230" s="332" t="s">
        <v>94</v>
      </c>
      <c r="AB230" s="375">
        <v>10</v>
      </c>
      <c r="AC230" s="376">
        <v>563200</v>
      </c>
      <c r="AD230" s="377">
        <f t="shared" ref="AD230:AD231" si="139">ROUND(AB230*AC230,0)</f>
        <v>5632000</v>
      </c>
      <c r="AE230" s="654">
        <v>0</v>
      </c>
      <c r="AF230" s="246">
        <f t="shared" si="115"/>
        <v>0</v>
      </c>
    </row>
    <row r="231" spans="1:32" s="235" customFormat="1" ht="90.75" outlineLevel="2" thickBot="1">
      <c r="A231" s="334" t="s">
        <v>600</v>
      </c>
      <c r="B231" s="386" t="s">
        <v>601</v>
      </c>
      <c r="C231" s="332" t="s">
        <v>224</v>
      </c>
      <c r="D231" s="375">
        <v>1</v>
      </c>
      <c r="E231" s="376">
        <v>2528186</v>
      </c>
      <c r="F231" s="377">
        <f t="shared" si="136"/>
        <v>2528186</v>
      </c>
      <c r="G231" s="655"/>
      <c r="H231" s="246">
        <f t="shared" si="112"/>
        <v>0</v>
      </c>
      <c r="I231" s="334" t="s">
        <v>600</v>
      </c>
      <c r="J231" s="386" t="s">
        <v>601</v>
      </c>
      <c r="K231" s="332" t="s">
        <v>224</v>
      </c>
      <c r="L231" s="375">
        <v>1</v>
      </c>
      <c r="M231" s="376">
        <v>1408551</v>
      </c>
      <c r="N231" s="377">
        <f t="shared" si="137"/>
        <v>1408551</v>
      </c>
      <c r="O231" s="655"/>
      <c r="P231" s="246">
        <f t="shared" si="113"/>
        <v>0</v>
      </c>
      <c r="Q231" s="334" t="s">
        <v>600</v>
      </c>
      <c r="R231" s="386" t="s">
        <v>601</v>
      </c>
      <c r="S231" s="332" t="s">
        <v>224</v>
      </c>
      <c r="T231" s="375">
        <v>1</v>
      </c>
      <c r="U231" s="376">
        <v>1409981</v>
      </c>
      <c r="V231" s="377">
        <f t="shared" si="138"/>
        <v>1409981</v>
      </c>
      <c r="W231" s="655"/>
      <c r="X231" s="246">
        <f t="shared" si="114"/>
        <v>0</v>
      </c>
      <c r="Y231" s="334" t="s">
        <v>600</v>
      </c>
      <c r="Z231" s="386" t="s">
        <v>601</v>
      </c>
      <c r="AA231" s="332" t="s">
        <v>224</v>
      </c>
      <c r="AB231" s="375">
        <v>1</v>
      </c>
      <c r="AC231" s="376">
        <v>1430000</v>
      </c>
      <c r="AD231" s="377">
        <f t="shared" si="139"/>
        <v>1430000</v>
      </c>
      <c r="AE231" s="655"/>
      <c r="AF231" s="246">
        <f t="shared" si="115"/>
        <v>0</v>
      </c>
    </row>
    <row r="232" spans="1:32" s="235" customFormat="1" ht="17.25" outlineLevel="2" thickTop="1" thickBot="1">
      <c r="A232" s="343" t="s">
        <v>602</v>
      </c>
      <c r="B232" s="344" t="s">
        <v>603</v>
      </c>
      <c r="C232" s="345"/>
      <c r="D232" s="346"/>
      <c r="E232" s="347"/>
      <c r="F232" s="348"/>
      <c r="G232" s="349">
        <f>SUM(F233:F234)</f>
        <v>15002100</v>
      </c>
      <c r="H232" s="246" t="str">
        <f t="shared" si="112"/>
        <v/>
      </c>
      <c r="I232" s="343" t="s">
        <v>602</v>
      </c>
      <c r="J232" s="344" t="s">
        <v>603</v>
      </c>
      <c r="K232" s="345"/>
      <c r="L232" s="346"/>
      <c r="M232" s="347">
        <v>1</v>
      </c>
      <c r="N232" s="348"/>
      <c r="O232" s="349">
        <f>SUM(N233:N234)</f>
        <v>12054408</v>
      </c>
      <c r="P232" s="246" t="str">
        <f t="shared" si="113"/>
        <v/>
      </c>
      <c r="Q232" s="343" t="s">
        <v>602</v>
      </c>
      <c r="R232" s="344" t="s">
        <v>603</v>
      </c>
      <c r="S232" s="345"/>
      <c r="T232" s="346"/>
      <c r="U232" s="347"/>
      <c r="V232" s="348"/>
      <c r="W232" s="349">
        <f>SUM(V233:V234)</f>
        <v>12067280</v>
      </c>
      <c r="X232" s="246" t="str">
        <f t="shared" si="114"/>
        <v/>
      </c>
      <c r="Y232" s="343" t="s">
        <v>602</v>
      </c>
      <c r="Z232" s="344" t="s">
        <v>603</v>
      </c>
      <c r="AA232" s="345"/>
      <c r="AB232" s="346"/>
      <c r="AC232" s="347"/>
      <c r="AD232" s="348"/>
      <c r="AE232" s="349">
        <f>SUM(AD233:AD234)</f>
        <v>12236260</v>
      </c>
      <c r="AF232" s="246" t="str">
        <f t="shared" si="115"/>
        <v/>
      </c>
    </row>
    <row r="233" spans="1:32" s="235" customFormat="1" ht="75.75" outlineLevel="2" thickTop="1">
      <c r="A233" s="334" t="s">
        <v>604</v>
      </c>
      <c r="B233" s="386" t="s">
        <v>605</v>
      </c>
      <c r="C233" s="332" t="s">
        <v>606</v>
      </c>
      <c r="D233" s="375">
        <v>2150</v>
      </c>
      <c r="E233" s="376">
        <v>3960</v>
      </c>
      <c r="F233" s="377">
        <f t="shared" ref="F233:F234" si="140">ROUND(D233*E233,0)</f>
        <v>8514000</v>
      </c>
      <c r="G233" s="654">
        <v>0</v>
      </c>
      <c r="H233" s="246">
        <f t="shared" si="112"/>
        <v>0</v>
      </c>
      <c r="I233" s="334" t="s">
        <v>604</v>
      </c>
      <c r="J233" s="386" t="s">
        <v>605</v>
      </c>
      <c r="K233" s="332" t="s">
        <v>606</v>
      </c>
      <c r="L233" s="375">
        <v>2150</v>
      </c>
      <c r="M233" s="376">
        <v>3921</v>
      </c>
      <c r="N233" s="377">
        <f t="shared" ref="N233:N234" si="141">ROUND(L233*M233,0)</f>
        <v>8430150</v>
      </c>
      <c r="O233" s="654">
        <v>0</v>
      </c>
      <c r="P233" s="246">
        <f t="shared" si="113"/>
        <v>0</v>
      </c>
      <c r="Q233" s="334" t="s">
        <v>604</v>
      </c>
      <c r="R233" s="386" t="s">
        <v>605</v>
      </c>
      <c r="S233" s="332" t="s">
        <v>606</v>
      </c>
      <c r="T233" s="375">
        <v>2150</v>
      </c>
      <c r="U233" s="376">
        <v>3925</v>
      </c>
      <c r="V233" s="377">
        <f t="shared" ref="V233:V234" si="142">ROUND(T233*U233,0)</f>
        <v>8438750</v>
      </c>
      <c r="W233" s="654">
        <v>0</v>
      </c>
      <c r="X233" s="246">
        <f t="shared" si="114"/>
        <v>0</v>
      </c>
      <c r="Y233" s="334" t="s">
        <v>604</v>
      </c>
      <c r="Z233" s="386" t="s">
        <v>605</v>
      </c>
      <c r="AA233" s="332" t="s">
        <v>606</v>
      </c>
      <c r="AB233" s="375">
        <v>2150</v>
      </c>
      <c r="AC233" s="376">
        <v>3980</v>
      </c>
      <c r="AD233" s="377">
        <f t="shared" ref="AD233:AD234" si="143">ROUND(AB233*AC233,0)</f>
        <v>8557000</v>
      </c>
      <c r="AE233" s="654">
        <v>0</v>
      </c>
      <c r="AF233" s="246">
        <f t="shared" si="115"/>
        <v>0</v>
      </c>
    </row>
    <row r="234" spans="1:32" s="235" customFormat="1" ht="45.75" outlineLevel="2" thickBot="1">
      <c r="A234" s="334" t="s">
        <v>607</v>
      </c>
      <c r="B234" s="386" t="s">
        <v>608</v>
      </c>
      <c r="C234" s="332" t="s">
        <v>94</v>
      </c>
      <c r="D234" s="375">
        <v>534</v>
      </c>
      <c r="E234" s="376">
        <v>12150</v>
      </c>
      <c r="F234" s="377">
        <f t="shared" si="140"/>
        <v>6488100</v>
      </c>
      <c r="G234" s="655"/>
      <c r="H234" s="246">
        <f t="shared" si="112"/>
        <v>0</v>
      </c>
      <c r="I234" s="334" t="s">
        <v>607</v>
      </c>
      <c r="J234" s="386" t="s">
        <v>608</v>
      </c>
      <c r="K234" s="332" t="s">
        <v>94</v>
      </c>
      <c r="L234" s="375">
        <v>534</v>
      </c>
      <c r="M234" s="376">
        <v>6787</v>
      </c>
      <c r="N234" s="377">
        <f t="shared" si="141"/>
        <v>3624258</v>
      </c>
      <c r="O234" s="655"/>
      <c r="P234" s="246">
        <f t="shared" si="113"/>
        <v>0</v>
      </c>
      <c r="Q234" s="334" t="s">
        <v>607</v>
      </c>
      <c r="R234" s="386" t="s">
        <v>608</v>
      </c>
      <c r="S234" s="332" t="s">
        <v>94</v>
      </c>
      <c r="T234" s="375">
        <v>534</v>
      </c>
      <c r="U234" s="376">
        <v>6795</v>
      </c>
      <c r="V234" s="377">
        <f t="shared" si="142"/>
        <v>3628530</v>
      </c>
      <c r="W234" s="655"/>
      <c r="X234" s="246">
        <f t="shared" si="114"/>
        <v>0</v>
      </c>
      <c r="Y234" s="334" t="s">
        <v>607</v>
      </c>
      <c r="Z234" s="386" t="s">
        <v>608</v>
      </c>
      <c r="AA234" s="332" t="s">
        <v>94</v>
      </c>
      <c r="AB234" s="375">
        <v>534</v>
      </c>
      <c r="AC234" s="376">
        <v>6890</v>
      </c>
      <c r="AD234" s="377">
        <f t="shared" si="143"/>
        <v>3679260</v>
      </c>
      <c r="AE234" s="655"/>
      <c r="AF234" s="246">
        <f t="shared" si="115"/>
        <v>0</v>
      </c>
    </row>
    <row r="235" spans="1:32" s="235" customFormat="1" ht="17.25" outlineLevel="2" thickTop="1" thickBot="1">
      <c r="A235" s="343" t="s">
        <v>609</v>
      </c>
      <c r="B235" s="344" t="s">
        <v>219</v>
      </c>
      <c r="C235" s="345"/>
      <c r="D235" s="346"/>
      <c r="E235" s="347"/>
      <c r="F235" s="348"/>
      <c r="G235" s="349">
        <f>SUM(F236:F251)</f>
        <v>4551443</v>
      </c>
      <c r="H235" s="246" t="str">
        <f t="shared" si="112"/>
        <v/>
      </c>
      <c r="I235" s="343" t="s">
        <v>609</v>
      </c>
      <c r="J235" s="344" t="s">
        <v>219</v>
      </c>
      <c r="K235" s="345"/>
      <c r="L235" s="346"/>
      <c r="M235" s="347">
        <v>1</v>
      </c>
      <c r="N235" s="348"/>
      <c r="O235" s="349">
        <f>SUM(N236:N251)</f>
        <v>6212185</v>
      </c>
      <c r="P235" s="246" t="str">
        <f t="shared" si="113"/>
        <v/>
      </c>
      <c r="Q235" s="343" t="s">
        <v>609</v>
      </c>
      <c r="R235" s="344" t="s">
        <v>219</v>
      </c>
      <c r="S235" s="345"/>
      <c r="T235" s="346"/>
      <c r="U235" s="347"/>
      <c r="V235" s="348"/>
      <c r="W235" s="349">
        <f>SUM(V236:V251)</f>
        <v>6218508</v>
      </c>
      <c r="X235" s="246" t="str">
        <f t="shared" si="114"/>
        <v/>
      </c>
      <c r="Y235" s="343" t="s">
        <v>609</v>
      </c>
      <c r="Z235" s="344" t="s">
        <v>219</v>
      </c>
      <c r="AA235" s="345"/>
      <c r="AB235" s="346"/>
      <c r="AC235" s="347"/>
      <c r="AD235" s="348"/>
      <c r="AE235" s="349">
        <f>SUM(AD236:AD251)</f>
        <v>6306640</v>
      </c>
      <c r="AF235" s="246" t="str">
        <f t="shared" si="115"/>
        <v/>
      </c>
    </row>
    <row r="236" spans="1:32" s="235" customFormat="1" ht="135.75" outlineLevel="2" thickTop="1">
      <c r="A236" s="334" t="s">
        <v>610</v>
      </c>
      <c r="B236" s="386" t="s">
        <v>611</v>
      </c>
      <c r="C236" s="332" t="s">
        <v>104</v>
      </c>
      <c r="D236" s="375">
        <v>18</v>
      </c>
      <c r="E236" s="376">
        <v>36467</v>
      </c>
      <c r="F236" s="377">
        <f t="shared" ref="F236:F251" si="144">ROUND(D236*E236,0)</f>
        <v>656406</v>
      </c>
      <c r="G236" s="654">
        <v>0</v>
      </c>
      <c r="H236" s="246">
        <f t="shared" si="112"/>
        <v>0</v>
      </c>
      <c r="I236" s="334" t="s">
        <v>610</v>
      </c>
      <c r="J236" s="386" t="s">
        <v>611</v>
      </c>
      <c r="K236" s="332" t="s">
        <v>104</v>
      </c>
      <c r="L236" s="375">
        <v>18</v>
      </c>
      <c r="M236" s="376">
        <v>16057</v>
      </c>
      <c r="N236" s="377">
        <f t="shared" ref="N236:N251" si="145">ROUND(L236*M236,0)</f>
        <v>289026</v>
      </c>
      <c r="O236" s="654">
        <v>0</v>
      </c>
      <c r="P236" s="246">
        <f t="shared" si="113"/>
        <v>0</v>
      </c>
      <c r="Q236" s="334" t="s">
        <v>610</v>
      </c>
      <c r="R236" s="386" t="s">
        <v>611</v>
      </c>
      <c r="S236" s="332" t="s">
        <v>104</v>
      </c>
      <c r="T236" s="375">
        <v>18</v>
      </c>
      <c r="U236" s="376">
        <v>16073</v>
      </c>
      <c r="V236" s="377">
        <f t="shared" ref="V236:V251" si="146">ROUND(T236*U236,0)</f>
        <v>289314</v>
      </c>
      <c r="W236" s="654">
        <v>0</v>
      </c>
      <c r="X236" s="246">
        <f t="shared" si="114"/>
        <v>0</v>
      </c>
      <c r="Y236" s="334" t="s">
        <v>610</v>
      </c>
      <c r="Z236" s="386" t="s">
        <v>611</v>
      </c>
      <c r="AA236" s="332" t="s">
        <v>104</v>
      </c>
      <c r="AB236" s="375">
        <v>18</v>
      </c>
      <c r="AC236" s="376">
        <v>16300</v>
      </c>
      <c r="AD236" s="377">
        <f t="shared" ref="AD236:AD251" si="147">ROUND(AB236*AC236,0)</f>
        <v>293400</v>
      </c>
      <c r="AE236" s="654">
        <v>0</v>
      </c>
      <c r="AF236" s="246">
        <f t="shared" si="115"/>
        <v>0</v>
      </c>
    </row>
    <row r="237" spans="1:32" s="235" customFormat="1" ht="135" outlineLevel="2">
      <c r="A237" s="334" t="s">
        <v>612</v>
      </c>
      <c r="B237" s="386" t="s">
        <v>613</v>
      </c>
      <c r="C237" s="332" t="s">
        <v>104</v>
      </c>
      <c r="D237" s="375">
        <v>12</v>
      </c>
      <c r="E237" s="376">
        <v>14310</v>
      </c>
      <c r="F237" s="377">
        <f t="shared" si="144"/>
        <v>171720</v>
      </c>
      <c r="G237" s="656"/>
      <c r="H237" s="246">
        <f t="shared" si="112"/>
        <v>0</v>
      </c>
      <c r="I237" s="334" t="s">
        <v>612</v>
      </c>
      <c r="J237" s="386" t="s">
        <v>613</v>
      </c>
      <c r="K237" s="332" t="s">
        <v>104</v>
      </c>
      <c r="L237" s="375">
        <v>12</v>
      </c>
      <c r="M237" s="376">
        <v>14087</v>
      </c>
      <c r="N237" s="377">
        <f t="shared" si="145"/>
        <v>169044</v>
      </c>
      <c r="O237" s="656"/>
      <c r="P237" s="246">
        <f t="shared" si="113"/>
        <v>0</v>
      </c>
      <c r="Q237" s="334" t="s">
        <v>612</v>
      </c>
      <c r="R237" s="386" t="s">
        <v>613</v>
      </c>
      <c r="S237" s="332" t="s">
        <v>104</v>
      </c>
      <c r="T237" s="375">
        <v>12</v>
      </c>
      <c r="U237" s="376">
        <v>14101</v>
      </c>
      <c r="V237" s="377">
        <f t="shared" si="146"/>
        <v>169212</v>
      </c>
      <c r="W237" s="656"/>
      <c r="X237" s="246">
        <f t="shared" si="114"/>
        <v>0</v>
      </c>
      <c r="Y237" s="334" t="s">
        <v>612</v>
      </c>
      <c r="Z237" s="386" t="s">
        <v>613</v>
      </c>
      <c r="AA237" s="332" t="s">
        <v>104</v>
      </c>
      <c r="AB237" s="375">
        <v>12</v>
      </c>
      <c r="AC237" s="376">
        <v>14300</v>
      </c>
      <c r="AD237" s="377">
        <f t="shared" si="147"/>
        <v>171600</v>
      </c>
      <c r="AE237" s="656"/>
      <c r="AF237" s="246">
        <f t="shared" si="115"/>
        <v>0</v>
      </c>
    </row>
    <row r="238" spans="1:32" s="235" customFormat="1" ht="135" outlineLevel="2">
      <c r="A238" s="334" t="s">
        <v>614</v>
      </c>
      <c r="B238" s="386" t="s">
        <v>615</v>
      </c>
      <c r="C238" s="332" t="s">
        <v>104</v>
      </c>
      <c r="D238" s="375">
        <v>32</v>
      </c>
      <c r="E238" s="376">
        <v>8792</v>
      </c>
      <c r="F238" s="377">
        <f t="shared" si="144"/>
        <v>281344</v>
      </c>
      <c r="G238" s="656"/>
      <c r="H238" s="246">
        <f t="shared" si="112"/>
        <v>0</v>
      </c>
      <c r="I238" s="334" t="s">
        <v>614</v>
      </c>
      <c r="J238" s="386" t="s">
        <v>615</v>
      </c>
      <c r="K238" s="332" t="s">
        <v>104</v>
      </c>
      <c r="L238" s="375">
        <v>32</v>
      </c>
      <c r="M238" s="376">
        <v>11033</v>
      </c>
      <c r="N238" s="377">
        <f t="shared" si="145"/>
        <v>353056</v>
      </c>
      <c r="O238" s="656"/>
      <c r="P238" s="246">
        <f t="shared" si="113"/>
        <v>0</v>
      </c>
      <c r="Q238" s="334" t="s">
        <v>614</v>
      </c>
      <c r="R238" s="386" t="s">
        <v>615</v>
      </c>
      <c r="S238" s="332" t="s">
        <v>104</v>
      </c>
      <c r="T238" s="375">
        <v>32</v>
      </c>
      <c r="U238" s="376">
        <v>11045</v>
      </c>
      <c r="V238" s="377">
        <f t="shared" si="146"/>
        <v>353440</v>
      </c>
      <c r="W238" s="656"/>
      <c r="X238" s="246">
        <f t="shared" si="114"/>
        <v>0</v>
      </c>
      <c r="Y238" s="334" t="s">
        <v>614</v>
      </c>
      <c r="Z238" s="386" t="s">
        <v>615</v>
      </c>
      <c r="AA238" s="332" t="s">
        <v>104</v>
      </c>
      <c r="AB238" s="375">
        <v>32</v>
      </c>
      <c r="AC238" s="376">
        <v>11200</v>
      </c>
      <c r="AD238" s="377">
        <f t="shared" si="147"/>
        <v>358400</v>
      </c>
      <c r="AE238" s="656"/>
      <c r="AF238" s="246">
        <f t="shared" si="115"/>
        <v>0</v>
      </c>
    </row>
    <row r="239" spans="1:32" s="235" customFormat="1" ht="75" outlineLevel="2">
      <c r="A239" s="334" t="s">
        <v>616</v>
      </c>
      <c r="B239" s="386" t="s">
        <v>617</v>
      </c>
      <c r="C239" s="332" t="s">
        <v>224</v>
      </c>
      <c r="D239" s="375">
        <v>1</v>
      </c>
      <c r="E239" s="376">
        <v>130500</v>
      </c>
      <c r="F239" s="377">
        <f t="shared" si="144"/>
        <v>130500</v>
      </c>
      <c r="G239" s="656"/>
      <c r="H239" s="246">
        <f t="shared" si="112"/>
        <v>0</v>
      </c>
      <c r="I239" s="334" t="s">
        <v>616</v>
      </c>
      <c r="J239" s="386" t="s">
        <v>617</v>
      </c>
      <c r="K239" s="332" t="s">
        <v>224</v>
      </c>
      <c r="L239" s="375">
        <v>1</v>
      </c>
      <c r="M239" s="376">
        <v>96827</v>
      </c>
      <c r="N239" s="377">
        <f t="shared" si="145"/>
        <v>96827</v>
      </c>
      <c r="O239" s="656"/>
      <c r="P239" s="246">
        <f t="shared" si="113"/>
        <v>0</v>
      </c>
      <c r="Q239" s="334" t="s">
        <v>616</v>
      </c>
      <c r="R239" s="386" t="s">
        <v>617</v>
      </c>
      <c r="S239" s="332" t="s">
        <v>224</v>
      </c>
      <c r="T239" s="375">
        <v>1</v>
      </c>
      <c r="U239" s="376">
        <v>96925</v>
      </c>
      <c r="V239" s="377">
        <f t="shared" si="146"/>
        <v>96925</v>
      </c>
      <c r="W239" s="656"/>
      <c r="X239" s="246">
        <f t="shared" si="114"/>
        <v>0</v>
      </c>
      <c r="Y239" s="334" t="s">
        <v>616</v>
      </c>
      <c r="Z239" s="386" t="s">
        <v>617</v>
      </c>
      <c r="AA239" s="332" t="s">
        <v>224</v>
      </c>
      <c r="AB239" s="375">
        <v>1</v>
      </c>
      <c r="AC239" s="376">
        <v>98300</v>
      </c>
      <c r="AD239" s="377">
        <f t="shared" si="147"/>
        <v>98300</v>
      </c>
      <c r="AE239" s="656"/>
      <c r="AF239" s="246">
        <f t="shared" si="115"/>
        <v>0</v>
      </c>
    </row>
    <row r="240" spans="1:32" s="235" customFormat="1" ht="75" outlineLevel="2">
      <c r="A240" s="334" t="s">
        <v>618</v>
      </c>
      <c r="B240" s="386" t="s">
        <v>619</v>
      </c>
      <c r="C240" s="332" t="s">
        <v>224</v>
      </c>
      <c r="D240" s="375">
        <v>3</v>
      </c>
      <c r="E240" s="376">
        <v>81705</v>
      </c>
      <c r="F240" s="377">
        <f t="shared" si="144"/>
        <v>245115</v>
      </c>
      <c r="G240" s="656"/>
      <c r="H240" s="246">
        <f t="shared" si="112"/>
        <v>0</v>
      </c>
      <c r="I240" s="334" t="s">
        <v>618</v>
      </c>
      <c r="J240" s="386" t="s">
        <v>619</v>
      </c>
      <c r="K240" s="332" t="s">
        <v>224</v>
      </c>
      <c r="L240" s="375">
        <v>3</v>
      </c>
      <c r="M240" s="376">
        <v>85991</v>
      </c>
      <c r="N240" s="377">
        <f t="shared" si="145"/>
        <v>257973</v>
      </c>
      <c r="O240" s="656"/>
      <c r="P240" s="246">
        <f t="shared" si="113"/>
        <v>0</v>
      </c>
      <c r="Q240" s="334" t="s">
        <v>618</v>
      </c>
      <c r="R240" s="386" t="s">
        <v>619</v>
      </c>
      <c r="S240" s="332" t="s">
        <v>224</v>
      </c>
      <c r="T240" s="375">
        <v>3</v>
      </c>
      <c r="U240" s="376">
        <v>86079</v>
      </c>
      <c r="V240" s="377">
        <f t="shared" si="146"/>
        <v>258237</v>
      </c>
      <c r="W240" s="656"/>
      <c r="X240" s="246">
        <f t="shared" si="114"/>
        <v>0</v>
      </c>
      <c r="Y240" s="334" t="s">
        <v>618</v>
      </c>
      <c r="Z240" s="386" t="s">
        <v>619</v>
      </c>
      <c r="AA240" s="332" t="s">
        <v>224</v>
      </c>
      <c r="AB240" s="375">
        <v>3</v>
      </c>
      <c r="AC240" s="376">
        <v>87300</v>
      </c>
      <c r="AD240" s="377">
        <f t="shared" si="147"/>
        <v>261900</v>
      </c>
      <c r="AE240" s="656"/>
      <c r="AF240" s="246">
        <f t="shared" si="115"/>
        <v>0</v>
      </c>
    </row>
    <row r="241" spans="1:32" s="235" customFormat="1" ht="135" outlineLevel="2">
      <c r="A241" s="334" t="s">
        <v>620</v>
      </c>
      <c r="B241" s="386" t="s">
        <v>621</v>
      </c>
      <c r="C241" s="332" t="s">
        <v>224</v>
      </c>
      <c r="D241" s="375">
        <v>1</v>
      </c>
      <c r="E241" s="376">
        <v>22950</v>
      </c>
      <c r="F241" s="377">
        <f t="shared" si="144"/>
        <v>22950</v>
      </c>
      <c r="G241" s="656"/>
      <c r="H241" s="246">
        <f t="shared" si="112"/>
        <v>0</v>
      </c>
      <c r="I241" s="334" t="s">
        <v>620</v>
      </c>
      <c r="J241" s="386" t="s">
        <v>621</v>
      </c>
      <c r="K241" s="332" t="s">
        <v>224</v>
      </c>
      <c r="L241" s="375">
        <v>1</v>
      </c>
      <c r="M241" s="376">
        <v>85991</v>
      </c>
      <c r="N241" s="377">
        <f t="shared" si="145"/>
        <v>85991</v>
      </c>
      <c r="O241" s="656"/>
      <c r="P241" s="246">
        <f t="shared" si="113"/>
        <v>0</v>
      </c>
      <c r="Q241" s="334" t="s">
        <v>620</v>
      </c>
      <c r="R241" s="386" t="s">
        <v>621</v>
      </c>
      <c r="S241" s="332" t="s">
        <v>224</v>
      </c>
      <c r="T241" s="375">
        <v>1</v>
      </c>
      <c r="U241" s="376">
        <v>86079</v>
      </c>
      <c r="V241" s="377">
        <f t="shared" si="146"/>
        <v>86079</v>
      </c>
      <c r="W241" s="656"/>
      <c r="X241" s="246">
        <f t="shared" si="114"/>
        <v>0</v>
      </c>
      <c r="Y241" s="334" t="s">
        <v>620</v>
      </c>
      <c r="Z241" s="386" t="s">
        <v>621</v>
      </c>
      <c r="AA241" s="332" t="s">
        <v>224</v>
      </c>
      <c r="AB241" s="375">
        <v>1</v>
      </c>
      <c r="AC241" s="376">
        <v>87300</v>
      </c>
      <c r="AD241" s="377">
        <f t="shared" si="147"/>
        <v>87300</v>
      </c>
      <c r="AE241" s="656"/>
      <c r="AF241" s="246">
        <f t="shared" si="115"/>
        <v>0</v>
      </c>
    </row>
    <row r="242" spans="1:32" s="235" customFormat="1" ht="135" outlineLevel="2">
      <c r="A242" s="334" t="s">
        <v>622</v>
      </c>
      <c r="B242" s="386" t="s">
        <v>623</v>
      </c>
      <c r="C242" s="332" t="s">
        <v>224</v>
      </c>
      <c r="D242" s="375">
        <v>2</v>
      </c>
      <c r="E242" s="376">
        <v>13517</v>
      </c>
      <c r="F242" s="377">
        <f t="shared" si="144"/>
        <v>27034</v>
      </c>
      <c r="G242" s="656"/>
      <c r="H242" s="246">
        <f t="shared" si="112"/>
        <v>0</v>
      </c>
      <c r="I242" s="334" t="s">
        <v>622</v>
      </c>
      <c r="J242" s="386" t="s">
        <v>623</v>
      </c>
      <c r="K242" s="332" t="s">
        <v>224</v>
      </c>
      <c r="L242" s="375">
        <v>2</v>
      </c>
      <c r="M242" s="376">
        <v>75353</v>
      </c>
      <c r="N242" s="377">
        <f t="shared" si="145"/>
        <v>150706</v>
      </c>
      <c r="O242" s="656"/>
      <c r="P242" s="246">
        <f t="shared" si="113"/>
        <v>0</v>
      </c>
      <c r="Q242" s="334" t="s">
        <v>622</v>
      </c>
      <c r="R242" s="386" t="s">
        <v>623</v>
      </c>
      <c r="S242" s="332" t="s">
        <v>224</v>
      </c>
      <c r="T242" s="375">
        <v>2</v>
      </c>
      <c r="U242" s="376">
        <v>75429</v>
      </c>
      <c r="V242" s="377">
        <f t="shared" si="146"/>
        <v>150858</v>
      </c>
      <c r="W242" s="656"/>
      <c r="X242" s="246">
        <f t="shared" si="114"/>
        <v>0</v>
      </c>
      <c r="Y242" s="334" t="s">
        <v>622</v>
      </c>
      <c r="Z242" s="386" t="s">
        <v>623</v>
      </c>
      <c r="AA242" s="332" t="s">
        <v>224</v>
      </c>
      <c r="AB242" s="375">
        <v>2</v>
      </c>
      <c r="AC242" s="376">
        <v>76500</v>
      </c>
      <c r="AD242" s="377">
        <f t="shared" si="147"/>
        <v>153000</v>
      </c>
      <c r="AE242" s="656"/>
      <c r="AF242" s="246">
        <f t="shared" si="115"/>
        <v>0</v>
      </c>
    </row>
    <row r="243" spans="1:32" s="235" customFormat="1" ht="30" outlineLevel="2">
      <c r="A243" s="334" t="s">
        <v>624</v>
      </c>
      <c r="B243" s="386" t="s">
        <v>625</v>
      </c>
      <c r="C243" s="332" t="s">
        <v>224</v>
      </c>
      <c r="D243" s="375">
        <v>1</v>
      </c>
      <c r="E243" s="376">
        <v>291614</v>
      </c>
      <c r="F243" s="377">
        <f t="shared" si="144"/>
        <v>291614</v>
      </c>
      <c r="G243" s="656"/>
      <c r="H243" s="246">
        <f t="shared" si="112"/>
        <v>0</v>
      </c>
      <c r="I243" s="334" t="s">
        <v>624</v>
      </c>
      <c r="J243" s="386" t="s">
        <v>625</v>
      </c>
      <c r="K243" s="332" t="s">
        <v>224</v>
      </c>
      <c r="L243" s="375">
        <v>1</v>
      </c>
      <c r="M243" s="376">
        <v>293827</v>
      </c>
      <c r="N243" s="377">
        <f t="shared" si="145"/>
        <v>293827</v>
      </c>
      <c r="O243" s="656"/>
      <c r="P243" s="246">
        <f t="shared" si="113"/>
        <v>0</v>
      </c>
      <c r="Q243" s="334" t="s">
        <v>624</v>
      </c>
      <c r="R243" s="386" t="s">
        <v>625</v>
      </c>
      <c r="S243" s="332" t="s">
        <v>224</v>
      </c>
      <c r="T243" s="375">
        <v>1</v>
      </c>
      <c r="U243" s="376">
        <v>294125</v>
      </c>
      <c r="V243" s="377">
        <f t="shared" si="146"/>
        <v>294125</v>
      </c>
      <c r="W243" s="656"/>
      <c r="X243" s="246">
        <f t="shared" si="114"/>
        <v>0</v>
      </c>
      <c r="Y243" s="334" t="s">
        <v>624</v>
      </c>
      <c r="Z243" s="386" t="s">
        <v>625</v>
      </c>
      <c r="AA243" s="332" t="s">
        <v>224</v>
      </c>
      <c r="AB243" s="375">
        <v>1</v>
      </c>
      <c r="AC243" s="376">
        <v>298300</v>
      </c>
      <c r="AD243" s="377">
        <f t="shared" si="147"/>
        <v>298300</v>
      </c>
      <c r="AE243" s="656"/>
      <c r="AF243" s="246">
        <f t="shared" si="115"/>
        <v>0</v>
      </c>
    </row>
    <row r="244" spans="1:32" s="235" customFormat="1" ht="30" outlineLevel="2">
      <c r="A244" s="334" t="s">
        <v>626</v>
      </c>
      <c r="B244" s="386" t="s">
        <v>627</v>
      </c>
      <c r="C244" s="332" t="s">
        <v>224</v>
      </c>
      <c r="D244" s="375">
        <v>1</v>
      </c>
      <c r="E244" s="376">
        <v>186044</v>
      </c>
      <c r="F244" s="377">
        <f t="shared" si="144"/>
        <v>186044</v>
      </c>
      <c r="G244" s="656"/>
      <c r="H244" s="246">
        <f t="shared" si="112"/>
        <v>0</v>
      </c>
      <c r="I244" s="334" t="s">
        <v>626</v>
      </c>
      <c r="J244" s="386" t="s">
        <v>627</v>
      </c>
      <c r="K244" s="332" t="s">
        <v>224</v>
      </c>
      <c r="L244" s="375">
        <v>1</v>
      </c>
      <c r="M244" s="376">
        <v>220543</v>
      </c>
      <c r="N244" s="377">
        <f t="shared" si="145"/>
        <v>220543</v>
      </c>
      <c r="O244" s="656"/>
      <c r="P244" s="246">
        <f t="shared" si="113"/>
        <v>0</v>
      </c>
      <c r="Q244" s="334" t="s">
        <v>626</v>
      </c>
      <c r="R244" s="386" t="s">
        <v>627</v>
      </c>
      <c r="S244" s="332" t="s">
        <v>224</v>
      </c>
      <c r="T244" s="375">
        <v>1</v>
      </c>
      <c r="U244" s="376">
        <v>220767</v>
      </c>
      <c r="V244" s="377">
        <f t="shared" si="146"/>
        <v>220767</v>
      </c>
      <c r="W244" s="656"/>
      <c r="X244" s="246">
        <f t="shared" si="114"/>
        <v>0</v>
      </c>
      <c r="Y244" s="334" t="s">
        <v>626</v>
      </c>
      <c r="Z244" s="386" t="s">
        <v>627</v>
      </c>
      <c r="AA244" s="332" t="s">
        <v>224</v>
      </c>
      <c r="AB244" s="375">
        <v>1</v>
      </c>
      <c r="AC244" s="376">
        <v>223900</v>
      </c>
      <c r="AD244" s="377">
        <f t="shared" si="147"/>
        <v>223900</v>
      </c>
      <c r="AE244" s="656"/>
      <c r="AF244" s="246">
        <f t="shared" si="115"/>
        <v>0</v>
      </c>
    </row>
    <row r="245" spans="1:32" s="235" customFormat="1" ht="30" outlineLevel="2">
      <c r="A245" s="334" t="s">
        <v>628</v>
      </c>
      <c r="B245" s="386" t="s">
        <v>629</v>
      </c>
      <c r="C245" s="332" t="s">
        <v>224</v>
      </c>
      <c r="D245" s="375">
        <v>1</v>
      </c>
      <c r="E245" s="376">
        <v>102245</v>
      </c>
      <c r="F245" s="377">
        <f t="shared" si="144"/>
        <v>102245</v>
      </c>
      <c r="G245" s="656"/>
      <c r="H245" s="246">
        <f t="shared" si="112"/>
        <v>0</v>
      </c>
      <c r="I245" s="334" t="s">
        <v>628</v>
      </c>
      <c r="J245" s="386" t="s">
        <v>629</v>
      </c>
      <c r="K245" s="332" t="s">
        <v>224</v>
      </c>
      <c r="L245" s="375">
        <v>1</v>
      </c>
      <c r="M245" s="376">
        <v>151691</v>
      </c>
      <c r="N245" s="377">
        <f t="shared" si="145"/>
        <v>151691</v>
      </c>
      <c r="O245" s="656"/>
      <c r="P245" s="246">
        <f t="shared" si="113"/>
        <v>0</v>
      </c>
      <c r="Q245" s="334" t="s">
        <v>628</v>
      </c>
      <c r="R245" s="386" t="s">
        <v>629</v>
      </c>
      <c r="S245" s="332" t="s">
        <v>224</v>
      </c>
      <c r="T245" s="375">
        <v>1</v>
      </c>
      <c r="U245" s="376">
        <v>151845</v>
      </c>
      <c r="V245" s="377">
        <f t="shared" si="146"/>
        <v>151845</v>
      </c>
      <c r="W245" s="656"/>
      <c r="X245" s="246">
        <f t="shared" si="114"/>
        <v>0</v>
      </c>
      <c r="Y245" s="334" t="s">
        <v>628</v>
      </c>
      <c r="Z245" s="386" t="s">
        <v>629</v>
      </c>
      <c r="AA245" s="332" t="s">
        <v>224</v>
      </c>
      <c r="AB245" s="375">
        <v>1</v>
      </c>
      <c r="AC245" s="376">
        <v>154000</v>
      </c>
      <c r="AD245" s="377">
        <f t="shared" si="147"/>
        <v>154000</v>
      </c>
      <c r="AE245" s="656"/>
      <c r="AF245" s="246">
        <f t="shared" si="115"/>
        <v>0</v>
      </c>
    </row>
    <row r="246" spans="1:32" s="235" customFormat="1" ht="90" outlineLevel="2">
      <c r="A246" s="334" t="s">
        <v>630</v>
      </c>
      <c r="B246" s="386" t="s">
        <v>631</v>
      </c>
      <c r="C246" s="332" t="s">
        <v>104</v>
      </c>
      <c r="D246" s="375">
        <v>14.5</v>
      </c>
      <c r="E246" s="376">
        <v>19826</v>
      </c>
      <c r="F246" s="377">
        <f t="shared" si="144"/>
        <v>287477</v>
      </c>
      <c r="G246" s="656"/>
      <c r="H246" s="246">
        <f t="shared" si="112"/>
        <v>0</v>
      </c>
      <c r="I246" s="334" t="s">
        <v>630</v>
      </c>
      <c r="J246" s="386" t="s">
        <v>631</v>
      </c>
      <c r="K246" s="332" t="s">
        <v>104</v>
      </c>
      <c r="L246" s="375">
        <v>14.5</v>
      </c>
      <c r="M246" s="376">
        <v>42553</v>
      </c>
      <c r="N246" s="377">
        <f t="shared" si="145"/>
        <v>617019</v>
      </c>
      <c r="O246" s="656"/>
      <c r="P246" s="246">
        <f t="shared" si="113"/>
        <v>0</v>
      </c>
      <c r="Q246" s="334" t="s">
        <v>630</v>
      </c>
      <c r="R246" s="386" t="s">
        <v>631</v>
      </c>
      <c r="S246" s="332" t="s">
        <v>104</v>
      </c>
      <c r="T246" s="375">
        <v>14.5</v>
      </c>
      <c r="U246" s="376">
        <v>42597</v>
      </c>
      <c r="V246" s="377">
        <f t="shared" si="146"/>
        <v>617657</v>
      </c>
      <c r="W246" s="656"/>
      <c r="X246" s="246">
        <f t="shared" si="114"/>
        <v>0</v>
      </c>
      <c r="Y246" s="334" t="s">
        <v>630</v>
      </c>
      <c r="Z246" s="386" t="s">
        <v>631</v>
      </c>
      <c r="AA246" s="332" t="s">
        <v>104</v>
      </c>
      <c r="AB246" s="375">
        <v>14.5</v>
      </c>
      <c r="AC246" s="376">
        <v>43200</v>
      </c>
      <c r="AD246" s="377">
        <f t="shared" si="147"/>
        <v>626400</v>
      </c>
      <c r="AE246" s="656"/>
      <c r="AF246" s="246">
        <f t="shared" si="115"/>
        <v>0</v>
      </c>
    </row>
    <row r="247" spans="1:32" s="235" customFormat="1" ht="90" outlineLevel="2">
      <c r="A247" s="334" t="s">
        <v>632</v>
      </c>
      <c r="B247" s="386" t="s">
        <v>633</v>
      </c>
      <c r="C247" s="332" t="s">
        <v>104</v>
      </c>
      <c r="D247" s="375">
        <v>36.4</v>
      </c>
      <c r="E247" s="376">
        <v>29936</v>
      </c>
      <c r="F247" s="377">
        <f t="shared" si="144"/>
        <v>1089670</v>
      </c>
      <c r="G247" s="656"/>
      <c r="H247" s="246">
        <f t="shared" si="112"/>
        <v>0</v>
      </c>
      <c r="I247" s="334" t="s">
        <v>632</v>
      </c>
      <c r="J247" s="386" t="s">
        <v>633</v>
      </c>
      <c r="K247" s="332" t="s">
        <v>104</v>
      </c>
      <c r="L247" s="375">
        <v>36.4</v>
      </c>
      <c r="M247" s="376">
        <v>47379</v>
      </c>
      <c r="N247" s="377">
        <f t="shared" si="145"/>
        <v>1724596</v>
      </c>
      <c r="O247" s="656"/>
      <c r="P247" s="246">
        <f t="shared" si="113"/>
        <v>0</v>
      </c>
      <c r="Q247" s="334" t="s">
        <v>632</v>
      </c>
      <c r="R247" s="386" t="s">
        <v>633</v>
      </c>
      <c r="S247" s="332" t="s">
        <v>104</v>
      </c>
      <c r="T247" s="375">
        <v>36.4</v>
      </c>
      <c r="U247" s="376">
        <v>47427</v>
      </c>
      <c r="V247" s="377">
        <f t="shared" si="146"/>
        <v>1726343</v>
      </c>
      <c r="W247" s="656"/>
      <c r="X247" s="246">
        <f t="shared" si="114"/>
        <v>0</v>
      </c>
      <c r="Y247" s="334" t="s">
        <v>632</v>
      </c>
      <c r="Z247" s="386" t="s">
        <v>633</v>
      </c>
      <c r="AA247" s="332" t="s">
        <v>104</v>
      </c>
      <c r="AB247" s="375">
        <v>36.4</v>
      </c>
      <c r="AC247" s="376">
        <v>48100</v>
      </c>
      <c r="AD247" s="377">
        <f t="shared" si="147"/>
        <v>1750840</v>
      </c>
      <c r="AE247" s="656"/>
      <c r="AF247" s="246">
        <f t="shared" si="115"/>
        <v>0</v>
      </c>
    </row>
    <row r="248" spans="1:32" s="235" customFormat="1" ht="90" outlineLevel="2">
      <c r="A248" s="334" t="s">
        <v>634</v>
      </c>
      <c r="B248" s="386" t="s">
        <v>635</v>
      </c>
      <c r="C248" s="332" t="s">
        <v>104</v>
      </c>
      <c r="D248" s="375">
        <v>18</v>
      </c>
      <c r="E248" s="376">
        <v>37796</v>
      </c>
      <c r="F248" s="377">
        <f t="shared" si="144"/>
        <v>680328</v>
      </c>
      <c r="G248" s="656"/>
      <c r="H248" s="246">
        <f t="shared" si="112"/>
        <v>0</v>
      </c>
      <c r="I248" s="334" t="s">
        <v>634</v>
      </c>
      <c r="J248" s="386" t="s">
        <v>635</v>
      </c>
      <c r="K248" s="332" t="s">
        <v>104</v>
      </c>
      <c r="L248" s="375">
        <v>18</v>
      </c>
      <c r="M248" s="376">
        <v>75255</v>
      </c>
      <c r="N248" s="377">
        <f t="shared" si="145"/>
        <v>1354590</v>
      </c>
      <c r="O248" s="656"/>
      <c r="P248" s="246">
        <f t="shared" si="113"/>
        <v>0</v>
      </c>
      <c r="Q248" s="334" t="s">
        <v>634</v>
      </c>
      <c r="R248" s="386" t="s">
        <v>635</v>
      </c>
      <c r="S248" s="332" t="s">
        <v>104</v>
      </c>
      <c r="T248" s="375">
        <v>18</v>
      </c>
      <c r="U248" s="376">
        <v>75331</v>
      </c>
      <c r="V248" s="377">
        <f t="shared" si="146"/>
        <v>1355958</v>
      </c>
      <c r="W248" s="656"/>
      <c r="X248" s="246">
        <f t="shared" si="114"/>
        <v>0</v>
      </c>
      <c r="Y248" s="334" t="s">
        <v>634</v>
      </c>
      <c r="Z248" s="386" t="s">
        <v>635</v>
      </c>
      <c r="AA248" s="332" t="s">
        <v>104</v>
      </c>
      <c r="AB248" s="375">
        <v>18</v>
      </c>
      <c r="AC248" s="376">
        <v>76400</v>
      </c>
      <c r="AD248" s="377">
        <f t="shared" si="147"/>
        <v>1375200</v>
      </c>
      <c r="AE248" s="656"/>
      <c r="AF248" s="246">
        <f t="shared" si="115"/>
        <v>0</v>
      </c>
    </row>
    <row r="249" spans="1:32" s="235" customFormat="1" ht="105" outlineLevel="2">
      <c r="A249" s="334" t="s">
        <v>636</v>
      </c>
      <c r="B249" s="386" t="s">
        <v>637</v>
      </c>
      <c r="C249" s="332" t="s">
        <v>224</v>
      </c>
      <c r="D249" s="375">
        <v>2</v>
      </c>
      <c r="E249" s="376">
        <v>75740</v>
      </c>
      <c r="F249" s="377">
        <f t="shared" si="144"/>
        <v>151480</v>
      </c>
      <c r="G249" s="656"/>
      <c r="H249" s="246">
        <f t="shared" si="112"/>
        <v>0</v>
      </c>
      <c r="I249" s="334" t="s">
        <v>636</v>
      </c>
      <c r="J249" s="386" t="s">
        <v>637</v>
      </c>
      <c r="K249" s="332" t="s">
        <v>224</v>
      </c>
      <c r="L249" s="375">
        <v>2</v>
      </c>
      <c r="M249" s="376">
        <v>81067</v>
      </c>
      <c r="N249" s="377">
        <f t="shared" si="145"/>
        <v>162134</v>
      </c>
      <c r="O249" s="656"/>
      <c r="P249" s="246">
        <f t="shared" si="113"/>
        <v>0</v>
      </c>
      <c r="Q249" s="334" t="s">
        <v>636</v>
      </c>
      <c r="R249" s="386" t="s">
        <v>637</v>
      </c>
      <c r="S249" s="332" t="s">
        <v>224</v>
      </c>
      <c r="T249" s="375">
        <v>2</v>
      </c>
      <c r="U249" s="376">
        <v>81149</v>
      </c>
      <c r="V249" s="377">
        <f t="shared" si="146"/>
        <v>162298</v>
      </c>
      <c r="W249" s="656"/>
      <c r="X249" s="246">
        <f t="shared" si="114"/>
        <v>0</v>
      </c>
      <c r="Y249" s="334" t="s">
        <v>636</v>
      </c>
      <c r="Z249" s="386" t="s">
        <v>637</v>
      </c>
      <c r="AA249" s="332" t="s">
        <v>224</v>
      </c>
      <c r="AB249" s="375">
        <v>2</v>
      </c>
      <c r="AC249" s="376">
        <v>82300</v>
      </c>
      <c r="AD249" s="377">
        <f t="shared" si="147"/>
        <v>164600</v>
      </c>
      <c r="AE249" s="656"/>
      <c r="AF249" s="246">
        <f t="shared" si="115"/>
        <v>0</v>
      </c>
    </row>
    <row r="250" spans="1:32" s="235" customFormat="1" ht="105" outlineLevel="2">
      <c r="A250" s="334" t="s">
        <v>638</v>
      </c>
      <c r="B250" s="386" t="s">
        <v>639</v>
      </c>
      <c r="C250" s="332" t="s">
        <v>224</v>
      </c>
      <c r="D250" s="375">
        <v>3</v>
      </c>
      <c r="E250" s="376">
        <v>64573</v>
      </c>
      <c r="F250" s="377">
        <f t="shared" si="144"/>
        <v>193719</v>
      </c>
      <c r="G250" s="656"/>
      <c r="H250" s="246">
        <f t="shared" si="112"/>
        <v>0</v>
      </c>
      <c r="I250" s="334" t="s">
        <v>638</v>
      </c>
      <c r="J250" s="386" t="s">
        <v>639</v>
      </c>
      <c r="K250" s="332" t="s">
        <v>224</v>
      </c>
      <c r="L250" s="375">
        <v>3</v>
      </c>
      <c r="M250" s="376">
        <v>77225</v>
      </c>
      <c r="N250" s="377">
        <f t="shared" si="145"/>
        <v>231675</v>
      </c>
      <c r="O250" s="656"/>
      <c r="P250" s="246">
        <f t="shared" si="113"/>
        <v>0</v>
      </c>
      <c r="Q250" s="334" t="s">
        <v>638</v>
      </c>
      <c r="R250" s="386" t="s">
        <v>639</v>
      </c>
      <c r="S250" s="332" t="s">
        <v>224</v>
      </c>
      <c r="T250" s="375">
        <v>3</v>
      </c>
      <c r="U250" s="376">
        <v>77303</v>
      </c>
      <c r="V250" s="377">
        <f t="shared" si="146"/>
        <v>231909</v>
      </c>
      <c r="W250" s="656"/>
      <c r="X250" s="246">
        <f t="shared" si="114"/>
        <v>0</v>
      </c>
      <c r="Y250" s="334" t="s">
        <v>638</v>
      </c>
      <c r="Z250" s="386" t="s">
        <v>639</v>
      </c>
      <c r="AA250" s="332" t="s">
        <v>224</v>
      </c>
      <c r="AB250" s="375">
        <v>3</v>
      </c>
      <c r="AC250" s="376">
        <v>78400</v>
      </c>
      <c r="AD250" s="377">
        <f t="shared" si="147"/>
        <v>235200</v>
      </c>
      <c r="AE250" s="656"/>
      <c r="AF250" s="246">
        <f t="shared" si="115"/>
        <v>0</v>
      </c>
    </row>
    <row r="251" spans="1:32" s="235" customFormat="1" ht="30.75" outlineLevel="2" thickBot="1">
      <c r="A251" s="334" t="s">
        <v>640</v>
      </c>
      <c r="B251" s="386" t="s">
        <v>641</v>
      </c>
      <c r="C251" s="332" t="s">
        <v>224</v>
      </c>
      <c r="D251" s="375">
        <v>1</v>
      </c>
      <c r="E251" s="376">
        <v>33797</v>
      </c>
      <c r="F251" s="377">
        <f t="shared" si="144"/>
        <v>33797</v>
      </c>
      <c r="G251" s="656"/>
      <c r="H251" s="246">
        <f t="shared" si="112"/>
        <v>0</v>
      </c>
      <c r="I251" s="334" t="s">
        <v>640</v>
      </c>
      <c r="J251" s="386" t="s">
        <v>641</v>
      </c>
      <c r="K251" s="332" t="s">
        <v>224</v>
      </c>
      <c r="L251" s="375">
        <v>1</v>
      </c>
      <c r="M251" s="376">
        <v>53487</v>
      </c>
      <c r="N251" s="377">
        <f t="shared" si="145"/>
        <v>53487</v>
      </c>
      <c r="O251" s="656"/>
      <c r="P251" s="246">
        <f t="shared" si="113"/>
        <v>0</v>
      </c>
      <c r="Q251" s="334" t="s">
        <v>640</v>
      </c>
      <c r="R251" s="386" t="s">
        <v>641</v>
      </c>
      <c r="S251" s="332" t="s">
        <v>224</v>
      </c>
      <c r="T251" s="375">
        <v>1</v>
      </c>
      <c r="U251" s="376">
        <v>53541</v>
      </c>
      <c r="V251" s="377">
        <f t="shared" si="146"/>
        <v>53541</v>
      </c>
      <c r="W251" s="656"/>
      <c r="X251" s="246">
        <f t="shared" si="114"/>
        <v>0</v>
      </c>
      <c r="Y251" s="334" t="s">
        <v>640</v>
      </c>
      <c r="Z251" s="386" t="s">
        <v>641</v>
      </c>
      <c r="AA251" s="332" t="s">
        <v>224</v>
      </c>
      <c r="AB251" s="375">
        <v>1</v>
      </c>
      <c r="AC251" s="376">
        <v>54300</v>
      </c>
      <c r="AD251" s="377">
        <f t="shared" si="147"/>
        <v>54300</v>
      </c>
      <c r="AE251" s="656"/>
      <c r="AF251" s="246">
        <f t="shared" si="115"/>
        <v>0</v>
      </c>
    </row>
    <row r="252" spans="1:32" s="235" customFormat="1" ht="17.25" outlineLevel="2" thickTop="1" thickBot="1">
      <c r="A252" s="343" t="s">
        <v>642</v>
      </c>
      <c r="B252" s="344" t="s">
        <v>335</v>
      </c>
      <c r="C252" s="345"/>
      <c r="D252" s="346"/>
      <c r="E252" s="347"/>
      <c r="F252" s="348"/>
      <c r="G252" s="349">
        <f>SUM(F253:F259)</f>
        <v>2178675</v>
      </c>
      <c r="H252" s="246" t="str">
        <f t="shared" si="112"/>
        <v/>
      </c>
      <c r="I252" s="343" t="s">
        <v>642</v>
      </c>
      <c r="J252" s="344" t="s">
        <v>335</v>
      </c>
      <c r="K252" s="345"/>
      <c r="L252" s="346"/>
      <c r="M252" s="347"/>
      <c r="N252" s="348"/>
      <c r="O252" s="349">
        <f>SUM(N253:N259)</f>
        <v>3400021</v>
      </c>
      <c r="P252" s="246" t="str">
        <f t="shared" si="113"/>
        <v/>
      </c>
      <c r="Q252" s="343" t="s">
        <v>642</v>
      </c>
      <c r="R252" s="344" t="s">
        <v>335</v>
      </c>
      <c r="S252" s="345"/>
      <c r="T252" s="346"/>
      <c r="U252" s="347"/>
      <c r="V252" s="348"/>
      <c r="W252" s="349">
        <f>SUM(V253:V259)</f>
        <v>3403455</v>
      </c>
      <c r="X252" s="246" t="str">
        <f t="shared" si="114"/>
        <v/>
      </c>
      <c r="Y252" s="343" t="s">
        <v>642</v>
      </c>
      <c r="Z252" s="344" t="s">
        <v>335</v>
      </c>
      <c r="AA252" s="345"/>
      <c r="AB252" s="346"/>
      <c r="AC252" s="347"/>
      <c r="AD252" s="348"/>
      <c r="AE252" s="349">
        <f>SUM(AD253:AD259)</f>
        <v>3451741</v>
      </c>
      <c r="AF252" s="246" t="str">
        <f t="shared" si="115"/>
        <v/>
      </c>
    </row>
    <row r="253" spans="1:32" s="235" customFormat="1" ht="26.25" outlineLevel="2" thickTop="1">
      <c r="A253" s="334" t="s">
        <v>643</v>
      </c>
      <c r="B253" s="388" t="s">
        <v>644</v>
      </c>
      <c r="C253" s="332" t="s">
        <v>224</v>
      </c>
      <c r="D253" s="375">
        <v>1</v>
      </c>
      <c r="E253" s="376">
        <v>15525</v>
      </c>
      <c r="F253" s="377">
        <f t="shared" ref="F253:F259" si="148">ROUND(D253*E253,0)</f>
        <v>15525</v>
      </c>
      <c r="G253" s="654">
        <v>0</v>
      </c>
      <c r="H253" s="246">
        <f t="shared" si="112"/>
        <v>0</v>
      </c>
      <c r="I253" s="334" t="s">
        <v>643</v>
      </c>
      <c r="J253" s="388" t="s">
        <v>644</v>
      </c>
      <c r="K253" s="332" t="s">
        <v>224</v>
      </c>
      <c r="L253" s="375">
        <v>1</v>
      </c>
      <c r="M253" s="376">
        <v>34065</v>
      </c>
      <c r="N253" s="377">
        <f t="shared" ref="N253:N259" si="149">ROUND(L253*M253,0)</f>
        <v>34065</v>
      </c>
      <c r="O253" s="654">
        <v>0</v>
      </c>
      <c r="P253" s="246">
        <f t="shared" si="113"/>
        <v>0</v>
      </c>
      <c r="Q253" s="334" t="s">
        <v>643</v>
      </c>
      <c r="R253" s="388" t="s">
        <v>644</v>
      </c>
      <c r="S253" s="332" t="s">
        <v>224</v>
      </c>
      <c r="T253" s="375">
        <v>1</v>
      </c>
      <c r="U253" s="376">
        <v>34099</v>
      </c>
      <c r="V253" s="377">
        <f t="shared" ref="V253:V259" si="150">ROUND(T253*U253,0)</f>
        <v>34099</v>
      </c>
      <c r="W253" s="654">
        <v>0</v>
      </c>
      <c r="X253" s="246">
        <f t="shared" si="114"/>
        <v>0</v>
      </c>
      <c r="Y253" s="334" t="s">
        <v>643</v>
      </c>
      <c r="Z253" s="388" t="s">
        <v>644</v>
      </c>
      <c r="AA253" s="332" t="s">
        <v>224</v>
      </c>
      <c r="AB253" s="375">
        <v>1</v>
      </c>
      <c r="AC253" s="376">
        <v>34583</v>
      </c>
      <c r="AD253" s="377">
        <f t="shared" ref="AD253:AD259" si="151">ROUND(AB253*AC253,0)</f>
        <v>34583</v>
      </c>
      <c r="AE253" s="654">
        <v>0</v>
      </c>
      <c r="AF253" s="246">
        <f t="shared" si="115"/>
        <v>0</v>
      </c>
    </row>
    <row r="254" spans="1:32" s="235" customFormat="1" ht="63.75" outlineLevel="2">
      <c r="A254" s="334" t="s">
        <v>645</v>
      </c>
      <c r="B254" s="388" t="s">
        <v>646</v>
      </c>
      <c r="C254" s="332" t="s">
        <v>224</v>
      </c>
      <c r="D254" s="375">
        <v>10</v>
      </c>
      <c r="E254" s="376">
        <v>62100</v>
      </c>
      <c r="F254" s="377">
        <f t="shared" si="148"/>
        <v>621000</v>
      </c>
      <c r="G254" s="656"/>
      <c r="H254" s="246">
        <f t="shared" si="112"/>
        <v>0</v>
      </c>
      <c r="I254" s="334" t="s">
        <v>645</v>
      </c>
      <c r="J254" s="388" t="s">
        <v>646</v>
      </c>
      <c r="K254" s="332" t="s">
        <v>224</v>
      </c>
      <c r="L254" s="375">
        <v>10</v>
      </c>
      <c r="M254" s="376">
        <v>63613</v>
      </c>
      <c r="N254" s="377">
        <f t="shared" si="149"/>
        <v>636130</v>
      </c>
      <c r="O254" s="656"/>
      <c r="P254" s="246">
        <f t="shared" si="113"/>
        <v>0</v>
      </c>
      <c r="Q254" s="334" t="s">
        <v>645</v>
      </c>
      <c r="R254" s="388" t="s">
        <v>646</v>
      </c>
      <c r="S254" s="332" t="s">
        <v>224</v>
      </c>
      <c r="T254" s="375">
        <v>10</v>
      </c>
      <c r="U254" s="376">
        <v>63677</v>
      </c>
      <c r="V254" s="377">
        <f t="shared" si="150"/>
        <v>636770</v>
      </c>
      <c r="W254" s="656"/>
      <c r="X254" s="246">
        <f t="shared" si="114"/>
        <v>0</v>
      </c>
      <c r="Y254" s="334" t="s">
        <v>645</v>
      </c>
      <c r="Z254" s="388" t="s">
        <v>646</v>
      </c>
      <c r="AA254" s="332" t="s">
        <v>224</v>
      </c>
      <c r="AB254" s="375">
        <v>10</v>
      </c>
      <c r="AC254" s="376">
        <v>64581</v>
      </c>
      <c r="AD254" s="377">
        <f t="shared" si="151"/>
        <v>645810</v>
      </c>
      <c r="AE254" s="656"/>
      <c r="AF254" s="246">
        <f t="shared" si="115"/>
        <v>0</v>
      </c>
    </row>
    <row r="255" spans="1:32" s="235" customFormat="1" ht="51" outlineLevel="2">
      <c r="A255" s="334" t="s">
        <v>647</v>
      </c>
      <c r="B255" s="388" t="s">
        <v>648</v>
      </c>
      <c r="C255" s="332" t="s">
        <v>224</v>
      </c>
      <c r="D255" s="375">
        <v>5</v>
      </c>
      <c r="E255" s="376">
        <v>62100</v>
      </c>
      <c r="F255" s="377">
        <f t="shared" si="148"/>
        <v>310500</v>
      </c>
      <c r="G255" s="656"/>
      <c r="H255" s="246">
        <f t="shared" si="112"/>
        <v>0</v>
      </c>
      <c r="I255" s="334" t="s">
        <v>647</v>
      </c>
      <c r="J255" s="388" t="s">
        <v>648</v>
      </c>
      <c r="K255" s="332" t="s">
        <v>224</v>
      </c>
      <c r="L255" s="375">
        <v>5</v>
      </c>
      <c r="M255" s="376">
        <v>52127</v>
      </c>
      <c r="N255" s="377">
        <f t="shared" si="149"/>
        <v>260635</v>
      </c>
      <c r="O255" s="656"/>
      <c r="P255" s="246">
        <f t="shared" si="113"/>
        <v>0</v>
      </c>
      <c r="Q255" s="334" t="s">
        <v>647</v>
      </c>
      <c r="R255" s="388" t="s">
        <v>648</v>
      </c>
      <c r="S255" s="332" t="s">
        <v>224</v>
      </c>
      <c r="T255" s="375">
        <v>5</v>
      </c>
      <c r="U255" s="376">
        <v>52179</v>
      </c>
      <c r="V255" s="377">
        <f t="shared" si="150"/>
        <v>260895</v>
      </c>
      <c r="W255" s="656"/>
      <c r="X255" s="246">
        <f t="shared" si="114"/>
        <v>0</v>
      </c>
      <c r="Y255" s="334" t="s">
        <v>647</v>
      </c>
      <c r="Z255" s="388" t="s">
        <v>648</v>
      </c>
      <c r="AA255" s="332" t="s">
        <v>224</v>
      </c>
      <c r="AB255" s="375">
        <v>5</v>
      </c>
      <c r="AC255" s="376">
        <v>52919</v>
      </c>
      <c r="AD255" s="377">
        <f t="shared" si="151"/>
        <v>264595</v>
      </c>
      <c r="AE255" s="656"/>
      <c r="AF255" s="246">
        <f t="shared" si="115"/>
        <v>0</v>
      </c>
    </row>
    <row r="256" spans="1:32" s="235" customFormat="1" ht="38.25" outlineLevel="2">
      <c r="A256" s="334" t="s">
        <v>649</v>
      </c>
      <c r="B256" s="388" t="s">
        <v>650</v>
      </c>
      <c r="C256" s="332" t="s">
        <v>104</v>
      </c>
      <c r="D256" s="375">
        <v>20</v>
      </c>
      <c r="E256" s="376">
        <v>12420</v>
      </c>
      <c r="F256" s="377">
        <f t="shared" si="148"/>
        <v>248400</v>
      </c>
      <c r="G256" s="656"/>
      <c r="H256" s="246">
        <f t="shared" si="112"/>
        <v>0</v>
      </c>
      <c r="I256" s="334" t="s">
        <v>649</v>
      </c>
      <c r="J256" s="388" t="s">
        <v>650</v>
      </c>
      <c r="K256" s="332" t="s">
        <v>104</v>
      </c>
      <c r="L256" s="375">
        <v>20</v>
      </c>
      <c r="M256" s="376">
        <v>53577</v>
      </c>
      <c r="N256" s="377">
        <f t="shared" si="149"/>
        <v>1071540</v>
      </c>
      <c r="O256" s="656"/>
      <c r="P256" s="246">
        <f t="shared" si="113"/>
        <v>0</v>
      </c>
      <c r="Q256" s="334" t="s">
        <v>649</v>
      </c>
      <c r="R256" s="388" t="s">
        <v>650</v>
      </c>
      <c r="S256" s="332" t="s">
        <v>104</v>
      </c>
      <c r="T256" s="375">
        <v>20</v>
      </c>
      <c r="U256" s="376">
        <v>53631</v>
      </c>
      <c r="V256" s="377">
        <f t="shared" si="150"/>
        <v>1072620</v>
      </c>
      <c r="W256" s="656"/>
      <c r="X256" s="246">
        <f t="shared" si="114"/>
        <v>0</v>
      </c>
      <c r="Y256" s="334" t="s">
        <v>649</v>
      </c>
      <c r="Z256" s="388" t="s">
        <v>650</v>
      </c>
      <c r="AA256" s="332" t="s">
        <v>104</v>
      </c>
      <c r="AB256" s="375">
        <v>20</v>
      </c>
      <c r="AC256" s="376">
        <v>54391</v>
      </c>
      <c r="AD256" s="377">
        <f t="shared" si="151"/>
        <v>1087820</v>
      </c>
      <c r="AE256" s="656"/>
      <c r="AF256" s="246">
        <f t="shared" si="115"/>
        <v>0</v>
      </c>
    </row>
    <row r="257" spans="1:32" s="235" customFormat="1" ht="25.5" outlineLevel="2">
      <c r="A257" s="334" t="s">
        <v>651</v>
      </c>
      <c r="B257" s="388" t="s">
        <v>652</v>
      </c>
      <c r="C257" s="332" t="s">
        <v>104</v>
      </c>
      <c r="D257" s="375">
        <v>2</v>
      </c>
      <c r="E257" s="376">
        <v>51750</v>
      </c>
      <c r="F257" s="377">
        <f t="shared" si="148"/>
        <v>103500</v>
      </c>
      <c r="G257" s="656"/>
      <c r="H257" s="246">
        <f t="shared" si="112"/>
        <v>0</v>
      </c>
      <c r="I257" s="334" t="s">
        <v>651</v>
      </c>
      <c r="J257" s="388" t="s">
        <v>652</v>
      </c>
      <c r="K257" s="332" t="s">
        <v>104</v>
      </c>
      <c r="L257" s="375">
        <v>2</v>
      </c>
      <c r="M257" s="376">
        <v>63607</v>
      </c>
      <c r="N257" s="377">
        <f t="shared" si="149"/>
        <v>127214</v>
      </c>
      <c r="O257" s="656"/>
      <c r="P257" s="246">
        <f t="shared" si="113"/>
        <v>0</v>
      </c>
      <c r="Q257" s="334" t="s">
        <v>651</v>
      </c>
      <c r="R257" s="388" t="s">
        <v>652</v>
      </c>
      <c r="S257" s="332" t="s">
        <v>104</v>
      </c>
      <c r="T257" s="375">
        <v>2</v>
      </c>
      <c r="U257" s="376">
        <v>63671</v>
      </c>
      <c r="V257" s="377">
        <f t="shared" si="150"/>
        <v>127342</v>
      </c>
      <c r="W257" s="656"/>
      <c r="X257" s="246">
        <f t="shared" si="114"/>
        <v>0</v>
      </c>
      <c r="Y257" s="334" t="s">
        <v>651</v>
      </c>
      <c r="Z257" s="388" t="s">
        <v>652</v>
      </c>
      <c r="AA257" s="332" t="s">
        <v>104</v>
      </c>
      <c r="AB257" s="375">
        <v>2</v>
      </c>
      <c r="AC257" s="376">
        <v>64575</v>
      </c>
      <c r="AD257" s="377">
        <f t="shared" si="151"/>
        <v>129150</v>
      </c>
      <c r="AE257" s="656"/>
      <c r="AF257" s="246">
        <f t="shared" si="115"/>
        <v>0</v>
      </c>
    </row>
    <row r="258" spans="1:32" s="235" customFormat="1" ht="76.5" outlineLevel="2">
      <c r="A258" s="334" t="s">
        <v>653</v>
      </c>
      <c r="B258" s="388" t="s">
        <v>654</v>
      </c>
      <c r="C258" s="332" t="s">
        <v>224</v>
      </c>
      <c r="D258" s="375">
        <v>1</v>
      </c>
      <c r="E258" s="376">
        <v>155250</v>
      </c>
      <c r="F258" s="377">
        <f t="shared" si="148"/>
        <v>155250</v>
      </c>
      <c r="G258" s="656"/>
      <c r="H258" s="246">
        <f t="shared" si="112"/>
        <v>0</v>
      </c>
      <c r="I258" s="334" t="s">
        <v>653</v>
      </c>
      <c r="J258" s="388" t="s">
        <v>654</v>
      </c>
      <c r="K258" s="332" t="s">
        <v>224</v>
      </c>
      <c r="L258" s="375">
        <v>1</v>
      </c>
      <c r="M258" s="376">
        <v>176651</v>
      </c>
      <c r="N258" s="377">
        <f t="shared" si="149"/>
        <v>176651</v>
      </c>
      <c r="O258" s="656"/>
      <c r="P258" s="246">
        <f t="shared" si="113"/>
        <v>0</v>
      </c>
      <c r="Q258" s="334" t="s">
        <v>653</v>
      </c>
      <c r="R258" s="388" t="s">
        <v>654</v>
      </c>
      <c r="S258" s="332" t="s">
        <v>224</v>
      </c>
      <c r="T258" s="375">
        <v>1</v>
      </c>
      <c r="U258" s="376">
        <v>176831</v>
      </c>
      <c r="V258" s="377">
        <f t="shared" si="150"/>
        <v>176831</v>
      </c>
      <c r="W258" s="656"/>
      <c r="X258" s="246">
        <f t="shared" si="114"/>
        <v>0</v>
      </c>
      <c r="Y258" s="334" t="s">
        <v>653</v>
      </c>
      <c r="Z258" s="388" t="s">
        <v>654</v>
      </c>
      <c r="AA258" s="332" t="s">
        <v>224</v>
      </c>
      <c r="AB258" s="375">
        <v>1</v>
      </c>
      <c r="AC258" s="376">
        <v>179341</v>
      </c>
      <c r="AD258" s="377">
        <f t="shared" si="151"/>
        <v>179341</v>
      </c>
      <c r="AE258" s="656"/>
      <c r="AF258" s="246">
        <f t="shared" si="115"/>
        <v>0</v>
      </c>
    </row>
    <row r="259" spans="1:32" s="235" customFormat="1" ht="39" outlineLevel="2" thickBot="1">
      <c r="A259" s="334" t="s">
        <v>655</v>
      </c>
      <c r="B259" s="388" t="s">
        <v>656</v>
      </c>
      <c r="C259" s="332" t="s">
        <v>224</v>
      </c>
      <c r="D259" s="375">
        <v>2</v>
      </c>
      <c r="E259" s="376">
        <v>362250</v>
      </c>
      <c r="F259" s="377">
        <f t="shared" si="148"/>
        <v>724500</v>
      </c>
      <c r="G259" s="656"/>
      <c r="H259" s="246">
        <f t="shared" si="112"/>
        <v>0</v>
      </c>
      <c r="I259" s="334" t="s">
        <v>655</v>
      </c>
      <c r="J259" s="388" t="s">
        <v>656</v>
      </c>
      <c r="K259" s="332" t="s">
        <v>224</v>
      </c>
      <c r="L259" s="375">
        <v>2</v>
      </c>
      <c r="M259" s="376">
        <v>546893</v>
      </c>
      <c r="N259" s="377">
        <f t="shared" si="149"/>
        <v>1093786</v>
      </c>
      <c r="O259" s="656"/>
      <c r="P259" s="246">
        <f t="shared" si="113"/>
        <v>0</v>
      </c>
      <c r="Q259" s="334" t="s">
        <v>655</v>
      </c>
      <c r="R259" s="388" t="s">
        <v>656</v>
      </c>
      <c r="S259" s="332" t="s">
        <v>224</v>
      </c>
      <c r="T259" s="375">
        <v>2</v>
      </c>
      <c r="U259" s="376">
        <v>547449</v>
      </c>
      <c r="V259" s="377">
        <f t="shared" si="150"/>
        <v>1094898</v>
      </c>
      <c r="W259" s="656"/>
      <c r="X259" s="246">
        <f t="shared" si="114"/>
        <v>0</v>
      </c>
      <c r="Y259" s="334" t="s">
        <v>655</v>
      </c>
      <c r="Z259" s="388" t="s">
        <v>656</v>
      </c>
      <c r="AA259" s="332" t="s">
        <v>224</v>
      </c>
      <c r="AB259" s="375">
        <v>2</v>
      </c>
      <c r="AC259" s="376">
        <v>555221</v>
      </c>
      <c r="AD259" s="377">
        <f t="shared" si="151"/>
        <v>1110442</v>
      </c>
      <c r="AE259" s="656"/>
      <c r="AF259" s="246">
        <f t="shared" si="115"/>
        <v>0</v>
      </c>
    </row>
    <row r="260" spans="1:32" s="236" customFormat="1" ht="21" customHeight="1" thickTop="1" thickBot="1">
      <c r="A260" s="689" t="s">
        <v>657</v>
      </c>
      <c r="B260" s="690"/>
      <c r="C260" s="690"/>
      <c r="D260" s="691"/>
      <c r="E260" s="389"/>
      <c r="F260" s="390">
        <f>SUM(F9:F259)</f>
        <v>1157127617</v>
      </c>
      <c r="G260" s="391">
        <f>+G208+G148+G96+G55+G52+G40+G7+G38</f>
        <v>902537014</v>
      </c>
      <c r="H260" s="247"/>
      <c r="I260" s="689" t="s">
        <v>657</v>
      </c>
      <c r="J260" s="690"/>
      <c r="K260" s="690"/>
      <c r="L260" s="691"/>
      <c r="M260" s="389"/>
      <c r="N260" s="390">
        <f>SUM(N9:N259)</f>
        <v>1218841856</v>
      </c>
      <c r="O260" s="391">
        <f>+O208+O148+O96+O55+O52+O40+O7+O38</f>
        <v>1063647226</v>
      </c>
      <c r="P260" s="247"/>
      <c r="Q260" s="689" t="s">
        <v>657</v>
      </c>
      <c r="R260" s="690"/>
      <c r="S260" s="690"/>
      <c r="T260" s="691"/>
      <c r="U260" s="389"/>
      <c r="V260" s="390">
        <f>SUM(V9:V259)</f>
        <v>1203021962</v>
      </c>
      <c r="W260" s="391">
        <f>+W208+W148+W96+W55+W52+W40+W7+W38</f>
        <v>1048671031</v>
      </c>
      <c r="X260" s="247"/>
      <c r="Y260" s="689" t="s">
        <v>657</v>
      </c>
      <c r="Z260" s="690"/>
      <c r="AA260" s="690"/>
      <c r="AB260" s="691"/>
      <c r="AC260" s="389"/>
      <c r="AD260" s="390">
        <f>SUM(AD9:AD259)</f>
        <v>1219985163</v>
      </c>
      <c r="AE260" s="391">
        <f>+AE208+AE148+AE96+AE55+AE52+AE40+AE7+AE38</f>
        <v>1063550193</v>
      </c>
      <c r="AF260" s="247"/>
    </row>
    <row r="261" spans="1:32" s="236" customFormat="1" ht="15.75">
      <c r="A261" s="642" t="s">
        <v>658</v>
      </c>
      <c r="B261" s="643"/>
      <c r="C261" s="643"/>
      <c r="D261" s="644"/>
      <c r="E261" s="473">
        <f>'Analisis A.I.U.'!F36</f>
        <v>7.2682983073249038E-2</v>
      </c>
      <c r="F261" s="393">
        <f>E261*F260</f>
        <v>84103487</v>
      </c>
      <c r="G261" s="394"/>
      <c r="H261" s="244"/>
      <c r="I261" s="642" t="s">
        <v>658</v>
      </c>
      <c r="J261" s="643"/>
      <c r="K261" s="643"/>
      <c r="L261" s="644"/>
      <c r="M261" s="472">
        <v>8.4400000000000003E-2</v>
      </c>
      <c r="N261" s="393">
        <f>M261*N260</f>
        <v>102870252.6464</v>
      </c>
      <c r="O261" s="394"/>
      <c r="P261" s="244"/>
      <c r="Q261" s="642" t="s">
        <v>658</v>
      </c>
      <c r="R261" s="643"/>
      <c r="S261" s="643"/>
      <c r="T261" s="644"/>
      <c r="U261" s="472">
        <v>7.7200000000000005E-2</v>
      </c>
      <c r="V261" s="393">
        <f>U261*V260</f>
        <v>92873295.466400012</v>
      </c>
      <c r="W261" s="394"/>
      <c r="X261" s="244"/>
      <c r="Y261" s="642" t="s">
        <v>658</v>
      </c>
      <c r="Z261" s="643"/>
      <c r="AA261" s="643"/>
      <c r="AB261" s="644"/>
      <c r="AC261" s="392">
        <v>8.1000000000000003E-2</v>
      </c>
      <c r="AD261" s="393">
        <f>AC261*AD260</f>
        <v>98818798.203000009</v>
      </c>
      <c r="AE261" s="394"/>
      <c r="AF261" s="244"/>
    </row>
    <row r="262" spans="1:32" s="236" customFormat="1" ht="15">
      <c r="A262" s="645" t="s">
        <v>659</v>
      </c>
      <c r="B262" s="646"/>
      <c r="C262" s="646"/>
      <c r="D262" s="647"/>
      <c r="E262" s="497">
        <f>'Analisis A.I.U.'!F37</f>
        <v>2.2499999999999999E-2</v>
      </c>
      <c r="F262" s="396">
        <f>E262*F260</f>
        <v>26035371.3825</v>
      </c>
      <c r="G262" s="397"/>
      <c r="H262" s="244"/>
      <c r="I262" s="645" t="s">
        <v>659</v>
      </c>
      <c r="J262" s="646"/>
      <c r="K262" s="646"/>
      <c r="L262" s="647"/>
      <c r="M262" s="497">
        <v>1.06E-2</v>
      </c>
      <c r="N262" s="396">
        <f>M262*N260</f>
        <v>12919723.673599999</v>
      </c>
      <c r="O262" s="397"/>
      <c r="P262" s="244"/>
      <c r="Q262" s="645" t="s">
        <v>659</v>
      </c>
      <c r="R262" s="646"/>
      <c r="S262" s="646"/>
      <c r="T262" s="647"/>
      <c r="U262" s="395">
        <v>0.03</v>
      </c>
      <c r="V262" s="396">
        <f>U262*V260</f>
        <v>36090658.859999999</v>
      </c>
      <c r="W262" s="397"/>
      <c r="X262" s="244"/>
      <c r="Y262" s="645" t="s">
        <v>659</v>
      </c>
      <c r="Z262" s="646"/>
      <c r="AA262" s="646"/>
      <c r="AB262" s="647"/>
      <c r="AC262" s="395">
        <v>0.01</v>
      </c>
      <c r="AD262" s="396">
        <f>AC262*AD260</f>
        <v>12199851.630000001</v>
      </c>
      <c r="AE262" s="397"/>
      <c r="AF262" s="244"/>
    </row>
    <row r="263" spans="1:32" s="236" customFormat="1" ht="15.75" thickBot="1">
      <c r="A263" s="648" t="s">
        <v>660</v>
      </c>
      <c r="B263" s="649"/>
      <c r="C263" s="649"/>
      <c r="D263" s="650"/>
      <c r="E263" s="398">
        <v>0.19</v>
      </c>
      <c r="F263" s="399">
        <f>E263*F262</f>
        <v>4946720.5626750002</v>
      </c>
      <c r="G263" s="400"/>
      <c r="H263" s="244"/>
      <c r="I263" s="648" t="s">
        <v>660</v>
      </c>
      <c r="J263" s="649"/>
      <c r="K263" s="649"/>
      <c r="L263" s="650"/>
      <c r="M263" s="398">
        <v>0.19</v>
      </c>
      <c r="N263" s="399">
        <f>M263*N262</f>
        <v>2454747.497984</v>
      </c>
      <c r="O263" s="400"/>
      <c r="P263" s="244"/>
      <c r="Q263" s="648" t="s">
        <v>660</v>
      </c>
      <c r="R263" s="649"/>
      <c r="S263" s="649"/>
      <c r="T263" s="650"/>
      <c r="U263" s="398">
        <v>0.19</v>
      </c>
      <c r="V263" s="399">
        <f>U263*V262</f>
        <v>6857225.1833999995</v>
      </c>
      <c r="W263" s="400"/>
      <c r="X263" s="244"/>
      <c r="Y263" s="648" t="s">
        <v>660</v>
      </c>
      <c r="Z263" s="649"/>
      <c r="AA263" s="649"/>
      <c r="AB263" s="650"/>
      <c r="AC263" s="398">
        <v>0.19</v>
      </c>
      <c r="AD263" s="399">
        <f>AC263*AD262</f>
        <v>2317971.8097000001</v>
      </c>
      <c r="AE263" s="400"/>
      <c r="AF263" s="244"/>
    </row>
    <row r="264" spans="1:32" s="236" customFormat="1" ht="16.5" thickBot="1">
      <c r="A264" s="651" t="s">
        <v>661</v>
      </c>
      <c r="B264" s="652"/>
      <c r="C264" s="652"/>
      <c r="D264" s="653"/>
      <c r="E264" s="401"/>
      <c r="F264" s="402">
        <f>SUM(F260:F263)</f>
        <v>1272213195.9451749</v>
      </c>
      <c r="G264" s="403"/>
      <c r="H264" s="244"/>
      <c r="I264" s="651" t="s">
        <v>661</v>
      </c>
      <c r="J264" s="652"/>
      <c r="K264" s="652"/>
      <c r="L264" s="653"/>
      <c r="M264" s="401"/>
      <c r="N264" s="402">
        <f>SUM(N260:N263)</f>
        <v>1337086579.8179839</v>
      </c>
      <c r="O264" s="403"/>
      <c r="P264" s="244"/>
      <c r="Q264" s="651" t="s">
        <v>661</v>
      </c>
      <c r="R264" s="652"/>
      <c r="S264" s="652"/>
      <c r="T264" s="653"/>
      <c r="U264" s="401"/>
      <c r="V264" s="402">
        <f>SUM(V260:V263)</f>
        <v>1338843141.5097997</v>
      </c>
      <c r="W264" s="403"/>
      <c r="X264" s="244"/>
      <c r="Y264" s="651" t="s">
        <v>661</v>
      </c>
      <c r="Z264" s="652"/>
      <c r="AA264" s="652"/>
      <c r="AB264" s="653"/>
      <c r="AC264" s="401"/>
      <c r="AD264" s="402">
        <f>SUM(AD260:AD263)</f>
        <v>1333321784.6427002</v>
      </c>
      <c r="AE264" s="403"/>
      <c r="AF264" s="244"/>
    </row>
    <row r="265" spans="1:32" s="236" customFormat="1" ht="15.75" thickTop="1">
      <c r="A265" s="237"/>
      <c r="H265" s="244"/>
      <c r="I265" s="237"/>
      <c r="P265" s="244"/>
      <c r="Q265" s="237"/>
      <c r="X265" s="244"/>
      <c r="Y265" s="237"/>
      <c r="AF265" s="244"/>
    </row>
    <row r="266" spans="1:32" ht="22.5" customHeight="1">
      <c r="E266" s="239" t="s">
        <v>106</v>
      </c>
      <c r="F266" s="240" t="str">
        <f>+IF(SUM(H9:H259)=0,"OK","NO HABILITADO")</f>
        <v>OK</v>
      </c>
      <c r="G266" s="240"/>
      <c r="M266" s="239" t="s">
        <v>106</v>
      </c>
      <c r="N266" s="240" t="str">
        <f>+IF(SUM(P9:P259)=0,"OK","NO HABILITADO")</f>
        <v>OK</v>
      </c>
      <c r="O266" s="240"/>
      <c r="P266" s="244"/>
      <c r="U266" s="239" t="s">
        <v>106</v>
      </c>
      <c r="V266" s="240" t="str">
        <f>+IF(SUM(X9:X259)=0,"OK","NO HABILITADO")</f>
        <v>OK</v>
      </c>
      <c r="W266" s="240"/>
      <c r="X266" s="244"/>
      <c r="AC266" s="239" t="s">
        <v>106</v>
      </c>
      <c r="AD266" s="240" t="str">
        <f>+IF(SUM(AF9:AF259)=0,"OK","NO HABILITADO")</f>
        <v>OK</v>
      </c>
      <c r="AE266" s="240"/>
      <c r="AF266" s="244"/>
    </row>
    <row r="267" spans="1:32" ht="22.5" customHeight="1">
      <c r="A267" s="241"/>
      <c r="B267" s="242"/>
      <c r="C267" s="243"/>
      <c r="D267" s="243"/>
      <c r="E267" s="239" t="s">
        <v>164</v>
      </c>
      <c r="F267" s="240" t="str">
        <f>+IF(F260&gt;'10. EVALUACIÓN'!$C$8,"NO HABILITADO","OK")</f>
        <v>OK</v>
      </c>
      <c r="G267" s="240"/>
      <c r="I267" s="241"/>
      <c r="J267" s="242"/>
      <c r="K267" s="243"/>
      <c r="L267" s="243"/>
      <c r="M267" s="239" t="s">
        <v>164</v>
      </c>
      <c r="N267" s="240" t="str">
        <f>+IF(N260&gt;'10. EVALUACIÓN'!$C$8,"NO HABILITADO","OK")</f>
        <v>OK</v>
      </c>
      <c r="O267" s="240"/>
      <c r="P267" s="244"/>
      <c r="Q267" s="241"/>
      <c r="R267" s="242"/>
      <c r="S267" s="243"/>
      <c r="T267" s="243"/>
      <c r="U267" s="239" t="s">
        <v>164</v>
      </c>
      <c r="V267" s="240" t="str">
        <f>+IF(V260&gt;'10. EVALUACIÓN'!$C$8,"NO HABILITADO","OK")</f>
        <v>OK</v>
      </c>
      <c r="W267" s="240"/>
      <c r="X267" s="244"/>
      <c r="Y267" s="241"/>
      <c r="Z267" s="242"/>
      <c r="AA267" s="243"/>
      <c r="AB267" s="243"/>
      <c r="AC267" s="239" t="s">
        <v>164</v>
      </c>
      <c r="AD267" s="240" t="str">
        <f>+IF(AD260&gt;'10. EVALUACIÓN'!$C$8,"NO HABILITADO","OK")</f>
        <v>OK</v>
      </c>
      <c r="AE267" s="240"/>
      <c r="AF267" s="244"/>
    </row>
    <row r="269" spans="1:32" ht="13.5" thickBot="1">
      <c r="M269" s="490"/>
      <c r="N269" s="490"/>
      <c r="O269" s="490"/>
      <c r="P269" s="491"/>
      <c r="Q269" s="492"/>
    </row>
    <row r="270" spans="1:32" ht="15">
      <c r="A270" s="642" t="s">
        <v>658</v>
      </c>
      <c r="B270" s="643"/>
      <c r="C270" s="643"/>
      <c r="D270" s="644"/>
      <c r="E270" s="473">
        <f>+'Analisis A.I.U.'!F41</f>
        <v>7.2700000000000001E-2</v>
      </c>
      <c r="F270" s="393">
        <f>+'Analisis A.I.U.'!H41</f>
        <v>84123178</v>
      </c>
      <c r="M270" s="493"/>
      <c r="N270" s="493"/>
      <c r="O270" s="493"/>
      <c r="P270" s="494"/>
      <c r="Q270" s="495"/>
    </row>
    <row r="271" spans="1:32" ht="15">
      <c r="A271" s="645" t="s">
        <v>659</v>
      </c>
      <c r="B271" s="646"/>
      <c r="C271" s="646"/>
      <c r="D271" s="647"/>
      <c r="E271" s="497">
        <f>+'Analisis A.I.U.'!F42</f>
        <v>2.2499999999999999E-2</v>
      </c>
      <c r="F271" s="396">
        <f>+'Analisis A.I.U.'!H42</f>
        <v>26035371</v>
      </c>
      <c r="M271" s="493"/>
      <c r="N271" s="493"/>
      <c r="O271" s="493"/>
      <c r="P271" s="494"/>
      <c r="Q271" s="495"/>
    </row>
    <row r="272" spans="1:32" ht="15.75" thickBot="1">
      <c r="A272" s="648" t="s">
        <v>660</v>
      </c>
      <c r="B272" s="649"/>
      <c r="C272" s="649"/>
      <c r="D272" s="650"/>
      <c r="E272" s="398">
        <v>0.19</v>
      </c>
      <c r="F272" s="399">
        <f>E272*F271</f>
        <v>4946720.49</v>
      </c>
      <c r="M272" s="493"/>
      <c r="N272" s="493"/>
      <c r="O272" s="493"/>
      <c r="P272" s="494"/>
      <c r="Q272" s="495"/>
    </row>
    <row r="273" spans="1:17" ht="16.5" thickBot="1">
      <c r="A273" s="651" t="s">
        <v>661</v>
      </c>
      <c r="B273" s="652"/>
      <c r="C273" s="652"/>
      <c r="D273" s="653"/>
      <c r="E273" s="401"/>
      <c r="F273" s="402">
        <f>+F260+F270+F271+F272</f>
        <v>1272232886.49</v>
      </c>
      <c r="M273" s="493"/>
      <c r="N273" s="493"/>
      <c r="O273" s="493"/>
      <c r="P273" s="494"/>
      <c r="Q273" s="495"/>
    </row>
    <row r="274" spans="1:17" ht="13.5" thickTop="1">
      <c r="M274" s="493"/>
      <c r="N274" s="493"/>
      <c r="O274" s="493"/>
      <c r="P274" s="494"/>
      <c r="Q274" s="495"/>
    </row>
    <row r="275" spans="1:17">
      <c r="M275" s="493"/>
      <c r="N275" s="493"/>
      <c r="O275" s="493"/>
      <c r="P275" s="494"/>
      <c r="Q275" s="495"/>
    </row>
    <row r="276" spans="1:17">
      <c r="M276" s="490"/>
      <c r="N276" s="490"/>
      <c r="O276" s="490"/>
      <c r="P276" s="491"/>
      <c r="Q276" s="492"/>
    </row>
  </sheetData>
  <sheetProtection algorithmName="SHA-512" hashValue="XKSIBSKA6efUw/Hm6s54VivwMcZ0gClKfcZYgbq/SD/pj/SqoWtu4CuyG216WY319UHVS6sQyoqlTCurFBSlVw==" saltValue="JRHDUtF3guOfYrDpS9yIpg==" spinCount="100000" sheet="1" objects="1" scenarios="1" selectLockedCells="1" selectUnlockedCells="1"/>
  <mergeCells count="144">
    <mergeCell ref="G35:G37"/>
    <mergeCell ref="G41:G51"/>
    <mergeCell ref="A264:D264"/>
    <mergeCell ref="G159:G167"/>
    <mergeCell ref="G169:G182"/>
    <mergeCell ref="G184:G207"/>
    <mergeCell ref="G210:G212"/>
    <mergeCell ref="G214:G217"/>
    <mergeCell ref="G219:G222"/>
    <mergeCell ref="G226:G228"/>
    <mergeCell ref="G230:G231"/>
    <mergeCell ref="G233:G234"/>
    <mergeCell ref="G236:G251"/>
    <mergeCell ref="G253:G259"/>
    <mergeCell ref="A261:D261"/>
    <mergeCell ref="A262:D262"/>
    <mergeCell ref="A263:D263"/>
    <mergeCell ref="B1:F1"/>
    <mergeCell ref="J1:N1"/>
    <mergeCell ref="R1:V1"/>
    <mergeCell ref="Z1:AD1"/>
    <mergeCell ref="A260:D260"/>
    <mergeCell ref="I260:L260"/>
    <mergeCell ref="Y260:AB260"/>
    <mergeCell ref="Q260:T260"/>
    <mergeCell ref="G53:G54"/>
    <mergeCell ref="G56:G95"/>
    <mergeCell ref="G97:G147"/>
    <mergeCell ref="G150:G157"/>
    <mergeCell ref="A2:B4"/>
    <mergeCell ref="C2:G2"/>
    <mergeCell ref="C3:C4"/>
    <mergeCell ref="D3:G4"/>
    <mergeCell ref="C5:G5"/>
    <mergeCell ref="G9:G10"/>
    <mergeCell ref="G12:G14"/>
    <mergeCell ref="G16:G17"/>
    <mergeCell ref="G19:G21"/>
    <mergeCell ref="G23:G26"/>
    <mergeCell ref="G28:G30"/>
    <mergeCell ref="G32:G33"/>
    <mergeCell ref="O9:O10"/>
    <mergeCell ref="O12:O14"/>
    <mergeCell ref="O16:O17"/>
    <mergeCell ref="O19:O21"/>
    <mergeCell ref="O23:O26"/>
    <mergeCell ref="I2:J4"/>
    <mergeCell ref="K2:O2"/>
    <mergeCell ref="K3:K4"/>
    <mergeCell ref="L3:O4"/>
    <mergeCell ref="K5:O5"/>
    <mergeCell ref="W23:W26"/>
    <mergeCell ref="W28:W30"/>
    <mergeCell ref="W32:W33"/>
    <mergeCell ref="W35:W37"/>
    <mergeCell ref="O230:O231"/>
    <mergeCell ref="O233:O234"/>
    <mergeCell ref="O236:O251"/>
    <mergeCell ref="O253:O259"/>
    <mergeCell ref="I261:L261"/>
    <mergeCell ref="O184:O207"/>
    <mergeCell ref="O210:O212"/>
    <mergeCell ref="O214:O217"/>
    <mergeCell ref="O219:O222"/>
    <mergeCell ref="O226:O228"/>
    <mergeCell ref="O56:O95"/>
    <mergeCell ref="O97:O147"/>
    <mergeCell ref="O150:O157"/>
    <mergeCell ref="O159:O167"/>
    <mergeCell ref="O169:O182"/>
    <mergeCell ref="O28:O30"/>
    <mergeCell ref="O32:O33"/>
    <mergeCell ref="O35:O37"/>
    <mergeCell ref="O41:O51"/>
    <mergeCell ref="O53:O54"/>
    <mergeCell ref="Q2:R4"/>
    <mergeCell ref="S2:W2"/>
    <mergeCell ref="S3:S4"/>
    <mergeCell ref="T3:W4"/>
    <mergeCell ref="S5:W5"/>
    <mergeCell ref="W9:W10"/>
    <mergeCell ref="W12:W14"/>
    <mergeCell ref="W16:W17"/>
    <mergeCell ref="W19:W21"/>
    <mergeCell ref="Y2:Z4"/>
    <mergeCell ref="AA2:AE2"/>
    <mergeCell ref="AA3:AA4"/>
    <mergeCell ref="AB3:AE4"/>
    <mergeCell ref="AA5:AE5"/>
    <mergeCell ref="W253:W259"/>
    <mergeCell ref="Q261:T261"/>
    <mergeCell ref="Q262:T262"/>
    <mergeCell ref="Q263:T263"/>
    <mergeCell ref="W219:W222"/>
    <mergeCell ref="W226:W228"/>
    <mergeCell ref="W230:W231"/>
    <mergeCell ref="W233:W234"/>
    <mergeCell ref="W236:W251"/>
    <mergeCell ref="W159:W167"/>
    <mergeCell ref="W169:W182"/>
    <mergeCell ref="W184:W207"/>
    <mergeCell ref="W210:W212"/>
    <mergeCell ref="W214:W217"/>
    <mergeCell ref="W41:W51"/>
    <mergeCell ref="W53:W54"/>
    <mergeCell ref="W56:W95"/>
    <mergeCell ref="W97:W147"/>
    <mergeCell ref="W150:W157"/>
    <mergeCell ref="AE28:AE30"/>
    <mergeCell ref="AE32:AE33"/>
    <mergeCell ref="AE35:AE37"/>
    <mergeCell ref="AE41:AE51"/>
    <mergeCell ref="AE53:AE54"/>
    <mergeCell ref="AE9:AE10"/>
    <mergeCell ref="AE12:AE14"/>
    <mergeCell ref="AE16:AE17"/>
    <mergeCell ref="AE19:AE21"/>
    <mergeCell ref="AE23:AE26"/>
    <mergeCell ref="AE184:AE207"/>
    <mergeCell ref="AE210:AE212"/>
    <mergeCell ref="AE214:AE217"/>
    <mergeCell ref="AE219:AE222"/>
    <mergeCell ref="AE226:AE228"/>
    <mergeCell ref="AE56:AE95"/>
    <mergeCell ref="AE97:AE147"/>
    <mergeCell ref="AE150:AE157"/>
    <mergeCell ref="AE159:AE167"/>
    <mergeCell ref="AE169:AE182"/>
    <mergeCell ref="A270:D270"/>
    <mergeCell ref="A271:D271"/>
    <mergeCell ref="A272:D272"/>
    <mergeCell ref="A273:D273"/>
    <mergeCell ref="Y262:AB262"/>
    <mergeCell ref="Y263:AB263"/>
    <mergeCell ref="Y264:AB264"/>
    <mergeCell ref="AE230:AE231"/>
    <mergeCell ref="AE233:AE234"/>
    <mergeCell ref="AE236:AE251"/>
    <mergeCell ref="AE253:AE259"/>
    <mergeCell ref="Y261:AB261"/>
    <mergeCell ref="Q264:T264"/>
    <mergeCell ref="I262:L262"/>
    <mergeCell ref="I263:L263"/>
    <mergeCell ref="I264:L264"/>
  </mergeCells>
  <printOptions horizontalCentered="1"/>
  <pageMargins left="0.70866141732283472" right="0.70866141732283472" top="0.74803149606299213" bottom="0.74803149606299213" header="0.31496062992125984" footer="0.31496062992125984"/>
  <pageSetup scale="10" fitToHeight="0" orientation="portrait" r:id="rId1"/>
  <headerFooter>
    <oddHeader>&amp;L&amp;D&amp;R&amp;G</oddHeader>
    <oddFooter>&amp;L&amp;"Swis721 LtCn BT,Light"&amp;F
&amp;A&amp;C&amp;"Swis721 LtCn BT,Light"&amp;Pde&amp;N&amp;R&amp;"Swis721 LtCn BT,Light"Presupuesto Obra Civil:
Elaborado por : Viviana  Valencia Montoya</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ENTREGA</vt:lpstr>
      <vt:lpstr>APERTURA DE SOBRES</vt:lpstr>
      <vt:lpstr>3. REQUISITOS JURÍDICOS</vt:lpstr>
      <vt:lpstr>3.2.1 EXPERIENCIA GRAL</vt:lpstr>
      <vt:lpstr>3.3 CAP FINANCIERA</vt:lpstr>
      <vt:lpstr>3.4 REQUISITOS COMERCIALES</vt:lpstr>
      <vt:lpstr>10. EVALUACIÓN</vt:lpstr>
      <vt:lpstr>Cálculo Pt2</vt:lpstr>
      <vt:lpstr>Presupuesto Consolidado</vt:lpstr>
      <vt:lpstr>Analisis A.I.U.</vt:lpstr>
      <vt:lpstr>'3.2.1 EXPERIENCIA GRAL'!Área_de_impresión</vt:lpstr>
      <vt:lpstr>'3.3 CAP FINANCIERA'!Área_de_impresión</vt:lpstr>
      <vt:lpstr>'Analisis A.I.U.'!Área_de_impresión</vt:lpstr>
      <vt:lpstr>'3. REQUISITOS JURÍDICOS'!Títulos_a_imprimir</vt:lpstr>
      <vt:lpstr>'3.2.1 EXPERIENCIA GRAL'!Títulos_a_imprimir</vt:lpstr>
      <vt:lpstr>'3.3 CAP FINANCIERA'!Títulos_a_imprimir</vt:lpstr>
      <vt:lpstr>'3.4 REQUISITOS COMERCIALES'!Títulos_a_imprimir</vt:lpstr>
      <vt:lpstr>'Analisis A.I.U.'!Títulos_a_imprimir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Aleja.Portocarrero</cp:lastModifiedBy>
  <cp:lastPrinted>2018-04-05T13:57:20Z</cp:lastPrinted>
  <dcterms:created xsi:type="dcterms:W3CDTF">2013-08-04T21:27:49Z</dcterms:created>
  <dcterms:modified xsi:type="dcterms:W3CDTF">2019-04-22T18:25:56Z</dcterms:modified>
</cp:coreProperties>
</file>